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defaultThemeVersion="166925"/>
  <mc:AlternateContent xmlns:mc="http://schemas.openxmlformats.org/markup-compatibility/2006">
    <mc:Choice Requires="x15">
      <x15ac:absPath xmlns:x15ac="http://schemas.microsoft.com/office/spreadsheetml/2010/11/ac" url="C:\Users\isabe\Dropbox\PC\Downloads\"/>
    </mc:Choice>
  </mc:AlternateContent>
  <xr:revisionPtr revIDLastSave="0" documentId="13_ncr:1_{45078137-E0A9-4514-9910-34AB1F04B587}" xr6:coauthVersionLast="47" xr6:coauthVersionMax="47" xr10:uidLastSave="{00000000-0000-0000-0000-000000000000}"/>
  <bookViews>
    <workbookView xWindow="-110" yWindow="-110" windowWidth="19420" windowHeight="10560" tabRatio="599" firstSheet="7" activeTab="7" xr2:uid="{00000000-000D-0000-FFFF-FFFF00000000}"/>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PAA V20" sheetId="56" r:id="rId8"/>
    <sheet name="PAA V4" sheetId="49" state="hidden" r:id="rId9"/>
    <sheet name="PAA V5" sheetId="51" state="hidden" r:id="rId10"/>
    <sheet name="PPA V 21" sheetId="34" state="hidden" r:id="rId11"/>
    <sheet name="Viabilidades" sheetId="27" state="hidden" r:id="rId12"/>
    <sheet name="Reservas x Metas" sheetId="16" state="hidden" r:id="rId13"/>
    <sheet name="SEG. METAS PDD a 30 de Ene 2021" sheetId="10" state="hidden" r:id="rId14"/>
  </sheets>
  <externalReferences>
    <externalReference r:id="rId15"/>
    <externalReference r:id="rId16"/>
    <externalReference r:id="rId17"/>
  </externalReferences>
  <definedNames>
    <definedName name="_xlnm._FilterDatabase" localSheetId="1" hidden="1">'EN PLATAFORMA'!$A$2:$F$12</definedName>
    <definedName name="_xlnm._FilterDatabase" localSheetId="7" hidden="1">'PAA V20'!$S$3:$V$5</definedName>
    <definedName name="_xlnm._FilterDatabase" localSheetId="8" hidden="1">'PAA V4'!$A$6:$CY$6</definedName>
    <definedName name="_xlnm._FilterDatabase" localSheetId="9" hidden="1">'PAA V5'!$A$6:$R$6</definedName>
    <definedName name="_xlnm._FilterDatabase" localSheetId="10"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2" hidden="1">'Reservas x Metas'!$A$1:$M$8</definedName>
    <definedName name="_xlnm._FilterDatabase" localSheetId="13" hidden="1">'SEG. METAS PDD a 30 de Ene 2021'!$A$7:$AE$21</definedName>
    <definedName name="_xlnm._FilterDatabase" localSheetId="0" hidden="1">'SEGUIMIENTO CON PAA '!$A$7:$AS$100</definedName>
    <definedName name="_xlnm._FilterDatabase" localSheetId="11"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91029"/>
  <pivotCaches>
    <pivotCache cacheId="0"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M291" i="56" l="1"/>
  <c r="M259" i="56"/>
  <c r="M258" i="56"/>
  <c r="M256" i="56"/>
  <c r="M251" i="56"/>
  <c r="M257" i="56"/>
  <c r="M294" i="56"/>
  <c r="M679" i="56"/>
  <c r="M678" i="56"/>
  <c r="M640" i="56"/>
  <c r="M283" i="56"/>
  <c r="M290" i="56"/>
  <c r="M289" i="56"/>
  <c r="M135" i="56" l="1"/>
  <c r="M63" i="56"/>
  <c r="M67" i="56"/>
  <c r="M66" i="56"/>
  <c r="M323" i="56" l="1"/>
  <c r="M174" i="56"/>
  <c r="M727" i="56"/>
  <c r="M22" i="56" l="1"/>
  <c r="M20" i="56"/>
  <c r="M14" i="56"/>
  <c r="M11" i="56"/>
  <c r="M178" i="56" l="1"/>
  <c r="M220" i="56"/>
  <c r="M219" i="56"/>
  <c r="M208" i="56"/>
  <c r="M654" i="56" l="1"/>
  <c r="M682" i="56" l="1"/>
  <c r="M288" i="56"/>
  <c r="M303" i="56"/>
  <c r="M287" i="56"/>
  <c r="M731" i="56" l="1"/>
  <c r="M730" i="56"/>
  <c r="M448" i="56"/>
  <c r="M620" i="56"/>
  <c r="M457" i="56"/>
  <c r="M453" i="56"/>
  <c r="V5" i="56" l="1"/>
  <c r="S5" i="56"/>
  <c r="U5" i="56"/>
  <c r="T1132" i="56"/>
  <c r="M23" i="56"/>
  <c r="M10" i="56"/>
  <c r="M8" i="56"/>
  <c r="M7" i="56"/>
  <c r="M765" i="56" l="1"/>
  <c r="M30" i="56"/>
  <c r="M28" i="56"/>
  <c r="M90" i="56"/>
  <c r="M17" i="56" l="1"/>
  <c r="M26" i="56" l="1"/>
  <c r="M25" i="56"/>
  <c r="M21" i="56" l="1"/>
  <c r="M16" i="56"/>
  <c r="M15" i="56"/>
  <c r="M484" i="56" l="1"/>
  <c r="M675" i="56"/>
  <c r="M521" i="56"/>
  <c r="M674" i="56"/>
  <c r="M472" i="56"/>
  <c r="M511" i="56"/>
  <c r="T1131" i="56" l="1"/>
  <c r="M9" i="56"/>
  <c r="M12" i="56" l="1"/>
  <c r="M176" i="56"/>
  <c r="T1130" i="56"/>
  <c r="T1129" i="56"/>
  <c r="M24" i="56"/>
  <c r="M386" i="56" l="1"/>
  <c r="M387" i="56"/>
  <c r="M642" i="56"/>
  <c r="M595" i="56"/>
  <c r="M383" i="56"/>
  <c r="M637" i="56"/>
  <c r="M427" i="56"/>
  <c r="M421" i="56"/>
  <c r="M385" i="56"/>
  <c r="T386" i="56"/>
  <c r="M485" i="56" l="1"/>
  <c r="M169" i="56" l="1"/>
  <c r="M173" i="56"/>
  <c r="M144" i="56"/>
  <c r="M155" i="56"/>
  <c r="M149" i="56"/>
  <c r="M166" i="56"/>
  <c r="M143" i="56"/>
  <c r="M142" i="56"/>
  <c r="M309" i="56"/>
  <c r="M313" i="56"/>
  <c r="M307" i="56"/>
  <c r="M306" i="56"/>
  <c r="M729" i="56"/>
  <c r="T1128" i="56"/>
  <c r="M317" i="56"/>
  <c r="M716" i="56"/>
  <c r="M671" i="56"/>
  <c r="M728" i="56"/>
  <c r="M722" i="56"/>
  <c r="M186" i="56" l="1"/>
  <c r="M175" i="56"/>
  <c r="M327" i="56"/>
  <c r="M326" i="56"/>
  <c r="M212" i="56"/>
  <c r="M215" i="56"/>
  <c r="M183" i="56" l="1"/>
  <c r="M182" i="56"/>
  <c r="M181" i="56"/>
  <c r="M180" i="56"/>
  <c r="M179" i="56"/>
  <c r="M218" i="56"/>
  <c r="M214" i="56"/>
  <c r="M210" i="56"/>
  <c r="M589" i="56" l="1"/>
  <c r="M222" i="56"/>
  <c r="T1127" i="56"/>
  <c r="T1126" i="56"/>
  <c r="R1134" i="56" l="1"/>
  <c r="T739" i="56"/>
  <c r="T738" i="56"/>
  <c r="T737" i="56"/>
  <c r="T735" i="56"/>
  <c r="T728" i="56"/>
  <c r="T727" i="56"/>
  <c r="T724" i="56"/>
  <c r="T723" i="56"/>
  <c r="T721" i="56"/>
  <c r="T719" i="56"/>
  <c r="T712" i="56"/>
  <c r="T710" i="56"/>
  <c r="T699" i="56"/>
  <c r="T695" i="56"/>
  <c r="T694" i="56"/>
  <c r="T683" i="56"/>
  <c r="T669" i="56"/>
  <c r="T668" i="56"/>
  <c r="T665" i="56"/>
  <c r="T655" i="56"/>
  <c r="T589" i="56"/>
  <c r="T588" i="56"/>
  <c r="T587" i="56"/>
  <c r="T250" i="56"/>
  <c r="T248" i="56"/>
  <c r="T247" i="56"/>
  <c r="T246" i="56"/>
  <c r="T245" i="56"/>
  <c r="T244" i="56"/>
  <c r="T243" i="56"/>
  <c r="T242" i="56"/>
  <c r="T240" i="56"/>
  <c r="T239" i="56"/>
  <c r="T238" i="56"/>
  <c r="T237" i="56"/>
  <c r="T232" i="56"/>
  <c r="T228" i="56"/>
  <c r="T224" i="56"/>
  <c r="T220" i="56"/>
  <c r="T216" i="56"/>
  <c r="T212" i="56"/>
  <c r="T208" i="56"/>
  <c r="T204" i="56"/>
  <c r="T200" i="56"/>
  <c r="T196" i="56"/>
  <c r="T192" i="56"/>
  <c r="T188" i="56"/>
  <c r="T184" i="56"/>
  <c r="T180" i="56"/>
  <c r="T176" i="56"/>
  <c r="T175" i="56"/>
  <c r="T174" i="56"/>
  <c r="T172" i="56"/>
  <c r="T171" i="56"/>
  <c r="T170" i="56"/>
  <c r="T168" i="56"/>
  <c r="T167" i="56"/>
  <c r="T166" i="56"/>
  <c r="T164" i="56"/>
  <c r="T163" i="56"/>
  <c r="T162" i="56"/>
  <c r="T160" i="56"/>
  <c r="T159" i="56"/>
  <c r="T158" i="56"/>
  <c r="T156" i="56"/>
  <c r="T155" i="56"/>
  <c r="T154" i="56"/>
  <c r="T152" i="56"/>
  <c r="T151" i="56"/>
  <c r="T150" i="56"/>
  <c r="T148" i="56"/>
  <c r="T147" i="56"/>
  <c r="T146" i="56"/>
  <c r="T144" i="56"/>
  <c r="T143" i="56"/>
  <c r="T142" i="56"/>
  <c r="T140" i="56"/>
  <c r="T139" i="56"/>
  <c r="T138" i="56"/>
  <c r="T136" i="56"/>
  <c r="T135" i="56"/>
  <c r="T134" i="56"/>
  <c r="T132" i="56"/>
  <c r="T131" i="56"/>
  <c r="T130" i="56"/>
  <c r="T128" i="56"/>
  <c r="T127" i="56"/>
  <c r="T124" i="56"/>
  <c r="T120" i="56"/>
  <c r="T119" i="56"/>
  <c r="T116" i="56"/>
  <c r="T115" i="56"/>
  <c r="T112" i="56"/>
  <c r="T110" i="56"/>
  <c r="T108" i="56"/>
  <c r="T107" i="56"/>
  <c r="T104" i="56"/>
  <c r="T103" i="56"/>
  <c r="T100" i="56"/>
  <c r="T99" i="56"/>
  <c r="T96" i="56"/>
  <c r="T95" i="56"/>
  <c r="T88" i="56"/>
  <c r="T87" i="56"/>
  <c r="T86" i="56"/>
  <c r="T84" i="56"/>
  <c r="T83" i="56"/>
  <c r="T80" i="56"/>
  <c r="T78" i="56"/>
  <c r="T76" i="56"/>
  <c r="T75" i="56"/>
  <c r="T74" i="56"/>
  <c r="T73" i="56"/>
  <c r="T72" i="56"/>
  <c r="T71" i="56"/>
  <c r="T64" i="56"/>
  <c r="T63" i="56"/>
  <c r="T61" i="56"/>
  <c r="T59" i="56"/>
  <c r="T58" i="56"/>
  <c r="T56" i="56"/>
  <c r="T55" i="56"/>
  <c r="T54" i="56"/>
  <c r="T52" i="56"/>
  <c r="T51" i="56"/>
  <c r="T48" i="56"/>
  <c r="T47" i="56"/>
  <c r="T44" i="56"/>
  <c r="T733" i="56"/>
  <c r="T732" i="56"/>
  <c r="T731" i="56"/>
  <c r="T715" i="56"/>
  <c r="T714" i="56"/>
  <c r="T711" i="56"/>
  <c r="T709" i="56"/>
  <c r="T703" i="56"/>
  <c r="T700" i="56"/>
  <c r="T698" i="56"/>
  <c r="T678" i="56"/>
  <c r="T676" i="56"/>
  <c r="T673" i="56"/>
  <c r="T672" i="56"/>
  <c r="T652" i="56"/>
  <c r="T640" i="56"/>
  <c r="T608" i="56"/>
  <c r="T606" i="56"/>
  <c r="T586" i="56"/>
  <c r="T472" i="56"/>
  <c r="T461" i="56"/>
  <c r="T445" i="56"/>
  <c r="T394" i="56"/>
  <c r="T390" i="56"/>
  <c r="T385" i="56"/>
  <c r="T382" i="56"/>
  <c r="T363" i="56"/>
  <c r="T328" i="56"/>
  <c r="T323" i="56"/>
  <c r="T303" i="56"/>
  <c r="T302" i="56"/>
  <c r="T300" i="56"/>
  <c r="T299" i="56"/>
  <c r="T290" i="56"/>
  <c r="T288" i="56"/>
  <c r="T287" i="56"/>
  <c r="T283" i="56"/>
  <c r="T276" i="56"/>
  <c r="T42" i="56"/>
  <c r="T40" i="56"/>
  <c r="T35" i="56"/>
  <c r="T32" i="56"/>
  <c r="T730" i="56"/>
  <c r="T713" i="56"/>
  <c r="T692" i="56"/>
  <c r="T691" i="56"/>
  <c r="T653" i="56"/>
  <c r="T651" i="56"/>
  <c r="T645" i="56"/>
  <c r="T618" i="56"/>
  <c r="T610" i="56"/>
  <c r="T603" i="56"/>
  <c r="T592" i="56"/>
  <c r="T453" i="56"/>
  <c r="T291" i="56"/>
  <c r="T282" i="56"/>
  <c r="T29" i="56"/>
  <c r="T43" i="56"/>
  <c r="T38" i="56"/>
  <c r="T33" i="56"/>
  <c r="T31" i="56"/>
  <c r="T30" i="56"/>
  <c r="T28" i="56"/>
  <c r="T26" i="56"/>
  <c r="T24" i="56"/>
  <c r="T23" i="56"/>
  <c r="T20" i="56"/>
  <c r="T19" i="56"/>
  <c r="T18" i="56"/>
  <c r="T17" i="56"/>
  <c r="T16" i="56"/>
  <c r="T15" i="56"/>
  <c r="T14" i="56"/>
  <c r="T12" i="56"/>
  <c r="T11" i="56"/>
  <c r="T10" i="56"/>
  <c r="T9" i="56"/>
  <c r="T7" i="56"/>
  <c r="T8" i="56"/>
  <c r="T27" i="56"/>
  <c r="T39" i="56"/>
  <c r="T46" i="56"/>
  <c r="T67" i="56"/>
  <c r="T70" i="56"/>
  <c r="T79" i="56"/>
  <c r="T90" i="56"/>
  <c r="T91" i="56"/>
  <c r="T102" i="56"/>
  <c r="T106" i="56"/>
  <c r="T111" i="56"/>
  <c r="T118" i="56"/>
  <c r="T122" i="56"/>
  <c r="T123" i="56"/>
  <c r="T126" i="56"/>
  <c r="T114" i="56"/>
  <c r="T98" i="56"/>
  <c r="T94" i="56"/>
  <c r="T82" i="56"/>
  <c r="T66" i="56"/>
  <c r="T62" i="56"/>
  <c r="T50" i="56"/>
  <c r="T34" i="56"/>
  <c r="T22" i="56"/>
  <c r="T734" i="56"/>
  <c r="T717" i="56"/>
  <c r="T716" i="56"/>
  <c r="T706" i="56"/>
  <c r="T705" i="56"/>
  <c r="T704" i="56"/>
  <c r="T702" i="56"/>
  <c r="T701" i="56"/>
  <c r="T690" i="56"/>
  <c r="T689" i="56"/>
  <c r="T688" i="56"/>
  <c r="T687" i="56"/>
  <c r="T686" i="56"/>
  <c r="T685" i="56"/>
  <c r="T684" i="56"/>
  <c r="T682" i="56"/>
  <c r="T681" i="56"/>
  <c r="T680" i="56"/>
  <c r="T679" i="56"/>
  <c r="T677" i="56"/>
  <c r="T675" i="56"/>
  <c r="T674" i="56"/>
  <c r="T664" i="56"/>
  <c r="T662" i="56"/>
  <c r="T661" i="56"/>
  <c r="T660" i="56"/>
  <c r="T659" i="56"/>
  <c r="T658" i="56"/>
  <c r="T657" i="56"/>
  <c r="T656" i="56"/>
  <c r="T649" i="56"/>
  <c r="T644" i="56"/>
  <c r="T643" i="56"/>
  <c r="T642" i="56"/>
  <c r="T641" i="56"/>
  <c r="T637" i="56"/>
  <c r="T636" i="56"/>
  <c r="T635" i="56"/>
  <c r="T634" i="56"/>
  <c r="T633" i="56"/>
  <c r="T632" i="56"/>
  <c r="T631" i="56"/>
  <c r="T630" i="56"/>
  <c r="T629" i="56"/>
  <c r="T628" i="56"/>
  <c r="T627" i="56"/>
  <c r="T626" i="56"/>
  <c r="T625" i="56"/>
  <c r="T624" i="56"/>
  <c r="T623" i="56"/>
  <c r="T622" i="56"/>
  <c r="T621" i="56"/>
  <c r="T620" i="56"/>
  <c r="T619" i="56"/>
  <c r="T617" i="56"/>
  <c r="T616" i="56"/>
  <c r="T615" i="56"/>
  <c r="T612" i="56"/>
  <c r="T609" i="56"/>
  <c r="T607" i="56"/>
  <c r="T604" i="56"/>
  <c r="T601" i="56"/>
  <c r="T600" i="56"/>
  <c r="T599" i="56"/>
  <c r="T598" i="56"/>
  <c r="T597" i="56"/>
  <c r="T596" i="56"/>
  <c r="T595" i="56"/>
  <c r="T593" i="56"/>
  <c r="T525" i="56"/>
  <c r="T524" i="56"/>
  <c r="T523" i="56"/>
  <c r="T522" i="56"/>
  <c r="T521" i="56"/>
  <c r="T520" i="56"/>
  <c r="T519" i="56"/>
  <c r="T518" i="56"/>
  <c r="T517" i="56"/>
  <c r="T516" i="56"/>
  <c r="T515" i="56"/>
  <c r="T514" i="56"/>
  <c r="T513" i="56"/>
  <c r="T512" i="56"/>
  <c r="T511" i="56"/>
  <c r="T510" i="56"/>
  <c r="T509" i="56"/>
  <c r="T508" i="56"/>
  <c r="T507" i="56"/>
  <c r="T506" i="56"/>
  <c r="T505" i="56"/>
  <c r="T504" i="56"/>
  <c r="T503" i="56"/>
  <c r="T502" i="56"/>
  <c r="T501" i="56"/>
  <c r="T500" i="56"/>
  <c r="T499" i="56"/>
  <c r="T498" i="56"/>
  <c r="T497" i="56"/>
  <c r="T496" i="56"/>
  <c r="T495" i="56"/>
  <c r="T494" i="56"/>
  <c r="T493" i="56"/>
  <c r="T492" i="56"/>
  <c r="T491" i="56"/>
  <c r="T490" i="56"/>
  <c r="T489" i="56"/>
  <c r="T488" i="56"/>
  <c r="T487" i="56"/>
  <c r="T486" i="56"/>
  <c r="T485" i="56"/>
  <c r="T484" i="56"/>
  <c r="T483" i="56"/>
  <c r="T482" i="56"/>
  <c r="T481" i="56"/>
  <c r="T480" i="56"/>
  <c r="T479" i="56"/>
  <c r="T478" i="56"/>
  <c r="T477" i="56"/>
  <c r="T476" i="56"/>
  <c r="T475" i="56"/>
  <c r="T474" i="56"/>
  <c r="T473" i="56"/>
  <c r="T471" i="56"/>
  <c r="T470" i="56"/>
  <c r="T469" i="56"/>
  <c r="T468" i="56"/>
  <c r="T467" i="56"/>
  <c r="T466" i="56"/>
  <c r="T465" i="56"/>
  <c r="T464" i="56"/>
  <c r="T463" i="56"/>
  <c r="T462" i="56"/>
  <c r="T460" i="56"/>
  <c r="T459" i="56"/>
  <c r="T458" i="56"/>
  <c r="T457" i="56"/>
  <c r="T456" i="56"/>
  <c r="T455" i="56"/>
  <c r="T454" i="56"/>
  <c r="T452" i="56"/>
  <c r="T451" i="56"/>
  <c r="T450" i="56"/>
  <c r="T449" i="56"/>
  <c r="T448" i="56"/>
  <c r="T447" i="56"/>
  <c r="T446" i="56"/>
  <c r="T444" i="56"/>
  <c r="T443" i="56"/>
  <c r="T442" i="56"/>
  <c r="T441" i="56"/>
  <c r="T440" i="56"/>
  <c r="T439" i="56"/>
  <c r="T438" i="56"/>
  <c r="T437" i="56"/>
  <c r="T436" i="56"/>
  <c r="T435" i="56"/>
  <c r="T434" i="56"/>
  <c r="T433" i="56"/>
  <c r="T432" i="56"/>
  <c r="T431" i="56"/>
  <c r="T430" i="56"/>
  <c r="T429" i="56"/>
  <c r="T428" i="56"/>
  <c r="T427" i="56"/>
  <c r="T426" i="56"/>
  <c r="T425" i="56"/>
  <c r="T424" i="56"/>
  <c r="T423" i="56"/>
  <c r="T422" i="56"/>
  <c r="T421" i="56"/>
  <c r="T420" i="56"/>
  <c r="T419" i="56"/>
  <c r="T418" i="56"/>
  <c r="T417" i="56"/>
  <c r="T416" i="56"/>
  <c r="T415" i="56"/>
  <c r="T414" i="56"/>
  <c r="T413" i="56"/>
  <c r="T412" i="56"/>
  <c r="T411" i="56"/>
  <c r="T410" i="56"/>
  <c r="T409" i="56"/>
  <c r="T408" i="56"/>
  <c r="T407" i="56"/>
  <c r="T406" i="56"/>
  <c r="T405" i="56"/>
  <c r="T404" i="56"/>
  <c r="T403" i="56"/>
  <c r="T402" i="56"/>
  <c r="T401" i="56"/>
  <c r="T400" i="56"/>
  <c r="T399" i="56"/>
  <c r="T398" i="56"/>
  <c r="T397" i="56"/>
  <c r="T396" i="56"/>
  <c r="T395" i="56"/>
  <c r="T393" i="56"/>
  <c r="T392" i="56"/>
  <c r="T391" i="56"/>
  <c r="T389" i="56"/>
  <c r="T388" i="56"/>
  <c r="T384" i="56"/>
  <c r="T383" i="56"/>
  <c r="T381" i="56"/>
  <c r="T380" i="56"/>
  <c r="T379" i="56"/>
  <c r="T378" i="56"/>
  <c r="T377" i="56"/>
  <c r="T376" i="56"/>
  <c r="T375" i="56"/>
  <c r="T374" i="56"/>
  <c r="T373" i="56"/>
  <c r="T372" i="56"/>
  <c r="T371" i="56"/>
  <c r="T370" i="56"/>
  <c r="T369" i="56"/>
  <c r="T368" i="56"/>
  <c r="T367" i="56"/>
  <c r="T366" i="56"/>
  <c r="T365" i="56"/>
  <c r="T364" i="56"/>
  <c r="T362" i="56"/>
  <c r="T361" i="56"/>
  <c r="T360" i="56"/>
  <c r="T359" i="56"/>
  <c r="T358" i="56"/>
  <c r="T357" i="56"/>
  <c r="T356" i="56"/>
  <c r="T355" i="56"/>
  <c r="T354" i="56"/>
  <c r="T353" i="56"/>
  <c r="T352" i="56"/>
  <c r="T351" i="56"/>
  <c r="T350" i="56"/>
  <c r="T349" i="56"/>
  <c r="T348" i="56"/>
  <c r="T347" i="56"/>
  <c r="T346" i="56"/>
  <c r="T345" i="56"/>
  <c r="T344" i="56"/>
  <c r="T343" i="56"/>
  <c r="T342" i="56"/>
  <c r="T341" i="56"/>
  <c r="T340" i="56"/>
  <c r="T339" i="56"/>
  <c r="T338" i="56"/>
  <c r="T337" i="56"/>
  <c r="T336" i="56"/>
  <c r="T335" i="56"/>
  <c r="T334" i="56"/>
  <c r="T333" i="56"/>
  <c r="T332" i="56"/>
  <c r="T331" i="56"/>
  <c r="T330" i="56"/>
  <c r="T329" i="56"/>
  <c r="T327" i="56"/>
  <c r="T326" i="56"/>
  <c r="T325" i="56"/>
  <c r="T324" i="56"/>
  <c r="T322" i="56"/>
  <c r="T321" i="56"/>
  <c r="T320" i="56"/>
  <c r="T319" i="56"/>
  <c r="T318" i="56"/>
  <c r="T317" i="56"/>
  <c r="T316" i="56"/>
  <c r="T315" i="56"/>
  <c r="T314" i="56"/>
  <c r="T313" i="56"/>
  <c r="T312" i="56"/>
  <c r="T311" i="56"/>
  <c r="T310" i="56"/>
  <c r="T309" i="56"/>
  <c r="T308" i="56"/>
  <c r="T307" i="56"/>
  <c r="T306" i="56"/>
  <c r="T305" i="56"/>
  <c r="T304" i="56"/>
  <c r="T301" i="56"/>
  <c r="T298" i="56"/>
  <c r="T297" i="56"/>
  <c r="T296" i="56"/>
  <c r="T295" i="56"/>
  <c r="T294" i="56"/>
  <c r="T293" i="56"/>
  <c r="T292" i="56"/>
  <c r="T289" i="56"/>
  <c r="T286" i="56"/>
  <c r="T285" i="56"/>
  <c r="T284" i="56"/>
  <c r="T281" i="56"/>
  <c r="T280" i="56"/>
  <c r="T279" i="56"/>
  <c r="T278" i="56"/>
  <c r="T277" i="56"/>
  <c r="T275" i="56"/>
  <c r="T274" i="56"/>
  <c r="T273" i="56"/>
  <c r="T272" i="56"/>
  <c r="T271" i="56"/>
  <c r="T270" i="56"/>
  <c r="T269" i="56"/>
  <c r="T268" i="56"/>
  <c r="T267" i="56"/>
  <c r="T266" i="56"/>
  <c r="T265" i="56"/>
  <c r="T264" i="56"/>
  <c r="T263" i="56"/>
  <c r="T262" i="56"/>
  <c r="T261" i="56"/>
  <c r="T260" i="56"/>
  <c r="T259" i="56"/>
  <c r="T258" i="56"/>
  <c r="T257" i="56"/>
  <c r="T256" i="56"/>
  <c r="T255" i="56"/>
  <c r="T254" i="56"/>
  <c r="T253" i="56"/>
  <c r="T252" i="56"/>
  <c r="T13" i="56"/>
  <c r="T21" i="56"/>
  <c r="T25" i="56"/>
  <c r="T36" i="56"/>
  <c r="T37" i="56"/>
  <c r="T41" i="56"/>
  <c r="T45" i="56"/>
  <c r="T49" i="56"/>
  <c r="T53" i="56"/>
  <c r="T57" i="56"/>
  <c r="T60" i="56"/>
  <c r="T65" i="56"/>
  <c r="T68" i="56"/>
  <c r="T69" i="56"/>
  <c r="T77" i="56"/>
  <c r="T81" i="56"/>
  <c r="T85" i="56"/>
  <c r="T89" i="56"/>
  <c r="T92" i="56"/>
  <c r="T93" i="56"/>
  <c r="T97" i="56"/>
  <c r="T101" i="56"/>
  <c r="T105" i="56"/>
  <c r="T109" i="56"/>
  <c r="T113" i="56"/>
  <c r="T117" i="56"/>
  <c r="T121" i="56"/>
  <c r="T125" i="56"/>
  <c r="T129" i="56"/>
  <c r="T133" i="56"/>
  <c r="T137" i="56"/>
  <c r="T141" i="56"/>
  <c r="T145" i="56"/>
  <c r="T149" i="56"/>
  <c r="T153" i="56"/>
  <c r="T157" i="56"/>
  <c r="T161" i="56"/>
  <c r="T165" i="56"/>
  <c r="T169" i="56"/>
  <c r="T173" i="56"/>
  <c r="T177" i="56"/>
  <c r="T178" i="56"/>
  <c r="T179" i="56"/>
  <c r="T181" i="56"/>
  <c r="T182" i="56"/>
  <c r="T183" i="56"/>
  <c r="T185" i="56"/>
  <c r="T186" i="56"/>
  <c r="T187" i="56"/>
  <c r="T189" i="56"/>
  <c r="T190" i="56"/>
  <c r="T191" i="56"/>
  <c r="T193" i="56"/>
  <c r="T194" i="56"/>
  <c r="T195" i="56"/>
  <c r="T197" i="56"/>
  <c r="T198" i="56"/>
  <c r="T199" i="56"/>
  <c r="T201" i="56"/>
  <c r="T202" i="56"/>
  <c r="T203" i="56"/>
  <c r="T205" i="56"/>
  <c r="T206" i="56"/>
  <c r="T207" i="56"/>
  <c r="T209" i="56"/>
  <c r="T210" i="56"/>
  <c r="T211" i="56"/>
  <c r="T213" i="56"/>
  <c r="T214" i="56"/>
  <c r="T215" i="56"/>
  <c r="T217" i="56"/>
  <c r="T218" i="56"/>
  <c r="T219" i="56"/>
  <c r="T221" i="56"/>
  <c r="T222" i="56"/>
  <c r="T223" i="56"/>
  <c r="T225" i="56"/>
  <c r="T226" i="56"/>
  <c r="T227" i="56"/>
  <c r="T229" i="56"/>
  <c r="T230" i="56"/>
  <c r="T231" i="56"/>
  <c r="T233" i="56"/>
  <c r="T234" i="56"/>
  <c r="T235" i="56"/>
  <c r="T236" i="56"/>
  <c r="T241" i="56"/>
  <c r="T249" i="56"/>
  <c r="T526" i="56"/>
  <c r="T527" i="56"/>
  <c r="T528" i="56"/>
  <c r="T529" i="56"/>
  <c r="T530" i="56"/>
  <c r="T531" i="56"/>
  <c r="T532" i="56"/>
  <c r="T533" i="56"/>
  <c r="T534" i="56"/>
  <c r="T535" i="56"/>
  <c r="T536" i="56"/>
  <c r="T537" i="56"/>
  <c r="T538" i="56"/>
  <c r="T539" i="56"/>
  <c r="T540" i="56"/>
  <c r="T541" i="56"/>
  <c r="T542" i="56"/>
  <c r="T543" i="56"/>
  <c r="T544" i="56"/>
  <c r="T545" i="56"/>
  <c r="T546" i="56"/>
  <c r="T547" i="56"/>
  <c r="T548" i="56"/>
  <c r="T549" i="56"/>
  <c r="T550" i="56"/>
  <c r="T551" i="56"/>
  <c r="T552" i="56"/>
  <c r="T553" i="56"/>
  <c r="T554" i="56"/>
  <c r="T555" i="56"/>
  <c r="T556" i="56"/>
  <c r="T557" i="56"/>
  <c r="T558" i="56"/>
  <c r="T559" i="56"/>
  <c r="T560" i="56"/>
  <c r="T561" i="56"/>
  <c r="T562" i="56"/>
  <c r="T563" i="56"/>
  <c r="T564" i="56"/>
  <c r="T565" i="56"/>
  <c r="T566" i="56"/>
  <c r="T567" i="56"/>
  <c r="T568" i="56"/>
  <c r="T569" i="56"/>
  <c r="T570" i="56"/>
  <c r="T571" i="56"/>
  <c r="T572" i="56"/>
  <c r="T573" i="56"/>
  <c r="T574" i="56"/>
  <c r="T575" i="56"/>
  <c r="T576" i="56"/>
  <c r="T577" i="56"/>
  <c r="T578" i="56"/>
  <c r="T579" i="56"/>
  <c r="T580" i="56"/>
  <c r="T581" i="56"/>
  <c r="T582" i="56"/>
  <c r="T583" i="56"/>
  <c r="T584" i="56"/>
  <c r="T585" i="56"/>
  <c r="T590" i="56"/>
  <c r="T591" i="56"/>
  <c r="T594" i="56"/>
  <c r="T602" i="56"/>
  <c r="T605" i="56"/>
  <c r="T611" i="56"/>
  <c r="T613" i="56"/>
  <c r="T614" i="56"/>
  <c r="T638" i="56"/>
  <c r="T639" i="56"/>
  <c r="T646" i="56"/>
  <c r="T647" i="56"/>
  <c r="T648" i="56"/>
  <c r="T650" i="56"/>
  <c r="T654" i="56"/>
  <c r="T663" i="56"/>
  <c r="T666" i="56"/>
  <c r="T667" i="56"/>
  <c r="T670" i="56"/>
  <c r="T671" i="56"/>
  <c r="T693" i="56"/>
  <c r="T696" i="56"/>
  <c r="T697" i="56"/>
  <c r="T707" i="56"/>
  <c r="T708" i="56"/>
  <c r="T718" i="56"/>
  <c r="T720" i="56"/>
  <c r="T722" i="56"/>
  <c r="T725" i="56"/>
  <c r="T726" i="56"/>
  <c r="T729" i="56"/>
  <c r="T736" i="56"/>
  <c r="T740" i="56"/>
  <c r="T741" i="56"/>
  <c r="T742" i="56"/>
  <c r="T743" i="56"/>
  <c r="T744" i="56"/>
  <c r="T745" i="56"/>
  <c r="T746" i="56"/>
  <c r="T747" i="56"/>
  <c r="T748" i="56"/>
  <c r="T749" i="56"/>
  <c r="T750" i="56"/>
  <c r="T751" i="56"/>
  <c r="T752" i="56"/>
  <c r="T753" i="56"/>
  <c r="T754" i="56"/>
  <c r="T755" i="56"/>
  <c r="T756" i="56"/>
  <c r="T757" i="56"/>
  <c r="T758" i="56"/>
  <c r="T759" i="56"/>
  <c r="T760" i="56"/>
  <c r="T761" i="56"/>
  <c r="T762" i="56"/>
  <c r="T763" i="56"/>
  <c r="T764" i="56"/>
  <c r="T765" i="56"/>
  <c r="T766" i="56"/>
  <c r="T767" i="56"/>
  <c r="T768" i="56"/>
  <c r="T769" i="56"/>
  <c r="T770" i="56"/>
  <c r="T771" i="56"/>
  <c r="T772" i="56"/>
  <c r="T773" i="56"/>
  <c r="T774" i="56"/>
  <c r="T775" i="56"/>
  <c r="T776" i="56"/>
  <c r="T777" i="56"/>
  <c r="T779" i="56"/>
  <c r="T780" i="56"/>
  <c r="T781" i="56"/>
  <c r="T782" i="56"/>
  <c r="T783" i="56"/>
  <c r="T784" i="56"/>
  <c r="T785" i="56"/>
  <c r="T786" i="56"/>
  <c r="T787" i="56"/>
  <c r="T788" i="56"/>
  <c r="T789" i="56"/>
  <c r="T790" i="56"/>
  <c r="T791" i="56"/>
  <c r="T792" i="56"/>
  <c r="T793" i="56"/>
  <c r="T794" i="56"/>
  <c r="T795" i="56"/>
  <c r="T796" i="56"/>
  <c r="T797" i="56"/>
  <c r="T798" i="56"/>
  <c r="T799" i="56"/>
  <c r="T800" i="56"/>
  <c r="T801" i="56"/>
  <c r="T802" i="56"/>
  <c r="T803" i="56"/>
  <c r="T804" i="56"/>
  <c r="T805" i="56"/>
  <c r="T806" i="56"/>
  <c r="T807" i="56"/>
  <c r="T808" i="56"/>
  <c r="T809" i="56"/>
  <c r="T810" i="56"/>
  <c r="T811" i="56"/>
  <c r="T812" i="56"/>
  <c r="T813" i="56"/>
  <c r="T814" i="56"/>
  <c r="T815" i="56"/>
  <c r="T816" i="56"/>
  <c r="T817" i="56"/>
  <c r="T818" i="56"/>
  <c r="T819" i="56"/>
  <c r="T820" i="56"/>
  <c r="T821" i="56"/>
  <c r="T822" i="56"/>
  <c r="T823" i="56"/>
  <c r="T824" i="56"/>
  <c r="T825" i="56"/>
  <c r="T826" i="56"/>
  <c r="T827" i="56"/>
  <c r="T828" i="56"/>
  <c r="T829" i="56"/>
  <c r="T830" i="56"/>
  <c r="T831" i="56"/>
  <c r="T832" i="56"/>
  <c r="T833" i="56"/>
  <c r="T834" i="56"/>
  <c r="T835" i="56"/>
  <c r="T836" i="56"/>
  <c r="T837" i="56"/>
  <c r="T838" i="56"/>
  <c r="T839" i="56"/>
  <c r="T840" i="56"/>
  <c r="T841" i="56"/>
  <c r="T842" i="56"/>
  <c r="T843" i="56"/>
  <c r="T844" i="56"/>
  <c r="T845" i="56"/>
  <c r="T846" i="56"/>
  <c r="T847" i="56"/>
  <c r="T848" i="56"/>
  <c r="T849" i="56"/>
  <c r="T850" i="56"/>
  <c r="T851" i="56"/>
  <c r="T852" i="56"/>
  <c r="T853" i="56"/>
  <c r="T854" i="56"/>
  <c r="T855" i="56"/>
  <c r="T856" i="56"/>
  <c r="T857" i="56"/>
  <c r="T858" i="56"/>
  <c r="T859" i="56"/>
  <c r="T860" i="56"/>
  <c r="T861" i="56"/>
  <c r="T862" i="56"/>
  <c r="T863" i="56"/>
  <c r="T864" i="56"/>
  <c r="T865" i="56"/>
  <c r="T866" i="56"/>
  <c r="T867" i="56"/>
  <c r="T868" i="56"/>
  <c r="T869" i="56"/>
  <c r="T870" i="56"/>
  <c r="T871" i="56"/>
  <c r="T872" i="56"/>
  <c r="T873" i="56"/>
  <c r="T874" i="56"/>
  <c r="T875" i="56"/>
  <c r="T876" i="56"/>
  <c r="T877" i="56"/>
  <c r="T878" i="56"/>
  <c r="T879" i="56"/>
  <c r="T880" i="56"/>
  <c r="T881" i="56"/>
  <c r="T882" i="56"/>
  <c r="T883" i="56"/>
  <c r="T884" i="56"/>
  <c r="T885" i="56"/>
  <c r="T886" i="56"/>
  <c r="T887" i="56"/>
  <c r="T888" i="56"/>
  <c r="T889" i="56"/>
  <c r="T890" i="56"/>
  <c r="T891" i="56"/>
  <c r="T892" i="56"/>
  <c r="T893" i="56"/>
  <c r="T894" i="56"/>
  <c r="T895" i="56"/>
  <c r="T896" i="56"/>
  <c r="T897" i="56"/>
  <c r="T898" i="56"/>
  <c r="T899" i="56"/>
  <c r="T900" i="56"/>
  <c r="T901" i="56"/>
  <c r="T902" i="56"/>
  <c r="T903" i="56"/>
  <c r="T904" i="56"/>
  <c r="T905" i="56"/>
  <c r="T906" i="56"/>
  <c r="T907" i="56"/>
  <c r="T908" i="56"/>
  <c r="T909" i="56"/>
  <c r="T910" i="56"/>
  <c r="T911" i="56"/>
  <c r="T912" i="56"/>
  <c r="T913" i="56"/>
  <c r="T914" i="56"/>
  <c r="T915" i="56"/>
  <c r="T916" i="56"/>
  <c r="T917" i="56"/>
  <c r="T918" i="56"/>
  <c r="T919" i="56"/>
  <c r="T920" i="56"/>
  <c r="T921" i="56"/>
  <c r="T922" i="56"/>
  <c r="T923" i="56"/>
  <c r="T924" i="56"/>
  <c r="T925" i="56"/>
  <c r="T926" i="56"/>
  <c r="T927" i="56"/>
  <c r="T928" i="56"/>
  <c r="T929" i="56"/>
  <c r="T930" i="56"/>
  <c r="T931" i="56"/>
  <c r="T932" i="56"/>
  <c r="T933" i="56"/>
  <c r="T934" i="56"/>
  <c r="T935" i="56"/>
  <c r="T936" i="56"/>
  <c r="T937" i="56"/>
  <c r="T938" i="56"/>
  <c r="T939" i="56"/>
  <c r="T940" i="56"/>
  <c r="T941" i="56"/>
  <c r="T942" i="56"/>
  <c r="T943" i="56"/>
  <c r="T944" i="56"/>
  <c r="T945" i="56"/>
  <c r="T946" i="56"/>
  <c r="T947" i="56"/>
  <c r="T948" i="56"/>
  <c r="T949" i="56"/>
  <c r="T950" i="56"/>
  <c r="T951" i="56"/>
  <c r="T952" i="56"/>
  <c r="T953" i="56"/>
  <c r="T954" i="56"/>
  <c r="T955" i="56"/>
  <c r="T956" i="56"/>
  <c r="T957" i="56"/>
  <c r="T958" i="56"/>
  <c r="T959" i="56"/>
  <c r="T960" i="56"/>
  <c r="T961" i="56"/>
  <c r="T962" i="56"/>
  <c r="T963" i="56"/>
  <c r="T964" i="56"/>
  <c r="T965" i="56"/>
  <c r="T966" i="56"/>
  <c r="T967" i="56"/>
  <c r="T968" i="56"/>
  <c r="T969" i="56"/>
  <c r="T970" i="56"/>
  <c r="T971" i="56"/>
  <c r="T972" i="56"/>
  <c r="T973" i="56"/>
  <c r="T974" i="56"/>
  <c r="T975" i="56"/>
  <c r="T976" i="56"/>
  <c r="T977" i="56"/>
  <c r="T978" i="56"/>
  <c r="T979" i="56"/>
  <c r="T980" i="56"/>
  <c r="T981" i="56"/>
  <c r="T982" i="56"/>
  <c r="T983" i="56"/>
  <c r="T984" i="56"/>
  <c r="T985" i="56"/>
  <c r="T986" i="56"/>
  <c r="T987" i="56"/>
  <c r="T988" i="56"/>
  <c r="T989" i="56"/>
  <c r="T990" i="56"/>
  <c r="T991" i="56"/>
  <c r="T992" i="56"/>
  <c r="T993" i="56"/>
  <c r="T994" i="56"/>
  <c r="T995" i="56"/>
  <c r="T996" i="56"/>
  <c r="T997" i="56"/>
  <c r="T998" i="56"/>
  <c r="T999" i="56"/>
  <c r="T1000" i="56"/>
  <c r="T1001" i="56"/>
  <c r="T1002" i="56"/>
  <c r="T1003" i="56"/>
  <c r="T1004" i="56"/>
  <c r="T1005" i="56"/>
  <c r="T1006" i="56"/>
  <c r="T1007" i="56"/>
  <c r="T1008" i="56"/>
  <c r="T1009" i="56"/>
  <c r="T1010" i="56"/>
  <c r="T1011" i="56"/>
  <c r="T1012" i="56"/>
  <c r="T1013" i="56"/>
  <c r="T1014" i="56"/>
  <c r="T1015" i="56"/>
  <c r="T1016" i="56"/>
  <c r="T1017" i="56"/>
  <c r="T1018" i="56"/>
  <c r="T1019" i="56"/>
  <c r="T1020" i="56"/>
  <c r="T1021" i="56"/>
  <c r="T1022" i="56"/>
  <c r="T1023" i="56"/>
  <c r="T1024" i="56"/>
  <c r="T1025" i="56"/>
  <c r="T1026" i="56"/>
  <c r="T1027" i="56"/>
  <c r="T1028" i="56"/>
  <c r="T1029" i="56"/>
  <c r="T1030" i="56"/>
  <c r="T1031" i="56"/>
  <c r="T1032" i="56"/>
  <c r="T1033" i="56"/>
  <c r="T1034" i="56"/>
  <c r="T1035" i="56"/>
  <c r="T1036" i="56"/>
  <c r="T1037" i="56"/>
  <c r="T1038" i="56"/>
  <c r="T1039" i="56"/>
  <c r="T1040" i="56"/>
  <c r="T1041" i="56"/>
  <c r="T1042" i="56"/>
  <c r="T1043" i="56"/>
  <c r="T1044" i="56"/>
  <c r="T1045" i="56"/>
  <c r="T1046" i="56"/>
  <c r="T1047" i="56"/>
  <c r="T1048" i="56"/>
  <c r="T1049" i="56"/>
  <c r="T1050" i="56"/>
  <c r="T1051" i="56"/>
  <c r="T1052" i="56"/>
  <c r="T1053" i="56"/>
  <c r="T1054" i="56"/>
  <c r="T1055" i="56"/>
  <c r="T1056" i="56"/>
  <c r="T1057" i="56"/>
  <c r="T1058" i="56"/>
  <c r="T1059" i="56"/>
  <c r="T1060" i="56"/>
  <c r="T1061" i="56"/>
  <c r="T1062" i="56"/>
  <c r="T1063" i="56"/>
  <c r="T1064" i="56"/>
  <c r="T1065" i="56"/>
  <c r="T1066" i="56"/>
  <c r="T1067" i="56"/>
  <c r="T1068" i="56"/>
  <c r="T1069" i="56"/>
  <c r="T1070" i="56"/>
  <c r="T1071" i="56"/>
  <c r="T1072" i="56"/>
  <c r="T1073" i="56"/>
  <c r="T1074" i="56"/>
  <c r="T1075" i="56"/>
  <c r="T1076" i="56"/>
  <c r="T1077" i="56"/>
  <c r="T1078" i="56"/>
  <c r="T1079" i="56"/>
  <c r="T1080" i="56"/>
  <c r="T1081" i="56"/>
  <c r="T1082" i="56"/>
  <c r="T1083" i="56"/>
  <c r="T1084" i="56"/>
  <c r="T1085" i="56"/>
  <c r="T1086" i="56"/>
  <c r="T1087" i="56"/>
  <c r="T1088" i="56"/>
  <c r="T1089" i="56"/>
  <c r="T1090" i="56"/>
  <c r="T1091" i="56"/>
  <c r="T1092" i="56"/>
  <c r="T1093" i="56"/>
  <c r="T1094" i="56"/>
  <c r="T1095" i="56"/>
  <c r="T1096" i="56"/>
  <c r="T1097" i="56"/>
  <c r="T1098" i="56"/>
  <c r="T1099" i="56"/>
  <c r="T1100" i="56"/>
  <c r="T1101" i="56"/>
  <c r="T1102" i="56"/>
  <c r="T1103" i="56"/>
  <c r="T1104" i="56"/>
  <c r="T1105" i="56"/>
  <c r="T1106" i="56"/>
  <c r="T1107" i="56"/>
  <c r="T1108" i="56"/>
  <c r="T1109" i="56"/>
  <c r="T1110" i="56"/>
  <c r="T1111" i="56"/>
  <c r="T1112" i="56"/>
  <c r="T1113" i="56"/>
  <c r="T1114" i="56"/>
  <c r="T1115" i="56"/>
  <c r="T1116" i="56"/>
  <c r="T1117" i="56"/>
  <c r="T1118" i="56"/>
  <c r="T1119" i="56"/>
  <c r="T1120" i="56"/>
  <c r="T1121" i="56"/>
  <c r="T1122" i="56"/>
  <c r="T1123" i="56"/>
  <c r="T1124" i="56"/>
  <c r="T1125" i="56"/>
  <c r="T251" i="56" l="1"/>
  <c r="M102" i="56" l="1"/>
  <c r="M223" i="56" l="1"/>
  <c r="M734" i="56" l="1"/>
  <c r="M733" i="56"/>
  <c r="M732" i="56"/>
  <c r="M382" i="56"/>
  <c r="M442" i="56"/>
  <c r="M461" i="56"/>
  <c r="M305" i="56" l="1"/>
  <c r="M162" i="56"/>
  <c r="M148" i="56"/>
  <c r="M164" i="56"/>
  <c r="M147" i="56"/>
  <c r="M311" i="56"/>
  <c r="M314" i="56"/>
  <c r="M225" i="56" l="1"/>
  <c r="M27" i="56" l="1"/>
  <c r="M31" i="56"/>
  <c r="M33" i="56"/>
  <c r="M34" i="56"/>
  <c r="M35" i="56"/>
  <c r="M37" i="56"/>
  <c r="M38" i="56"/>
  <c r="M41" i="56"/>
  <c r="M42" i="56"/>
  <c r="M5" i="56" s="1"/>
  <c r="M159" i="56"/>
  <c r="M196" i="56"/>
  <c r="M204" i="56"/>
  <c r="M224" i="56"/>
  <c r="M227" i="56"/>
  <c r="M229" i="56"/>
  <c r="M231" i="56"/>
  <c r="M234" i="56"/>
  <c r="M236" i="56"/>
  <c r="M238" i="56"/>
  <c r="M280" i="56"/>
  <c r="M281" i="56"/>
  <c r="M282" i="56"/>
  <c r="M285" i="56"/>
  <c r="M286" i="56"/>
  <c r="M292" i="56"/>
  <c r="M299" i="56"/>
  <c r="M300" i="56"/>
  <c r="M301" i="56"/>
  <c r="M302" i="56"/>
  <c r="M304" i="56"/>
  <c r="M315" i="56"/>
  <c r="M318" i="56"/>
  <c r="M320" i="56"/>
  <c r="M321" i="56"/>
  <c r="M324" i="56"/>
  <c r="M328" i="56"/>
  <c r="M339" i="56"/>
  <c r="M345" i="56"/>
  <c r="M346" i="56"/>
  <c r="M347" i="56"/>
  <c r="M348" i="56"/>
  <c r="M349" i="56"/>
  <c r="M350" i="56"/>
  <c r="M351" i="56"/>
  <c r="M353" i="56"/>
  <c r="M354" i="56"/>
  <c r="M355" i="56"/>
  <c r="M356" i="56"/>
  <c r="M357" i="56"/>
  <c r="M363" i="56"/>
  <c r="M364" i="56"/>
  <c r="M365" i="56"/>
  <c r="M366" i="56"/>
  <c r="M380" i="56"/>
  <c r="M384" i="56"/>
  <c r="M388" i="56"/>
  <c r="M401" i="56"/>
  <c r="M406" i="56"/>
  <c r="M407" i="56"/>
  <c r="M410" i="56"/>
  <c r="M412" i="56"/>
  <c r="M435" i="56"/>
  <c r="M436" i="56"/>
  <c r="M447" i="56"/>
  <c r="M449" i="56"/>
  <c r="M452" i="56"/>
  <c r="M468" i="56"/>
  <c r="M469" i="56"/>
  <c r="M470" i="56"/>
  <c r="M478" i="56"/>
  <c r="M483" i="56"/>
  <c r="M486" i="56"/>
  <c r="M487" i="56"/>
  <c r="M488" i="56"/>
  <c r="M489" i="56"/>
  <c r="M490" i="56"/>
  <c r="M491" i="56"/>
  <c r="M492" i="56"/>
  <c r="M493" i="56"/>
  <c r="M494" i="56"/>
  <c r="M495" i="56"/>
  <c r="M496" i="56"/>
  <c r="M497" i="56"/>
  <c r="M498" i="56"/>
  <c r="M499" i="56"/>
  <c r="M500" i="56"/>
  <c r="M501" i="56"/>
  <c r="M502" i="56"/>
  <c r="M503" i="56"/>
  <c r="M504" i="56"/>
  <c r="M505" i="56"/>
  <c r="M506" i="56"/>
  <c r="M507" i="56"/>
  <c r="M508" i="56"/>
  <c r="M509" i="56"/>
  <c r="M510" i="56"/>
  <c r="M512" i="56"/>
  <c r="M513" i="56"/>
  <c r="M514" i="56"/>
  <c r="M515" i="56"/>
  <c r="M516" i="56"/>
  <c r="M517" i="56"/>
  <c r="M518" i="56"/>
  <c r="M519" i="56"/>
  <c r="M520" i="56"/>
  <c r="M522" i="56"/>
  <c r="M523" i="56"/>
  <c r="M524" i="56"/>
  <c r="M525" i="56"/>
  <c r="M532" i="56"/>
  <c r="M533" i="56"/>
  <c r="M546" i="56"/>
  <c r="M547" i="56"/>
  <c r="M548" i="56"/>
  <c r="M549" i="56"/>
  <c r="M550" i="56"/>
  <c r="M551" i="56"/>
  <c r="M555" i="56"/>
  <c r="M558" i="56"/>
  <c r="M559" i="56"/>
  <c r="M560" i="56"/>
  <c r="M561" i="56"/>
  <c r="M569" i="56"/>
  <c r="M573" i="56"/>
  <c r="M574" i="56"/>
  <c r="M581" i="56"/>
  <c r="M583" i="56"/>
  <c r="M593" i="56"/>
  <c r="M597" i="56"/>
  <c r="M598" i="56"/>
  <c r="M603" i="56"/>
  <c r="M604" i="56"/>
  <c r="M606" i="56"/>
  <c r="M607" i="56"/>
  <c r="M612" i="56"/>
  <c r="M621" i="56"/>
  <c r="M622" i="56"/>
  <c r="M623" i="56"/>
  <c r="M624" i="56"/>
  <c r="M625" i="56"/>
  <c r="M626" i="56"/>
  <c r="M627" i="56"/>
  <c r="M628" i="56"/>
  <c r="M629" i="56"/>
  <c r="M630" i="56"/>
  <c r="M631" i="56"/>
  <c r="M632" i="56"/>
  <c r="M633" i="56"/>
  <c r="M634" i="56"/>
  <c r="M635" i="56"/>
  <c r="M636" i="56"/>
  <c r="M638" i="56"/>
  <c r="M647" i="56"/>
  <c r="M649" i="56"/>
  <c r="M656" i="56"/>
  <c r="M663" i="56"/>
  <c r="M664" i="56"/>
  <c r="M669" i="56"/>
  <c r="M709" i="56"/>
  <c r="X6" i="56" l="1"/>
  <c r="M620" i="51" l="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s="1"/>
  <c r="M220" i="51"/>
  <c r="Q220" i="51" s="1"/>
  <c r="M182" i="51"/>
  <c r="M42" i="51"/>
  <c r="M24" i="51"/>
  <c r="M7" i="51"/>
  <c r="M5" i="51" l="1"/>
  <c r="T619" i="49"/>
  <c r="M615" i="49" l="1"/>
  <c r="M611" i="49"/>
  <c r="M603" i="49"/>
  <c r="M543" i="49"/>
  <c r="M535" i="49"/>
  <c r="M512" i="49"/>
  <c r="M506" i="49"/>
  <c r="M399" i="49"/>
  <c r="M358" i="49"/>
  <c r="M352" i="49"/>
  <c r="M332" i="49"/>
  <c r="M243" i="49"/>
  <c r="M237" i="49"/>
  <c r="M226" i="49"/>
  <c r="M220" i="49"/>
  <c r="M182" i="49"/>
  <c r="M24" i="49"/>
  <c r="M7" i="49"/>
  <c r="M619" i="49" l="1"/>
  <c r="M5" i="49"/>
  <c r="E13" i="44"/>
  <c r="I6" i="42" l="1"/>
  <c r="I5" i="40"/>
  <c r="F13" i="42"/>
  <c r="I13" i="42" s="1"/>
  <c r="I12" i="42"/>
  <c r="I11" i="42"/>
  <c r="I10" i="42"/>
  <c r="I9" i="42"/>
  <c r="I8" i="42"/>
  <c r="I7" i="42"/>
  <c r="I5" i="42"/>
  <c r="F6" i="40"/>
  <c r="I6" i="40" s="1"/>
  <c r="I5" i="38"/>
  <c r="I6" i="38"/>
  <c r="G7" i="38"/>
  <c r="F7" i="38"/>
  <c r="Z84" i="32"/>
  <c r="X43" i="32"/>
  <c r="X45" i="32"/>
  <c r="Y45" i="32" s="1"/>
  <c r="W37" i="32"/>
  <c r="AA37" i="32" s="1"/>
  <c r="W36" i="32"/>
  <c r="Y36" i="32" s="1"/>
  <c r="W35" i="32"/>
  <c r="AA35" i="32" s="1"/>
  <c r="W34" i="32"/>
  <c r="AB33" i="32"/>
  <c r="V95" i="32"/>
  <c r="W95" i="32" s="1"/>
  <c r="V25" i="32"/>
  <c r="W25" i="32" s="1"/>
  <c r="AA25" i="32" s="1"/>
  <c r="W30" i="32"/>
  <c r="C740" i="34"/>
  <c r="AB8" i="32"/>
  <c r="AB6" i="32"/>
  <c r="AB13" i="32"/>
  <c r="AB39" i="32"/>
  <c r="AB41" i="32"/>
  <c r="Z41" i="32"/>
  <c r="AA41" i="32" s="1"/>
  <c r="AB26" i="32"/>
  <c r="AB57" i="32"/>
  <c r="AB55" i="32"/>
  <c r="AB56" i="32"/>
  <c r="AB84" i="32"/>
  <c r="AB75" i="32"/>
  <c r="AB79" i="32"/>
  <c r="AB73" i="32"/>
  <c r="AB37" i="32"/>
  <c r="AB32" i="32"/>
  <c r="Z80" i="32"/>
  <c r="AA80" i="32" s="1"/>
  <c r="AB54" i="32"/>
  <c r="Z54" i="32"/>
  <c r="AA54" i="32" s="1"/>
  <c r="AB67" i="32"/>
  <c r="AB85" i="32"/>
  <c r="AB59" i="32"/>
  <c r="AA101" i="32"/>
  <c r="Y101" i="32"/>
  <c r="AA100" i="32"/>
  <c r="Y100" i="32"/>
  <c r="AA99" i="32"/>
  <c r="Y99" i="32"/>
  <c r="Z98" i="32"/>
  <c r="AA98" i="32" s="1"/>
  <c r="X98" i="32"/>
  <c r="Y98" i="32" s="1"/>
  <c r="AA97" i="32"/>
  <c r="Y97" i="32"/>
  <c r="AA96" i="32"/>
  <c r="Y96" i="32"/>
  <c r="T95" i="32"/>
  <c r="W94" i="32"/>
  <c r="AA94" i="32" s="1"/>
  <c r="AA93" i="32"/>
  <c r="Y93" i="32"/>
  <c r="AA92" i="32"/>
  <c r="Y92" i="32"/>
  <c r="AA91" i="32"/>
  <c r="Y91" i="32"/>
  <c r="AA90" i="32"/>
  <c r="Y90" i="32"/>
  <c r="AA89" i="32"/>
  <c r="Y89" i="32"/>
  <c r="AA88" i="32"/>
  <c r="Y88" i="32"/>
  <c r="W87" i="32"/>
  <c r="Z86" i="32"/>
  <c r="AA86" i="32" s="1"/>
  <c r="Y86" i="32"/>
  <c r="Z85" i="32"/>
  <c r="AA85" i="32" s="1"/>
  <c r="Y85" i="32"/>
  <c r="V84" i="32"/>
  <c r="W84" i="32" s="1"/>
  <c r="Y84" i="32" s="1"/>
  <c r="AA83" i="32"/>
  <c r="Y83" i="32"/>
  <c r="W82" i="32"/>
  <c r="Y82" i="32" s="1"/>
  <c r="AA81" i="32"/>
  <c r="Y81" i="32"/>
  <c r="Y80" i="32"/>
  <c r="W79" i="32"/>
  <c r="W78" i="32"/>
  <c r="W77" i="32"/>
  <c r="Y77" i="32" s="1"/>
  <c r="AB76" i="32"/>
  <c r="Z76" i="32"/>
  <c r="AA76" i="32" s="1"/>
  <c r="Y76" i="32"/>
  <c r="Z75" i="32"/>
  <c r="W75" i="32"/>
  <c r="Y75" i="32" s="1"/>
  <c r="AA74" i="32"/>
  <c r="Y74" i="32"/>
  <c r="AA73" i="32"/>
  <c r="X73" i="32"/>
  <c r="Y73" i="32" s="1"/>
  <c r="W72" i="32"/>
  <c r="W71" i="32"/>
  <c r="Y71" i="32" s="1"/>
  <c r="AA70" i="32"/>
  <c r="Y70" i="32"/>
  <c r="AA69" i="32"/>
  <c r="Y69" i="32"/>
  <c r="X68" i="32"/>
  <c r="V68" i="32"/>
  <c r="AA67" i="32"/>
  <c r="Y67" i="32"/>
  <c r="AA66" i="32"/>
  <c r="X66" i="32"/>
  <c r="Y66" i="32" s="1"/>
  <c r="X65" i="32"/>
  <c r="V65" i="32"/>
  <c r="W65" i="32" s="1"/>
  <c r="AA64" i="32"/>
  <c r="X64" i="32"/>
  <c r="Y64" i="32" s="1"/>
  <c r="W63" i="32"/>
  <c r="AA62" i="32"/>
  <c r="Y62" i="32"/>
  <c r="AA61" i="32"/>
  <c r="Y61" i="32"/>
  <c r="AA60" i="32"/>
  <c r="Y60" i="32"/>
  <c r="Z59" i="32"/>
  <c r="AA59" i="32" s="1"/>
  <c r="Y59" i="32"/>
  <c r="Z58" i="32"/>
  <c r="AA58" i="32" s="1"/>
  <c r="Y58" i="32"/>
  <c r="AA57" i="32"/>
  <c r="Y57" i="32"/>
  <c r="Z56" i="32"/>
  <c r="X56" i="32"/>
  <c r="W56" i="32"/>
  <c r="Y56" i="32" s="1"/>
  <c r="AA55" i="32"/>
  <c r="Y55" i="32"/>
  <c r="Y54" i="32"/>
  <c r="AB53" i="32"/>
  <c r="AA53" i="32"/>
  <c r="W52" i="32"/>
  <c r="Y52" i="32" s="1"/>
  <c r="T52" i="32"/>
  <c r="V51" i="32"/>
  <c r="W51" i="32" s="1"/>
  <c r="W50" i="32"/>
  <c r="W49" i="32"/>
  <c r="Y49" i="32" s="1"/>
  <c r="V48" i="32"/>
  <c r="W48" i="32" s="1"/>
  <c r="AA47" i="32"/>
  <c r="Y47" i="32"/>
  <c r="AA46" i="32"/>
  <c r="Y46" i="32"/>
  <c r="AA45" i="32"/>
  <c r="W44" i="32"/>
  <c r="Y44" i="32" s="1"/>
  <c r="V43" i="32"/>
  <c r="W43" i="32" s="1"/>
  <c r="AA42" i="32"/>
  <c r="Y42" i="32"/>
  <c r="Y41" i="32"/>
  <c r="T40" i="32"/>
  <c r="U40" i="32" s="1"/>
  <c r="W40" i="32" s="1"/>
  <c r="AA40" i="32" s="1"/>
  <c r="Z39" i="32"/>
  <c r="AA39" i="32" s="1"/>
  <c r="Y39" i="32"/>
  <c r="V38" i="32"/>
  <c r="W38" i="32" s="1"/>
  <c r="AA33" i="32"/>
  <c r="Y33" i="32"/>
  <c r="AA32" i="32"/>
  <c r="Y32" i="32"/>
  <c r="AA31" i="32"/>
  <c r="Y31" i="32"/>
  <c r="X30" i="32"/>
  <c r="V29" i="32"/>
  <c r="W29" i="32" s="1"/>
  <c r="Y29" i="32" s="1"/>
  <c r="AA28" i="32"/>
  <c r="Y28" i="32"/>
  <c r="AA27" i="32"/>
  <c r="Y27" i="32"/>
  <c r="AA26" i="32"/>
  <c r="Y26" i="32"/>
  <c r="W24" i="32"/>
  <c r="U23" i="32"/>
  <c r="W23" i="32" s="1"/>
  <c r="AA23" i="32" s="1"/>
  <c r="W22" i="32"/>
  <c r="Y22" i="32" s="1"/>
  <c r="AA21" i="32"/>
  <c r="Y21" i="32"/>
  <c r="AA20" i="32"/>
  <c r="Y20" i="32"/>
  <c r="AA19" i="32"/>
  <c r="Y19" i="32"/>
  <c r="AA18" i="32"/>
  <c r="Y18" i="32"/>
  <c r="AA17" i="32"/>
  <c r="Y17" i="32"/>
  <c r="W16" i="32"/>
  <c r="W15" i="32"/>
  <c r="W14" i="32"/>
  <c r="U13" i="32"/>
  <c r="W13" i="32" s="1"/>
  <c r="AA12" i="32"/>
  <c r="Y12" i="32"/>
  <c r="AA11" i="32"/>
  <c r="Y11" i="32"/>
  <c r="U11" i="32"/>
  <c r="Z10" i="32"/>
  <c r="AA10" i="32" s="1"/>
  <c r="X10" i="32"/>
  <c r="Y10" i="32" s="1"/>
  <c r="W9" i="32"/>
  <c r="Y9" i="32" s="1"/>
  <c r="U8" i="32"/>
  <c r="AA7" i="32"/>
  <c r="X7" i="32"/>
  <c r="Y7" i="32" s="1"/>
  <c r="W6" i="32"/>
  <c r="Y6" i="32" s="1"/>
  <c r="Y1" i="32"/>
  <c r="Z26" i="19"/>
  <c r="AA26" i="19" s="1"/>
  <c r="V38" i="19"/>
  <c r="W38" i="19" s="1"/>
  <c r="AA38" i="19" s="1"/>
  <c r="V29" i="19"/>
  <c r="W29" i="19" s="1"/>
  <c r="W30" i="19"/>
  <c r="Z86" i="19"/>
  <c r="W25" i="19"/>
  <c r="Y25" i="19" s="1"/>
  <c r="W22" i="19"/>
  <c r="AA22" i="19" s="1"/>
  <c r="Z8" i="19"/>
  <c r="X15" i="19"/>
  <c r="X8" i="19"/>
  <c r="Y23" i="32"/>
  <c r="Y25" i="32"/>
  <c r="X7" i="19"/>
  <c r="Y7" i="19" s="1"/>
  <c r="W16" i="19"/>
  <c r="W15" i="19"/>
  <c r="AA15" i="19" s="1"/>
  <c r="Y17" i="19"/>
  <c r="W14" i="19"/>
  <c r="W6" i="19"/>
  <c r="AA6" i="19" s="1"/>
  <c r="Z98" i="19"/>
  <c r="Z56" i="19"/>
  <c r="Z67" i="19"/>
  <c r="AA67" i="19" s="1"/>
  <c r="X67" i="19"/>
  <c r="Y67" i="19" s="1"/>
  <c r="X68" i="19"/>
  <c r="X66" i="19"/>
  <c r="Y66" i="19" s="1"/>
  <c r="X64" i="19"/>
  <c r="Y64" i="19" s="1"/>
  <c r="X71" i="19"/>
  <c r="W78" i="19"/>
  <c r="W77" i="19"/>
  <c r="Y77" i="19" s="1"/>
  <c r="W82" i="19"/>
  <c r="Y82" i="19" s="1"/>
  <c r="W72" i="19"/>
  <c r="W105" i="19"/>
  <c r="V68" i="19"/>
  <c r="W68" i="19" s="1"/>
  <c r="V65" i="19"/>
  <c r="W65" i="19" s="1"/>
  <c r="AA65" i="19" s="1"/>
  <c r="V43" i="19"/>
  <c r="W43" i="19" s="1"/>
  <c r="Y43" i="19" s="1"/>
  <c r="V48" i="19"/>
  <c r="W48" i="19" s="1"/>
  <c r="Z54" i="19"/>
  <c r="AA54" i="19" s="1"/>
  <c r="AB56" i="19"/>
  <c r="AB59" i="19"/>
  <c r="AB58" i="19"/>
  <c r="AB55" i="19"/>
  <c r="AB53" i="19"/>
  <c r="AB49" i="19"/>
  <c r="AB54" i="19"/>
  <c r="AB67" i="19"/>
  <c r="AB57" i="19"/>
  <c r="AB84" i="19"/>
  <c r="AB85" i="19"/>
  <c r="AB75" i="19"/>
  <c r="AB79" i="19"/>
  <c r="AB71" i="19"/>
  <c r="X73" i="19"/>
  <c r="Y73" i="19" s="1"/>
  <c r="W24" i="19"/>
  <c r="W9" i="19"/>
  <c r="Y9" i="19" s="1"/>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s="1"/>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s="1"/>
  <c r="AG554" i="27"/>
  <c r="AG553" i="27"/>
  <c r="AG552" i="27"/>
  <c r="AG551" i="27"/>
  <c r="AG550" i="27"/>
  <c r="AG549" i="27"/>
  <c r="AG548" i="27"/>
  <c r="U547" i="27"/>
  <c r="AG547" i="27" s="1"/>
  <c r="V546" i="27"/>
  <c r="U546" i="27"/>
  <c r="AG546" i="27" s="1"/>
  <c r="U545" i="27"/>
  <c r="AG545" i="27" s="1"/>
  <c r="U544" i="27"/>
  <c r="AG544" i="27" s="1"/>
  <c r="U543" i="27"/>
  <c r="AG543" i="27" s="1"/>
  <c r="U542" i="27"/>
  <c r="AG542" i="27" s="1"/>
  <c r="AG541" i="27"/>
  <c r="U540" i="27"/>
  <c r="AG540" i="27" s="1"/>
  <c r="U539" i="27"/>
  <c r="AG539" i="27" s="1"/>
  <c r="AG538" i="27"/>
  <c r="AG537" i="27"/>
  <c r="AG536" i="27"/>
  <c r="U535" i="27"/>
  <c r="AG535" i="27" s="1"/>
  <c r="AG534" i="27"/>
  <c r="AG533" i="27"/>
  <c r="AG532" i="27"/>
  <c r="AG531" i="27"/>
  <c r="AG530" i="27"/>
  <c r="U529" i="27"/>
  <c r="AG529" i="27" s="1"/>
  <c r="AG528" i="27"/>
  <c r="V527" i="27"/>
  <c r="U527" i="27"/>
  <c r="AG527" i="27" s="1"/>
  <c r="AG526" i="27"/>
  <c r="AG525" i="27"/>
  <c r="AG524" i="27"/>
  <c r="AG523" i="27"/>
  <c r="AG522" i="27"/>
  <c r="AG521" i="27"/>
  <c r="AG520" i="27"/>
  <c r="AG519" i="27"/>
  <c r="AG518" i="27"/>
  <c r="U517" i="27"/>
  <c r="AG517" i="27" s="1"/>
  <c r="AG516" i="27"/>
  <c r="AG515" i="27"/>
  <c r="U514" i="27"/>
  <c r="AG514" i="27" s="1"/>
  <c r="AG513" i="27"/>
  <c r="U512" i="27"/>
  <c r="AG512" i="27" s="1"/>
  <c r="AG511" i="27"/>
  <c r="AG510" i="27"/>
  <c r="AG509" i="27"/>
  <c r="U508" i="27"/>
  <c r="AG508" i="27" s="1"/>
  <c r="AG507" i="27"/>
  <c r="AG506" i="27"/>
  <c r="AG505" i="27"/>
  <c r="AG504" i="27"/>
  <c r="AG503" i="27"/>
  <c r="AG502" i="27"/>
  <c r="AG501" i="27"/>
  <c r="U500" i="27"/>
  <c r="AG500" i="27" s="1"/>
  <c r="AG499" i="27"/>
  <c r="U498" i="27"/>
  <c r="AG498" i="27" s="1"/>
  <c r="U497" i="27"/>
  <c r="AG497" i="27" s="1"/>
  <c r="U496" i="27"/>
  <c r="AG496" i="27" s="1"/>
  <c r="AG495" i="27"/>
  <c r="AG494" i="27"/>
  <c r="U493" i="27"/>
  <c r="AG493" i="27" s="1"/>
  <c r="U492" i="27"/>
  <c r="AG492" i="27" s="1"/>
  <c r="V491" i="27"/>
  <c r="U491" i="27"/>
  <c r="AG491" i="27" s="1"/>
  <c r="U490" i="27"/>
  <c r="AG490" i="27" s="1"/>
  <c r="U489" i="27"/>
  <c r="AG489" i="27" s="1"/>
  <c r="U488" i="27"/>
  <c r="AG488" i="27" s="1"/>
  <c r="AG487" i="27"/>
  <c r="AG486" i="27"/>
  <c r="AG485" i="27"/>
  <c r="AG484" i="27"/>
  <c r="AG483" i="27"/>
  <c r="AG482" i="27"/>
  <c r="AG481" i="27"/>
  <c r="AG480" i="27"/>
  <c r="AG479" i="27"/>
  <c r="AG478" i="27"/>
  <c r="AG477" i="27"/>
  <c r="AG476" i="27"/>
  <c r="AG475" i="27"/>
  <c r="AG474" i="27"/>
  <c r="U473" i="27"/>
  <c r="AG473" i="27" s="1"/>
  <c r="AG472" i="27"/>
  <c r="AG471" i="27"/>
  <c r="U470" i="27"/>
  <c r="AG470" i="27" s="1"/>
  <c r="U469" i="27"/>
  <c r="AG469" i="27" s="1"/>
  <c r="AG468" i="27"/>
  <c r="AG467" i="27"/>
  <c r="AG466" i="27"/>
  <c r="AG465" i="27"/>
  <c r="AG464" i="27"/>
  <c r="AG463" i="27"/>
  <c r="AG462" i="27"/>
  <c r="AG461" i="27"/>
  <c r="U460" i="27"/>
  <c r="AG460" i="27" s="1"/>
  <c r="AG459" i="27"/>
  <c r="AG458" i="27"/>
  <c r="AG457" i="27"/>
  <c r="AG456" i="27"/>
  <c r="AG455" i="27"/>
  <c r="U454" i="27"/>
  <c r="AG454" i="27" s="1"/>
  <c r="AG453" i="27"/>
  <c r="U452" i="27"/>
  <c r="AG452" i="27" s="1"/>
  <c r="AG451" i="27"/>
  <c r="AG450" i="27"/>
  <c r="AG449" i="27"/>
  <c r="AG448" i="27"/>
  <c r="AG447" i="27"/>
  <c r="AG446" i="27"/>
  <c r="AG445" i="27"/>
  <c r="V444" i="27"/>
  <c r="U444" i="27"/>
  <c r="AG444" i="27" s="1"/>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s="1"/>
  <c r="AG408" i="27"/>
  <c r="AG407" i="27"/>
  <c r="AG406" i="27"/>
  <c r="AG405" i="27"/>
  <c r="AG404" i="27"/>
  <c r="AG403" i="27"/>
  <c r="AG402" i="27"/>
  <c r="AG401" i="27"/>
  <c r="U400" i="27"/>
  <c r="AG400" i="27" s="1"/>
  <c r="AG399" i="27"/>
  <c r="AG398" i="27"/>
  <c r="AG397" i="27"/>
  <c r="AG396" i="27"/>
  <c r="AG395" i="27"/>
  <c r="AG394" i="27"/>
  <c r="AG393" i="27"/>
  <c r="AG392" i="27"/>
  <c r="AG391" i="27"/>
  <c r="AG390" i="27"/>
  <c r="AG389" i="27"/>
  <c r="AG388" i="27"/>
  <c r="AG387" i="27"/>
  <c r="AG386" i="27"/>
  <c r="U385" i="27"/>
  <c r="AG385" i="27" s="1"/>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s="1"/>
  <c r="AG360" i="27"/>
  <c r="AG359" i="27"/>
  <c r="AG358" i="27"/>
  <c r="AG357" i="27"/>
  <c r="U356" i="27"/>
  <c r="AG356" i="27" s="1"/>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s="1"/>
  <c r="AG297" i="27"/>
  <c r="AG296" i="27"/>
  <c r="AG295" i="27"/>
  <c r="AG294" i="27"/>
  <c r="U293" i="27"/>
  <c r="AG293" i="27" s="1"/>
  <c r="AG292" i="27"/>
  <c r="U291" i="27"/>
  <c r="AG291" i="27" s="1"/>
  <c r="U290" i="27"/>
  <c r="AG290" i="27" s="1"/>
  <c r="U289" i="27"/>
  <c r="AG289" i="27" s="1"/>
  <c r="U288" i="27"/>
  <c r="AG288" i="27" s="1"/>
  <c r="AG287" i="27"/>
  <c r="AG286" i="27"/>
  <c r="AG285" i="27"/>
  <c r="AG284" i="27"/>
  <c r="AG283" i="27"/>
  <c r="U282" i="27"/>
  <c r="AG282" i="27" s="1"/>
  <c r="AG281" i="27"/>
  <c r="AG279" i="27"/>
  <c r="AG278" i="27"/>
  <c r="AG277" i="27"/>
  <c r="AG276" i="27"/>
  <c r="AG274" i="27"/>
  <c r="U273" i="27"/>
  <c r="AG273" i="27" s="1"/>
  <c r="AG272" i="27"/>
  <c r="AG271" i="27"/>
  <c r="AG269" i="27"/>
  <c r="U267" i="27"/>
  <c r="AG267" i="27" s="1"/>
  <c r="AG266" i="27"/>
  <c r="U265" i="27"/>
  <c r="AG265" i="27" s="1"/>
  <c r="U264" i="27"/>
  <c r="AG264" i="27" s="1"/>
  <c r="U263" i="27"/>
  <c r="AG263" i="27" s="1"/>
  <c r="U261" i="27"/>
  <c r="AG261" i="27" s="1"/>
  <c r="AG260" i="27"/>
  <c r="AG259" i="27"/>
  <c r="U258" i="27"/>
  <c r="AG258" i="27" s="1"/>
  <c r="U257" i="27"/>
  <c r="AG257" i="27" s="1"/>
  <c r="U256" i="27"/>
  <c r="AG256" i="27" s="1"/>
  <c r="AG255" i="27"/>
  <c r="AG253" i="27"/>
  <c r="AG252" i="27"/>
  <c r="AG251" i="27"/>
  <c r="U250" i="27"/>
  <c r="AG250" i="27" s="1"/>
  <c r="AG249" i="27"/>
  <c r="AG248" i="27"/>
  <c r="AG247" i="27"/>
  <c r="U246" i="27"/>
  <c r="AG246" i="27" s="1"/>
  <c r="U245" i="27"/>
  <c r="AG245" i="27" s="1"/>
  <c r="U244" i="27"/>
  <c r="AG244" i="27" s="1"/>
  <c r="AG243" i="27"/>
  <c r="U242" i="27"/>
  <c r="AG242" i="27" s="1"/>
  <c r="U241" i="27"/>
  <c r="AG241" i="27" s="1"/>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s="1"/>
  <c r="AG219" i="27"/>
  <c r="U218" i="27"/>
  <c r="AG218" i="27" s="1"/>
  <c r="U217" i="27"/>
  <c r="AG217" i="27" s="1"/>
  <c r="U216" i="27"/>
  <c r="AG216" i="27" s="1"/>
  <c r="U215" i="27"/>
  <c r="AG215" i="27" s="1"/>
  <c r="U214" i="27"/>
  <c r="AG214" i="27" s="1"/>
  <c r="U213" i="27"/>
  <c r="AG213" i="27" s="1"/>
  <c r="U212" i="27"/>
  <c r="AG212" i="27" s="1"/>
  <c r="U211" i="27"/>
  <c r="AG211" i="27" s="1"/>
  <c r="U210" i="27"/>
  <c r="AG210" i="27" s="1"/>
  <c r="U209" i="27"/>
  <c r="AG209" i="27" s="1"/>
  <c r="U208" i="27"/>
  <c r="AG208" i="27" s="1"/>
  <c r="U207" i="27"/>
  <c r="AG207" i="27" s="1"/>
  <c r="U206" i="27"/>
  <c r="AG206" i="27" s="1"/>
  <c r="U205" i="27"/>
  <c r="AG205" i="27" s="1"/>
  <c r="U204" i="27"/>
  <c r="AG204" i="27" s="1"/>
  <c r="AG203" i="27"/>
  <c r="AG202" i="27"/>
  <c r="AG201" i="27"/>
  <c r="AG200" i="27"/>
  <c r="AG199" i="27"/>
  <c r="U198" i="27"/>
  <c r="AG198" i="27" s="1"/>
  <c r="AG197" i="27"/>
  <c r="U196" i="27"/>
  <c r="AG196" i="27" s="1"/>
  <c r="AG195" i="27"/>
  <c r="U194" i="27"/>
  <c r="AG194" i="27" s="1"/>
  <c r="AG193" i="27"/>
  <c r="AG192" i="27"/>
  <c r="U191" i="27"/>
  <c r="AG191" i="27" s="1"/>
  <c r="AG190" i="27"/>
  <c r="AG189" i="27"/>
  <c r="AG188" i="27"/>
  <c r="AG187" i="27"/>
  <c r="U186" i="27"/>
  <c r="AG186" i="27" s="1"/>
  <c r="AG185" i="27"/>
  <c r="AG184" i="27"/>
  <c r="X184" i="27"/>
  <c r="AG183" i="27"/>
  <c r="AG182" i="27"/>
  <c r="AG181" i="27"/>
  <c r="AG180" i="27"/>
  <c r="AG179" i="27"/>
  <c r="AG178" i="27"/>
  <c r="AG177" i="27"/>
  <c r="U176" i="27"/>
  <c r="AG176" i="27" s="1"/>
  <c r="U175" i="27"/>
  <c r="AG175" i="27" s="1"/>
  <c r="U174" i="27"/>
  <c r="AG174" i="27" s="1"/>
  <c r="AG173" i="27"/>
  <c r="AG172" i="27"/>
  <c r="AG171" i="27"/>
  <c r="AG170" i="27"/>
  <c r="AG169" i="27"/>
  <c r="AG168" i="27"/>
  <c r="AG167" i="27"/>
  <c r="AF166" i="27"/>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s="1"/>
  <c r="U144" i="27"/>
  <c r="AG144" i="27" s="1"/>
  <c r="U143" i="27"/>
  <c r="AG143" i="27" s="1"/>
  <c r="U142" i="27"/>
  <c r="AG142" i="27" s="1"/>
  <c r="U141" i="27"/>
  <c r="AG141" i="27" s="1"/>
  <c r="U140" i="27"/>
  <c r="AG140" i="27" s="1"/>
  <c r="U139" i="27"/>
  <c r="AG139" i="27" s="1"/>
  <c r="AG138" i="27"/>
  <c r="AG137" i="27"/>
  <c r="AG136" i="27"/>
  <c r="AG135" i="27"/>
  <c r="U134" i="27"/>
  <c r="AG134" i="27" s="1"/>
  <c r="U133" i="27"/>
  <c r="AG133" i="27" s="1"/>
  <c r="U132" i="27"/>
  <c r="AG132" i="27" s="1"/>
  <c r="U131" i="27"/>
  <c r="AG131" i="27" s="1"/>
  <c r="U130" i="27"/>
  <c r="AG130" i="27" s="1"/>
  <c r="U129" i="27"/>
  <c r="AG129" i="27" s="1"/>
  <c r="U128" i="27"/>
  <c r="AG128" i="27" s="1"/>
  <c r="AG127" i="27"/>
  <c r="AG126" i="27"/>
  <c r="AG125" i="27"/>
  <c r="AK124" i="27"/>
  <c r="U124" i="27"/>
  <c r="AG124" i="27" s="1"/>
  <c r="U123" i="27"/>
  <c r="AG123" i="27" s="1"/>
  <c r="U122" i="27"/>
  <c r="AG122" i="27" s="1"/>
  <c r="U121" i="27"/>
  <c r="AG121" i="27" s="1"/>
  <c r="AG120" i="27"/>
  <c r="U119" i="27"/>
  <c r="AG119" i="27" s="1"/>
  <c r="U118" i="27"/>
  <c r="AG118" i="27" s="1"/>
  <c r="U117" i="27"/>
  <c r="AG117" i="27" s="1"/>
  <c r="U116" i="27"/>
  <c r="AG116" i="27" s="1"/>
  <c r="AG115" i="27"/>
  <c r="AG114" i="27"/>
  <c r="AG113" i="27"/>
  <c r="AG112" i="27"/>
  <c r="AG111" i="27"/>
  <c r="AG110" i="27"/>
  <c r="AG109" i="27"/>
  <c r="AG108" i="27"/>
  <c r="AG107" i="27"/>
  <c r="AG106" i="27"/>
  <c r="AG105" i="27"/>
  <c r="AG104" i="27"/>
  <c r="AG103" i="27"/>
  <c r="U102" i="27"/>
  <c r="AG102" i="27" s="1"/>
  <c r="U101" i="27"/>
  <c r="AG101" i="27" s="1"/>
  <c r="U100" i="27"/>
  <c r="AG100" i="27" s="1"/>
  <c r="U99" i="27"/>
  <c r="AG99" i="27" s="1"/>
  <c r="U98" i="27"/>
  <c r="AG98" i="27" s="1"/>
  <c r="AG97" i="27"/>
  <c r="U96" i="27"/>
  <c r="AG96" i="27" s="1"/>
  <c r="U95" i="27"/>
  <c r="AG95" i="27" s="1"/>
  <c r="U94" i="27"/>
  <c r="AG94" i="27" s="1"/>
  <c r="U93" i="27"/>
  <c r="AG93" i="27" s="1"/>
  <c r="U92" i="27"/>
  <c r="AG92" i="27" s="1"/>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s="1"/>
  <c r="AG56" i="27"/>
  <c r="U55" i="27"/>
  <c r="AG55" i="27" s="1"/>
  <c r="U54" i="27"/>
  <c r="AG54" i="27" s="1"/>
  <c r="U53" i="27"/>
  <c r="AG53" i="27" s="1"/>
  <c r="AF52" i="27"/>
  <c r="U52" i="27"/>
  <c r="U51" i="27"/>
  <c r="AG51" i="27" s="1"/>
  <c r="U50" i="27"/>
  <c r="AG50" i="27" s="1"/>
  <c r="AK49" i="27"/>
  <c r="U49" i="27"/>
  <c r="AG49" i="27" s="1"/>
  <c r="U48" i="27"/>
  <c r="AG48" i="27" s="1"/>
  <c r="U47" i="27"/>
  <c r="AG47" i="27" s="1"/>
  <c r="U46" i="27"/>
  <c r="AG46" i="27" s="1"/>
  <c r="AG45" i="27"/>
  <c r="U44" i="27"/>
  <c r="AG44" i="27" s="1"/>
  <c r="U43" i="27"/>
  <c r="AG43" i="27" s="1"/>
  <c r="U42" i="27"/>
  <c r="AG42" i="27" s="1"/>
  <c r="AF41" i="27"/>
  <c r="U41" i="27"/>
  <c r="U40" i="27"/>
  <c r="AG40" i="27" s="1"/>
  <c r="U39" i="27"/>
  <c r="AG39" i="27" s="1"/>
  <c r="U38" i="27"/>
  <c r="AG38" i="27" s="1"/>
  <c r="U37" i="27"/>
  <c r="AG37" i="27" s="1"/>
  <c r="AG36" i="27"/>
  <c r="U35" i="27"/>
  <c r="AG35" i="27" s="1"/>
  <c r="AG34" i="27"/>
  <c r="AG33" i="27"/>
  <c r="U32" i="27"/>
  <c r="AG32" i="27" s="1"/>
  <c r="AG31" i="27"/>
  <c r="AG30" i="27"/>
  <c r="U29" i="27"/>
  <c r="AG29" i="27" s="1"/>
  <c r="U28" i="27"/>
  <c r="AG28" i="27" s="1"/>
  <c r="U27" i="27"/>
  <c r="AG27" i="27" s="1"/>
  <c r="AK26" i="27"/>
  <c r="AG26" i="27"/>
  <c r="AG25" i="27"/>
  <c r="AG24" i="27"/>
  <c r="AG23" i="27"/>
  <c r="AG22" i="27"/>
  <c r="AG21" i="27"/>
  <c r="AG20" i="27"/>
  <c r="U19" i="27"/>
  <c r="AG19" i="27" s="1"/>
  <c r="AL18" i="27"/>
  <c r="AG18" i="27"/>
  <c r="AG17" i="27"/>
  <c r="AG16" i="27"/>
  <c r="AG15" i="27"/>
  <c r="AG14" i="27"/>
  <c r="AG13" i="27"/>
  <c r="AG12" i="27"/>
  <c r="AG11" i="27"/>
  <c r="U10" i="27"/>
  <c r="AG10" i="27" s="1"/>
  <c r="U9" i="27"/>
  <c r="AG9" i="27" s="1"/>
  <c r="U8" i="27"/>
  <c r="AG8" i="27" s="1"/>
  <c r="U7" i="27"/>
  <c r="AG7" i="27" s="1"/>
  <c r="U6" i="27"/>
  <c r="AG6" i="27" s="1"/>
  <c r="U5" i="27"/>
  <c r="AG5" i="27" s="1"/>
  <c r="U4" i="27"/>
  <c r="AG4" i="27" s="1"/>
  <c r="AG3" i="27"/>
  <c r="AL2" i="27"/>
  <c r="AF2" i="27"/>
  <c r="AG2" i="27" s="1"/>
  <c r="W79" i="19"/>
  <c r="AA79" i="19" s="1"/>
  <c r="W71" i="19"/>
  <c r="AA71" i="19" s="1"/>
  <c r="W95" i="19"/>
  <c r="Y95" i="19" s="1"/>
  <c r="W94" i="19"/>
  <c r="W87" i="19"/>
  <c r="V84" i="19"/>
  <c r="W84" i="19" s="1"/>
  <c r="AA84" i="19" s="1"/>
  <c r="W75" i="19"/>
  <c r="Y75" i="19" s="1"/>
  <c r="W63" i="19"/>
  <c r="W56" i="19"/>
  <c r="W52" i="19"/>
  <c r="AA52" i="19" s="1"/>
  <c r="V51" i="19"/>
  <c r="W51" i="19" s="1"/>
  <c r="AA51" i="19" s="1"/>
  <c r="W50" i="19"/>
  <c r="AA50" i="19" s="1"/>
  <c r="W49" i="19"/>
  <c r="AA49" i="19" s="1"/>
  <c r="W44" i="19"/>
  <c r="Y44" i="19" s="1"/>
  <c r="U23" i="19"/>
  <c r="W23" i="19" s="1"/>
  <c r="U13" i="19"/>
  <c r="W13" i="19" s="1"/>
  <c r="U11" i="19"/>
  <c r="U8" i="19"/>
  <c r="W8" i="19" s="1"/>
  <c r="U22" i="28"/>
  <c r="W68" i="28"/>
  <c r="V40" i="28"/>
  <c r="W40" i="28" s="1"/>
  <c r="Y40" i="28" s="1"/>
  <c r="W41" i="28"/>
  <c r="Y41" i="28" s="1"/>
  <c r="W53" i="28"/>
  <c r="Y53" i="28" s="1"/>
  <c r="W82" i="28"/>
  <c r="X93" i="28"/>
  <c r="Y93" i="28" s="1"/>
  <c r="W60" i="28"/>
  <c r="X132" i="28"/>
  <c r="W90" i="28"/>
  <c r="AA96" i="28"/>
  <c r="Y96" i="28"/>
  <c r="AA95" i="28"/>
  <c r="Y95" i="28"/>
  <c r="AA94" i="28"/>
  <c r="Y94" i="28"/>
  <c r="AA93" i="28"/>
  <c r="AA92" i="28"/>
  <c r="Y92" i="28"/>
  <c r="AA91" i="28"/>
  <c r="Y91" i="28"/>
  <c r="Z90" i="28"/>
  <c r="T90" i="28"/>
  <c r="W89" i="28"/>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s="1"/>
  <c r="AA73" i="28"/>
  <c r="Y73" i="28"/>
  <c r="AB72" i="28"/>
  <c r="Z72" i="28"/>
  <c r="AA72" i="28" s="1"/>
  <c r="Y72" i="28"/>
  <c r="AB71" i="28"/>
  <c r="Z71" i="28"/>
  <c r="W71" i="28"/>
  <c r="Y71" i="28" s="1"/>
  <c r="AA70" i="28"/>
  <c r="Y70" i="28"/>
  <c r="AA69" i="28"/>
  <c r="Y69" i="28"/>
  <c r="AA67" i="28"/>
  <c r="Y67" i="28"/>
  <c r="AA66" i="28"/>
  <c r="Y66" i="28"/>
  <c r="V65" i="28"/>
  <c r="AB64" i="28"/>
  <c r="AA64" i="28"/>
  <c r="Y64" i="28"/>
  <c r="AA63" i="28"/>
  <c r="Y63" i="28"/>
  <c r="X62" i="28"/>
  <c r="W62" i="28"/>
  <c r="AA62" i="28" s="1"/>
  <c r="AA61" i="28"/>
  <c r="Y61" i="28"/>
  <c r="AA59" i="28"/>
  <c r="Y59" i="28"/>
  <c r="AA58" i="28"/>
  <c r="Y58" i="28"/>
  <c r="AA57" i="28"/>
  <c r="Y57" i="28"/>
  <c r="AB56" i="28"/>
  <c r="Z56" i="28"/>
  <c r="AA56" i="28" s="1"/>
  <c r="Y56" i="28"/>
  <c r="AB55" i="28"/>
  <c r="Z55" i="28"/>
  <c r="AA55" i="28" s="1"/>
  <c r="Y55" i="28"/>
  <c r="AB54" i="28"/>
  <c r="AA54" i="28"/>
  <c r="Y54" i="28"/>
  <c r="AB53" i="28"/>
  <c r="Z53" i="28"/>
  <c r="AB52" i="28"/>
  <c r="AA52" i="28"/>
  <c r="Y52" i="28"/>
  <c r="AB51" i="28"/>
  <c r="AA51" i="28"/>
  <c r="Y51" i="28"/>
  <c r="AA50" i="28"/>
  <c r="X49" i="28"/>
  <c r="W49" i="28"/>
  <c r="AA49" i="28" s="1"/>
  <c r="T49" i="28"/>
  <c r="V48" i="28"/>
  <c r="W48" i="28" s="1"/>
  <c r="Y48" i="28" s="1"/>
  <c r="W47" i="28"/>
  <c r="AA47" i="28" s="1"/>
  <c r="AB46" i="28"/>
  <c r="W46" i="28"/>
  <c r="Y46" i="28" s="1"/>
  <c r="W45" i="28"/>
  <c r="AA44" i="28"/>
  <c r="Y44" i="28"/>
  <c r="AA43" i="28"/>
  <c r="Y43" i="28"/>
  <c r="AA42" i="28"/>
  <c r="Y42" i="28"/>
  <c r="Z40" i="28"/>
  <c r="AA39" i="28"/>
  <c r="Y39" i="28"/>
  <c r="AB38" i="28"/>
  <c r="AA38" i="28"/>
  <c r="Y38" i="28"/>
  <c r="AB37" i="28"/>
  <c r="AA37" i="28"/>
  <c r="Y37" i="28"/>
  <c r="T37" i="28"/>
  <c r="Z36" i="28"/>
  <c r="AA36" i="28" s="1"/>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4" i="28" s="1"/>
  <c r="AA13" i="28"/>
  <c r="Y13" i="28"/>
  <c r="AA12" i="28"/>
  <c r="Y12" i="28"/>
  <c r="U12" i="28"/>
  <c r="Z11" i="28"/>
  <c r="AA11" i="28" s="1"/>
  <c r="X11" i="28"/>
  <c r="Y11" i="28" s="1"/>
  <c r="AB10" i="28"/>
  <c r="Z10" i="28"/>
  <c r="AA10" i="28" s="1"/>
  <c r="Y10" i="28"/>
  <c r="U10" i="28"/>
  <c r="AA9" i="28"/>
  <c r="Y9" i="28"/>
  <c r="AB8" i="28"/>
  <c r="AA8" i="28"/>
  <c r="Y8" i="28"/>
  <c r="Y3" i="28"/>
  <c r="X56" i="19"/>
  <c r="Y88" i="19"/>
  <c r="Y89" i="19"/>
  <c r="X98" i="19"/>
  <c r="Y98" i="19" s="1"/>
  <c r="AA101" i="19"/>
  <c r="Y101" i="19"/>
  <c r="AA100" i="19"/>
  <c r="Y100" i="19"/>
  <c r="AA99" i="19"/>
  <c r="Y99" i="19"/>
  <c r="AA98" i="19"/>
  <c r="AA97" i="19"/>
  <c r="Y97" i="19"/>
  <c r="AA96" i="19"/>
  <c r="Y96" i="19"/>
  <c r="Z95" i="19"/>
  <c r="T95" i="19"/>
  <c r="AA93" i="19"/>
  <c r="Y93" i="19"/>
  <c r="AA92" i="19"/>
  <c r="Y92" i="19"/>
  <c r="AA91" i="19"/>
  <c r="Y91" i="19"/>
  <c r="AA90" i="19"/>
  <c r="Y90" i="19"/>
  <c r="AA89" i="19"/>
  <c r="AA88" i="19"/>
  <c r="AA86" i="19"/>
  <c r="Y86" i="19"/>
  <c r="Z85" i="19"/>
  <c r="AA85" i="19" s="1"/>
  <c r="Y85" i="19"/>
  <c r="AA83" i="19"/>
  <c r="Y83" i="19"/>
  <c r="AA81" i="19"/>
  <c r="Y81" i="19"/>
  <c r="AA80" i="19"/>
  <c r="Y80" i="19"/>
  <c r="Y79" i="19"/>
  <c r="AB76" i="19"/>
  <c r="Z76" i="19"/>
  <c r="AA76" i="19" s="1"/>
  <c r="Y76" i="19"/>
  <c r="Z75" i="19"/>
  <c r="AA74" i="19"/>
  <c r="Y74" i="19"/>
  <c r="AA73" i="19"/>
  <c r="AA70" i="19"/>
  <c r="Y70" i="19"/>
  <c r="AA69" i="19"/>
  <c r="Y69" i="19"/>
  <c r="AA66" i="19"/>
  <c r="X65" i="19"/>
  <c r="AA64" i="19"/>
  <c r="AA62" i="19"/>
  <c r="Y62" i="19"/>
  <c r="AA61" i="19"/>
  <c r="Y61" i="19"/>
  <c r="AA60" i="19"/>
  <c r="Y60" i="19"/>
  <c r="Z59" i="19"/>
  <c r="AA59" i="19" s="1"/>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Z39" i="19"/>
  <c r="AA39" i="19" s="1"/>
  <c r="Y39" i="19"/>
  <c r="AB37" i="19"/>
  <c r="AA37" i="19"/>
  <c r="Y37" i="19"/>
  <c r="AA36" i="19"/>
  <c r="Y36" i="19"/>
  <c r="AA35" i="19"/>
  <c r="Y35" i="19"/>
  <c r="AB34" i="19"/>
  <c r="AA34" i="19"/>
  <c r="Y34" i="19"/>
  <c r="AB33" i="19"/>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s="1"/>
  <c r="AA7" i="19"/>
  <c r="AB6" i="19"/>
  <c r="Y1" i="19"/>
  <c r="E23" i="16"/>
  <c r="G46" i="16"/>
  <c r="H46" i="16" s="1"/>
  <c r="L47" i="16"/>
  <c r="L48" i="16"/>
  <c r="L49" i="16"/>
  <c r="L50" i="16"/>
  <c r="L51" i="16"/>
  <c r="L52" i="16"/>
  <c r="L46" i="16"/>
  <c r="K53" i="16"/>
  <c r="J53" i="16"/>
  <c r="F53" i="16"/>
  <c r="H53" i="16" s="1"/>
  <c r="H49" i="16"/>
  <c r="M49" i="16" s="1"/>
  <c r="H48" i="16"/>
  <c r="H47" i="16"/>
  <c r="H50" i="16"/>
  <c r="H51" i="16"/>
  <c r="H52" i="16"/>
  <c r="F64" i="16"/>
  <c r="F60" i="16"/>
  <c r="D20" i="10"/>
  <c r="C20" i="10"/>
  <c r="H19" i="10"/>
  <c r="E19" i="10"/>
  <c r="H18" i="10"/>
  <c r="E18" i="10"/>
  <c r="E17" i="10"/>
  <c r="H16" i="10"/>
  <c r="E16" i="10"/>
  <c r="H15" i="10"/>
  <c r="E15" i="10"/>
  <c r="H14" i="10"/>
  <c r="E14" i="10"/>
  <c r="H13" i="10"/>
  <c r="E13" i="10"/>
  <c r="H12" i="10"/>
  <c r="E12" i="10"/>
  <c r="H11" i="10"/>
  <c r="E11" i="10"/>
  <c r="E10" i="10"/>
  <c r="H9" i="10"/>
  <c r="E9" i="10"/>
  <c r="H8" i="10"/>
  <c r="E8" i="10"/>
  <c r="E20" i="10" l="1"/>
  <c r="AG52" i="27"/>
  <c r="AA36" i="32"/>
  <c r="I7" i="38"/>
  <c r="Y37" i="32"/>
  <c r="Y49" i="19"/>
  <c r="AG166" i="27"/>
  <c r="AA82" i="19"/>
  <c r="AA53" i="28"/>
  <c r="AA49" i="32"/>
  <c r="AA77" i="19"/>
  <c r="AA56" i="19"/>
  <c r="AA46" i="28"/>
  <c r="Y52" i="19"/>
  <c r="Y65" i="32"/>
  <c r="AA52" i="32"/>
  <c r="AA25" i="19"/>
  <c r="AB102" i="32"/>
  <c r="Y68" i="19"/>
  <c r="M52" i="16"/>
  <c r="M51" i="16"/>
  <c r="M50" i="16"/>
  <c r="Y71" i="19"/>
  <c r="M47" i="16"/>
  <c r="Y47" i="28"/>
  <c r="Y74" i="28"/>
  <c r="X101" i="28"/>
  <c r="X103" i="28" s="1"/>
  <c r="Y8" i="19"/>
  <c r="Y15" i="19"/>
  <c r="M46" i="16"/>
  <c r="Z102" i="19"/>
  <c r="AA77" i="32"/>
  <c r="AA82" i="32"/>
  <c r="AB97" i="28"/>
  <c r="AA56" i="32"/>
  <c r="AA29" i="32"/>
  <c r="AA84" i="32"/>
  <c r="M48" i="16"/>
  <c r="Y35" i="32"/>
  <c r="AA48" i="28"/>
  <c r="T102" i="32"/>
  <c r="AA13" i="19"/>
  <c r="Y13" i="19"/>
  <c r="Y43" i="32"/>
  <c r="AA43" i="32"/>
  <c r="Y29" i="19"/>
  <c r="AA29" i="19"/>
  <c r="U102" i="32"/>
  <c r="AA75" i="32"/>
  <c r="Y38" i="19"/>
  <c r="X97" i="28"/>
  <c r="Y22" i="19"/>
  <c r="AA65" i="32"/>
  <c r="AA22" i="32"/>
  <c r="Y40" i="32"/>
  <c r="AA95" i="19"/>
  <c r="T97" i="28"/>
  <c r="AA71" i="28"/>
  <c r="U97" i="28"/>
  <c r="Y65" i="19"/>
  <c r="Y49" i="28"/>
  <c r="Y14" i="28"/>
  <c r="AG41" i="27"/>
  <c r="AA8" i="19"/>
  <c r="X102" i="19"/>
  <c r="AB102" i="19"/>
  <c r="AB98" i="28"/>
  <c r="Y94" i="32"/>
  <c r="AA89" i="28"/>
  <c r="Y89" i="28"/>
  <c r="AA45" i="28"/>
  <c r="Y45" i="28"/>
  <c r="Y15" i="32"/>
  <c r="AA15" i="32"/>
  <c r="Y38" i="32"/>
  <c r="AA38" i="32"/>
  <c r="AA23" i="19"/>
  <c r="Y23" i="19"/>
  <c r="Z97" i="28"/>
  <c r="AA94" i="19"/>
  <c r="Y94" i="19"/>
  <c r="AA75" i="19"/>
  <c r="AA40" i="28"/>
  <c r="Z98" i="28"/>
  <c r="Z100" i="28" s="1"/>
  <c r="W65" i="28"/>
  <c r="V97" i="28"/>
  <c r="AA79" i="28"/>
  <c r="Y79" i="28"/>
  <c r="W68" i="32"/>
  <c r="Y68" i="32" s="1"/>
  <c r="V102" i="32"/>
  <c r="AA34" i="32"/>
  <c r="Y34" i="32"/>
  <c r="L53" i="16"/>
  <c r="Y50" i="19"/>
  <c r="U40" i="19"/>
  <c r="T102" i="19"/>
  <c r="Y56" i="19"/>
  <c r="Y90" i="28"/>
  <c r="AA90" i="28"/>
  <c r="AA68" i="28"/>
  <c r="Y68" i="28"/>
  <c r="AA48" i="19"/>
  <c r="Y48" i="19"/>
  <c r="X102" i="32"/>
  <c r="Y51" i="32"/>
  <c r="AA51" i="32"/>
  <c r="AA13" i="32"/>
  <c r="Y13" i="32"/>
  <c r="V102" i="19"/>
  <c r="Y84" i="19"/>
  <c r="Y6" i="19"/>
  <c r="Y62" i="28"/>
  <c r="AA6" i="32"/>
  <c r="W8" i="32"/>
  <c r="AA50" i="32"/>
  <c r="Y50" i="32"/>
  <c r="AA79" i="32"/>
  <c r="Y79" i="32"/>
  <c r="Y51" i="19"/>
  <c r="AA43" i="19"/>
  <c r="W103" i="19"/>
  <c r="AA48" i="32"/>
  <c r="Y48" i="32"/>
  <c r="Z102" i="32"/>
  <c r="Y95" i="32"/>
  <c r="AA95" i="32"/>
  <c r="AA71" i="32"/>
  <c r="M53" i="16" l="1"/>
  <c r="Y8" i="32"/>
  <c r="Y102" i="32" s="1"/>
  <c r="AA8" i="32"/>
  <c r="W102" i="32"/>
  <c r="AA102" i="32" s="1"/>
  <c r="Y65" i="28"/>
  <c r="Y97" i="28" s="1"/>
  <c r="W97" i="28"/>
  <c r="AA97" i="28" s="1"/>
  <c r="W40" i="19"/>
  <c r="U102" i="19"/>
  <c r="AA98" i="28"/>
  <c r="Y40" i="19" l="1"/>
  <c r="Y102" i="19" s="1"/>
  <c r="AA40" i="19"/>
  <c r="W102" i="19"/>
  <c r="AA102" i="1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alberto Abril Benal</author>
    <author>tc={92533C56-294F-49A0-B8C2-F7C065AE26D7}</author>
    <author>tc={4B80BF80-1ED0-4CEB-8083-AF187859AC49}</author>
  </authors>
  <commentList>
    <comment ref="T40" authorId="0" shapeId="0" xr:uid="{00000000-0006-0000-0700-000001000000}">
      <text>
        <r>
          <rPr>
            <b/>
            <sz val="9"/>
            <color indexed="81"/>
            <rFont val="Tahoma"/>
            <family val="2"/>
          </rPr>
          <t>Jose alberto Abril Benal:</t>
        </r>
        <r>
          <rPr>
            <sz val="9"/>
            <color indexed="81"/>
            <rFont val="Tahoma"/>
            <family val="2"/>
          </rPr>
          <t xml:space="preserve">
un primer CDP expedido y anulado por 34.500.000 y posterior un CDP expedido por 38.500.000</t>
        </r>
      </text>
    </comment>
    <comment ref="T230" authorId="0" shapeId="0" xr:uid="{00000000-0006-0000-0700-000002000000}">
      <text>
        <r>
          <rPr>
            <b/>
            <sz val="9"/>
            <color indexed="81"/>
            <rFont val="Tahoma"/>
            <family val="2"/>
          </rPr>
          <t>Jose alberto Abril Benal:</t>
        </r>
        <r>
          <rPr>
            <sz val="9"/>
            <color indexed="81"/>
            <rFont val="Tahoma"/>
            <family val="2"/>
          </rPr>
          <t xml:space="preserve">
confirmar anulación de CDP por el mismo valor </t>
        </r>
      </text>
    </comment>
    <comment ref="T426" authorId="1" shapeId="0" xr:uid="{00000000-0006-0000-07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483" authorId="2" shapeId="0" xr:uid="{00000000-0006-0000-07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642" authorId="0" shapeId="0" xr:uid="{00000000-0006-0000-0700-000005000000}">
      <text>
        <r>
          <rPr>
            <b/>
            <sz val="9"/>
            <color indexed="81"/>
            <rFont val="Tahoma"/>
            <family val="2"/>
          </rPr>
          <t>Jose alberto Abril Benal:</t>
        </r>
        <r>
          <rPr>
            <sz val="9"/>
            <color indexed="81"/>
            <rFont val="Tahoma"/>
            <family val="2"/>
          </rPr>
          <t xml:space="preserve">
anulacion CDP inicial por 45.000.000 y expedicion nuevo CDp por 42.719.215</t>
        </r>
      </text>
    </comment>
  </commentList>
</comments>
</file>

<file path=xl/sharedStrings.xml><?xml version="1.0" encoding="utf-8"?>
<sst xmlns="http://schemas.openxmlformats.org/spreadsheetml/2006/main" count="46264" uniqueCount="4706">
  <si>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</si>
  <si>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</si>
  <si>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</si>
  <si>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</si>
  <si>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</si>
  <si>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</si>
  <si>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</si>
  <si>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</si>
  <si>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</si>
  <si>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</si>
  <si>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</si>
  <si>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</si>
  <si>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</si>
  <si>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</si>
  <si>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</si>
  <si>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</si>
  <si>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</si>
  <si>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</si>
  <si>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</si>
  <si>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</si>
  <si>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</si>
  <si>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</si>
  <si>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</si>
  <si>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</si>
  <si>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</si>
  <si>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</si>
  <si>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</si>
  <si>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</si>
  <si>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</si>
  <si>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</si>
  <si>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</si>
  <si>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</si>
  <si>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</si>
  <si>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</si>
  <si>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</si>
  <si>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</si>
  <si>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</si>
  <si>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</si>
  <si>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</si>
  <si>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</si>
  <si>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</si>
  <si>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</si>
  <si>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</si>
  <si>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</si>
  <si>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</si>
  <si>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</si>
  <si>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</si>
  <si>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</si>
  <si>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</si>
  <si>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</si>
  <si>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</si>
  <si>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</si>
  <si>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</si>
  <si>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</si>
  <si>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</si>
  <si>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</si>
  <si>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</si>
  <si>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</si>
  <si>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</si>
  <si>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</si>
  <si>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</si>
  <si>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</si>
  <si>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</si>
  <si>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</si>
  <si>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</si>
  <si>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</si>
  <si>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</si>
  <si>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</si>
  <si>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</si>
  <si>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</si>
  <si>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</si>
  <si>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</si>
  <si>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</si>
  <si>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</si>
  <si>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</si>
  <si>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</si>
  <si>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</si>
  <si>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</si>
  <si>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</si>
  <si>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</si>
  <si>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</si>
  <si>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</si>
  <si>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</si>
  <si>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</si>
  <si>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</si>
  <si>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</si>
  <si>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</si>
  <si>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</si>
  <si>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</si>
  <si>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</si>
  <si>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</si>
  <si>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</si>
  <si>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</si>
  <si>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</si>
  <si>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</si>
  <si>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</si>
  <si>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</si>
  <si>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</si>
  <si>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</si>
  <si>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</si>
  <si>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</si>
  <si>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</si>
  <si>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</si>
  <si>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</si>
  <si>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</si>
  <si>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</si>
  <si>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</si>
  <si>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</si>
  <si>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</si>
  <si>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</si>
  <si>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</si>
  <si>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</si>
  <si>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</si>
  <si>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</si>
  <si>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</si>
  <si>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</si>
  <si>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</si>
  <si>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</si>
  <si>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</si>
  <si>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</si>
  <si>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</si>
  <si>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</si>
  <si>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</si>
  <si>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</si>
  <si>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</si>
  <si>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</si>
  <si>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</si>
  <si>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</si>
  <si>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</si>
  <si>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</si>
  <si>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</si>
  <si>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</si>
  <si>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</si>
  <si>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</si>
  <si>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</si>
  <si>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</si>
  <si>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</si>
  <si>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</si>
  <si>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</si>
  <si>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</si>
  <si>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</si>
  <si>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</si>
  <si>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</si>
  <si>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</si>
  <si>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</si>
  <si>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</si>
  <si>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</si>
  <si>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</si>
  <si>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</si>
  <si>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</si>
  <si>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</si>
  <si>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</si>
  <si>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</si>
  <si>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</si>
  <si>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</si>
  <si>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</si>
  <si>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</si>
  <si>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</si>
  <si>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</si>
  <si>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</si>
  <si>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</si>
  <si>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</si>
  <si>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</si>
  <si>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</si>
  <si>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</si>
  <si>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</si>
  <si>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</si>
  <si>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</si>
  <si>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</si>
  <si>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</si>
  <si>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</si>
  <si>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</si>
  <si>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</si>
  <si>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</si>
  <si>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</si>
  <si>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</si>
  <si>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</si>
  <si>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</si>
  <si>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</si>
  <si>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</si>
  <si>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</si>
  <si>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</si>
  <si>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</si>
  <si>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</si>
  <si>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</si>
  <si>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</si>
  <si>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</si>
  <si>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</si>
  <si>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</si>
  <si>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</si>
  <si>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</si>
  <si>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</si>
  <si>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</si>
  <si>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</si>
  <si>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</si>
  <si>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</si>
  <si>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</si>
  <si>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</si>
  <si>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</si>
  <si>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</si>
  <si>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</si>
  <si>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</si>
  <si>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</si>
  <si>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</si>
  <si>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</si>
  <si>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</si>
  <si>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</si>
  <si>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</si>
  <si>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</si>
  <si>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</si>
  <si>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</si>
  <si>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</si>
  <si>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</si>
  <si>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</si>
  <si>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</si>
  <si>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</si>
  <si>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</si>
  <si>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</si>
  <si>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</si>
  <si>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</si>
  <si>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</si>
  <si>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</si>
  <si>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</si>
  <si>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</si>
  <si>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</si>
  <si>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</si>
  <si>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</si>
  <si>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</si>
  <si>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</si>
  <si>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</si>
  <si>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</si>
  <si>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</si>
  <si>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</si>
  <si>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</si>
  <si>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</si>
  <si>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</si>
  <si>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</si>
  <si>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</si>
  <si>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</si>
  <si>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</si>
  <si>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</si>
  <si>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</si>
  <si>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</si>
  <si>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</si>
  <si>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</si>
  <si>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</si>
  <si>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</si>
  <si>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</si>
  <si>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</si>
  <si>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</si>
  <si>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</si>
  <si>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</si>
  <si>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</si>
  <si>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</si>
  <si>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</si>
  <si>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</si>
  <si>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</si>
  <si>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</si>
  <si>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</si>
  <si>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</si>
  <si>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</si>
  <si>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</si>
  <si>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</si>
  <si>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</si>
  <si>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</si>
  <si>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</si>
  <si>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</si>
  <si>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</si>
  <si>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</si>
  <si>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</si>
  <si>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</si>
  <si>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</si>
  <si>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</si>
  <si>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</si>
  <si>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</si>
  <si>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</si>
  <si>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</si>
  <si>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</si>
  <si>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</si>
  <si>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</si>
  <si>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</si>
  <si>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</si>
  <si>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</si>
  <si>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</si>
  <si>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</si>
  <si>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</si>
  <si>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</si>
  <si>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</si>
  <si>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</si>
  <si>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</si>
  <si>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</si>
  <si>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</si>
  <si>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</si>
  <si>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</si>
  <si>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</si>
  <si>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</si>
  <si>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</si>
  <si>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</si>
  <si>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</si>
  <si>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</si>
  <si>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</si>
  <si>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</si>
  <si>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</si>
  <si>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</si>
  <si>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</si>
  <si>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</si>
  <si>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</si>
  <si>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</si>
  <si>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</si>
  <si>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</si>
  <si>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</si>
  <si>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</si>
  <si>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</si>
  <si>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</si>
  <si>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</si>
  <si>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</si>
  <si>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</si>
  <si>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</si>
  <si>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</si>
  <si>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</si>
  <si>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</si>
  <si>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</si>
  <si>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</si>
  <si>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</si>
  <si>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</si>
  <si>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</si>
  <si>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</si>
  <si>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</si>
  <si>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</si>
  <si>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</si>
  <si>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</si>
  <si>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</si>
  <si>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</si>
  <si>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</si>
  <si>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</si>
  <si>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</si>
  <si>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</si>
  <si>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</si>
  <si>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</si>
  <si>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</si>
  <si>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</si>
  <si>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</si>
  <si>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</si>
  <si>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</si>
  <si>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</si>
  <si>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</si>
  <si>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</si>
  <si>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</si>
  <si>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</si>
  <si>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</si>
  <si>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</si>
  <si>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</si>
  <si>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</si>
  <si>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</si>
  <si>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</si>
  <si>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</si>
  <si>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</si>
  <si>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</si>
  <si>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</si>
  <si>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</si>
  <si>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</si>
  <si>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</si>
  <si>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</si>
  <si>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</si>
  <si>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</si>
  <si>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</si>
  <si>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</si>
  <si>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</si>
  <si>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</si>
  <si>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</si>
  <si>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</si>
  <si>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</si>
  <si>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</si>
  <si>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</si>
  <si>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</si>
  <si>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</si>
  <si>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</si>
  <si>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</si>
  <si>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</si>
  <si>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</si>
  <si>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</si>
  <si>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</si>
  <si>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</si>
  <si>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</si>
  <si>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</si>
  <si>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</si>
  <si>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</si>
  <si>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</si>
  <si>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</si>
  <si>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</si>
  <si>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</si>
  <si>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</si>
  <si>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</si>
  <si>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</si>
  <si>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</si>
  <si>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</si>
  <si>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</si>
  <si>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</si>
  <si>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</si>
  <si>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</si>
  <si>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</si>
  <si>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</si>
  <si>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</si>
  <si>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</si>
  <si>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</si>
  <si>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</si>
  <si>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</si>
  <si>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</si>
  <si>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</si>
  <si>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</si>
  <si>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</si>
  <si>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</si>
  <si>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</si>
  <si>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</si>
  <si>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</si>
  <si>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</si>
  <si>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</si>
  <si>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</si>
  <si>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</si>
  <si>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</si>
  <si>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</si>
  <si>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</si>
  <si>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</si>
  <si>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</si>
  <si>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</si>
  <si>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</si>
  <si>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</si>
  <si>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</si>
  <si>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</si>
  <si>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</si>
  <si>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</si>
  <si>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</si>
  <si>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</si>
  <si>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</si>
  <si>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</si>
  <si>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</si>
  <si>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</si>
  <si>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</si>
  <si>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</si>
  <si>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</si>
  <si>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</si>
  <si>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</si>
  <si>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</si>
  <si>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</si>
  <si>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</si>
  <si>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</si>
  <si>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</si>
  <si>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</si>
  <si>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</si>
  <si>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</si>
  <si>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</si>
  <si>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</si>
  <si>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</si>
  <si>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</si>
  <si>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</si>
  <si>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</si>
  <si>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</si>
  <si>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</si>
  <si>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</si>
  <si>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</si>
  <si>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</si>
  <si>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</si>
  <si>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</si>
  <si>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</si>
  <si>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</si>
  <si>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</si>
  <si>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</si>
  <si>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</si>
  <si>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</si>
  <si>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</si>
  <si>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</si>
  <si>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</si>
  <si>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</si>
  <si>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</si>
  <si>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</si>
  <si>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</si>
  <si>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</si>
  <si>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</si>
  <si>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</si>
  <si>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</si>
  <si>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</si>
  <si>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</si>
  <si>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</si>
  <si>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</si>
  <si>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</si>
  <si>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</si>
  <si>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</si>
  <si>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</si>
  <si>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</si>
  <si>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</si>
  <si>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</si>
  <si>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</si>
  <si>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</si>
  <si>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</si>
  <si>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</si>
  <si>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</si>
  <si>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</si>
  <si>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</si>
  <si>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</si>
  <si>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</si>
  <si>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</si>
  <si>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</si>
  <si>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</si>
  <si>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</si>
  <si>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</si>
  <si>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</si>
  <si>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</si>
  <si>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</si>
  <si>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</si>
  <si>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</si>
  <si>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</si>
  <si>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</si>
  <si>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</si>
  <si>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</si>
  <si>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</si>
  <si>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</si>
  <si>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</si>
  <si>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</si>
  <si>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</si>
  <si>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</si>
  <si>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</si>
  <si>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</si>
  <si>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</si>
  <si>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</si>
  <si>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</si>
  <si>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</si>
  <si>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</si>
  <si>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</si>
  <si>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</si>
  <si>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</si>
  <si>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</si>
  <si>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</si>
  <si>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</si>
  <si>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</si>
  <si>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</si>
  <si>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</si>
  <si>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</si>
  <si>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</si>
  <si>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</si>
  <si>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</si>
  <si>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</si>
  <si>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</si>
  <si>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</si>
  <si>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</si>
  <si>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</si>
  <si>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</si>
  <si>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</si>
  <si>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</si>
  <si>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</si>
  <si>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</si>
  <si>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</si>
  <si>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</si>
  <si>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</si>
  <si>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</si>
  <si>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</si>
  <si>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</si>
  <si>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</si>
  <si>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</si>
  <si>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</si>
  <si>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</si>
  <si>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</si>
  <si>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</si>
  <si>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</si>
  <si>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</si>
  <si>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</si>
  <si>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</si>
  <si>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</si>
  <si>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</si>
  <si>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</si>
  <si>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</si>
  <si>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</si>
  <si>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</si>
  <si>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</si>
  <si>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</si>
  <si>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</si>
  <si>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</si>
  <si>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</si>
  <si>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</si>
  <si>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</si>
  <si>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</si>
  <si>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</si>
  <si>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</si>
  <si>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</si>
  <si>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</si>
  <si>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</si>
  <si>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</si>
  <si>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</si>
  <si>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</si>
  <si>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</si>
  <si>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</si>
  <si>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</si>
  <si>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</si>
  <si>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</si>
  <si>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</si>
  <si>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</si>
  <si>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</si>
  <si>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</si>
  <si>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</si>
  <si>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</si>
  <si>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</si>
  <si>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</si>
  <si>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</si>
  <si>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</si>
  <si>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</si>
  <si>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</si>
  <si>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</si>
  <si>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</si>
  <si>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</si>
  <si>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</si>
  <si>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</si>
  <si>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</si>
  <si>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</si>
  <si>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</si>
  <si>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</si>
  <si>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</si>
  <si>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</si>
  <si>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</si>
  <si>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</si>
  <si>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</si>
  <si>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</si>
  <si>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</si>
  <si>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</si>
  <si>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</si>
  <si>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</si>
  <si>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</si>
  <si>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</si>
  <si>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</si>
  <si>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</si>
  <si>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</si>
  <si>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</si>
  <si>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</si>
  <si>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</si>
  <si>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</si>
  <si>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</si>
  <si>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</si>
  <si>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</si>
  <si>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</si>
  <si>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</si>
  <si>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</si>
  <si>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</si>
  <si>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</si>
  <si>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UNIDAD ADMINISTRATIVA ESPECIAL CUERPO OFICIAL DE BOMBEROS</t>
  </si>
  <si>
    <t>Rubro</t>
  </si>
  <si>
    <t>O23011605560000007637 - Fortalecimiento de la
infraestructura de
tecnología
informática y de
comunicaciones de la
UAECOB</t>
  </si>
  <si>
    <t>Dirección-Comunicaciones y Prensa</t>
  </si>
  <si>
    <t>CCE-02 Licitación pública</t>
  </si>
  <si>
    <t>ID</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</si>
  <si>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</si>
  <si>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</si>
  <si>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</si>
  <si>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</si>
  <si>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</si>
  <si>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</si>
  <si>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</si>
  <si>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</si>
  <si>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</si>
  <si>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</si>
  <si>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</si>
  <si>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</si>
  <si>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 xml:space="preserve">Meta Producto/Meta producto </t>
  </si>
  <si>
    <t xml:space="preserve">SI SECOP/NO SECOP </t>
  </si>
  <si>
    <t>Columna2</t>
  </si>
  <si>
    <t>CDPS A 31 JULIO 2022</t>
  </si>
  <si>
    <t>CDP</t>
  </si>
  <si>
    <t>Columna1</t>
  </si>
  <si>
    <t>RP</t>
  </si>
  <si>
    <t>GIROS</t>
  </si>
  <si>
    <t>viabilidad</t>
  </si>
  <si>
    <t>O23011605560000007655 - Fortalecimiento de la Planeación y Gestión de la UAECOB Bogotá</t>
  </si>
  <si>
    <t>Dirección</t>
  </si>
  <si>
    <t>CCE-17 Licitación pública (Obra pública)</t>
  </si>
  <si>
    <t>Oficina Asesora de Planeación</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</si>
  <si>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</si>
  <si>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CCE-16 Contratación directa </t>
  </si>
  <si>
    <t>1-100-F001 VA-Recursos distrito</t>
  </si>
  <si>
    <t>O232020200883990_Otros servicios profesionales, técnicos y empresariales n.c.p.</t>
  </si>
  <si>
    <t>2-Implementar 100 % de la arquitectura TI conforme a las necesidades de la UAECOB</t>
  </si>
  <si>
    <t>517-Implementar al 100% una estrategia de fortalecimiento de los sistemas de información para optimizar la gestión del Cuerpo Oficial de Bomberos</t>
  </si>
  <si>
    <t xml:space="preserve">SI SECOP </t>
  </si>
  <si>
    <t>O23011602300000007658 - FORTALECIMIENTO DEL CUERPO OFICIAL DE BOMBEROS BOGOTÁ</t>
  </si>
  <si>
    <t>CCE-20 Concurso de méritos abierto</t>
  </si>
  <si>
    <t>Prestar servicios profesionales para formular, estructurar, administrar y gestionar los proyectos de TIC de la UAECOB, que fortalezcan la ejecución y cumplimiento de la politica de Gobierno Digital. -TIC-</t>
  </si>
  <si>
    <t>Oficina Asesora Jurídica</t>
  </si>
  <si>
    <t xml:space="preserve">CCE-05 Contratación directa (con ofertas) </t>
  </si>
  <si>
    <t>Prestar Servicios Profesionales para coordinar y gestionar los servicios de los sistemas de información con los que cuenta la  UAECOB -TIC-</t>
  </si>
  <si>
    <t>3-Habilitar 3 servicios ciudadanos digitales básicos en la UAECOB</t>
  </si>
  <si>
    <t>Oficina de Control Interno</t>
  </si>
  <si>
    <t>CCE-06 Selección abreviada menor cuantía</t>
  </si>
  <si>
    <t>Prestar servicios profesionales en la administración, actualización, desarrollo y mantenimiento del Sistema Integrado de Administración de Personal - SIAP. -TIC-</t>
  </si>
  <si>
    <t>Subdirección de Gestión Corporativa</t>
  </si>
  <si>
    <t>CCE-18 Selección Abreviada Menor Cuantia Sin Manifestacion Interes</t>
  </si>
  <si>
    <t>Prestar servicios profesionales para la gestión de proyectos y administración de Bases de Datos garantizando la sostenibilidad de la información en la UAECOB. -TIC-</t>
  </si>
  <si>
    <t>Subdirección de Gestión del Riesgo</t>
  </si>
  <si>
    <t>CCE-19 Concurso de méritos con precalificación</t>
  </si>
  <si>
    <t>Prestar Servicios Profesionales como administrador de los sistemas de información de la UAECOB -TIC-</t>
  </si>
  <si>
    <t>Subdirección de Gestión Humana</t>
  </si>
  <si>
    <t>CCE-07 Selección abreviada subasta inversa</t>
  </si>
  <si>
    <t>Prestar Servicios Profesionales para  administrar la infraestructura y gestionar los procesos relacionados con la capacidad, continuidad, disponibilidad, operatividad y seguridad de la  UAECOB -TIC-</t>
  </si>
  <si>
    <t>Subdirección Logística</t>
  </si>
  <si>
    <t>CCE-10 Mínima cuantía</t>
  </si>
  <si>
    <t>Prestar servicios profesionales como Administrador de las Redes LAN y WAN y gestionar su infraestructura en el edificio comando, estaciones, cades y supercades. -TIC-</t>
  </si>
  <si>
    <t>Subdirección Operativa</t>
  </si>
  <si>
    <t>CCE-11||01 Contratación régimen especial - Selección de comisionista</t>
  </si>
  <si>
    <t>Prestar servicios profesionales como Gestor de la Seguridad Informática para administrar y salvaguardar el cumplimiento de los controles tecnológicos, comunicaciones y de seguridad y privacidad de la información en la UAECOB -TIC-</t>
  </si>
  <si>
    <t>1-Implementar 100 %  del modelo de seguridad y privacidad de la información en la UAECOB alineado a la Política de Gobierno Digital.</t>
  </si>
  <si>
    <t>CCE-11||02 Contratación régimen especial - Enajenación de bienes para intermediarios idóneos</t>
  </si>
  <si>
    <t>Prestar servicios profesionales para la administración y almacenamiento de los servidores en la UAECOB -TIC-</t>
  </si>
  <si>
    <t>CCE-11||03 Contratación régimen especial - Régimen especial</t>
  </si>
  <si>
    <t>Prestar Servicios de apoyo a la gestión como técnico en infraestructura tecnológica para la gestión de los servicios tecnológicos de la UAECOB que le sean designados. -TIC-</t>
  </si>
  <si>
    <t>CCE-11||04 Contratación régimen especial - Banco multilateral y organismos multilaterales</t>
  </si>
  <si>
    <t>Prestar Servicios profesionales como adminsitrador de los procesos y actividades derivados de la mesa de ayuda e infraestructura en la UAECOB -TIC-</t>
  </si>
  <si>
    <t>CCE-15||01 Contratación régimen especial (con ofertas)  - Selección de comisionista</t>
  </si>
  <si>
    <t>Prestar sus servicios profesionales para el desarrollo del dominio del uso y apropiación de los procesos tecnológicos en la UAECOB  -TIC-</t>
  </si>
  <si>
    <t>CCE-15||02 Contratación régimen especial (con ofertas)  - Enajenación de bienes para intermediarios idóneos</t>
  </si>
  <si>
    <t>Prestación de servicios profesionales como Oficial de Seguridad de la Información en la UAECOB -TIC-</t>
  </si>
  <si>
    <t>CCE-15||03 Contratación régimen especial (con ofertas)  - Régimen especial</t>
  </si>
  <si>
    <t>Prestación de Servicios Profesionales como gestor de la Política de Gobierno Digital y Transformación Digital en la UAECOB -TIC-</t>
  </si>
  <si>
    <t>CCE-15||04 Contratación régimen especial (con ofertas)  - Banco multilateral y organismos multilaterales</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</si>
  <si>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</si>
  <si>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</si>
  <si>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CCE-99 Seléccion abreviada - acuerdo marco</t>
  </si>
  <si>
    <t>Prestar los servicios de apoyo a la gestión en actividades administrativas y de gestión documental en la Oficina Asesora de Planeación. -TIC-</t>
  </si>
  <si>
    <t>Adecuar seis (6) estaciones de Bomberos</t>
  </si>
  <si>
    <t>Prestar los servicios profesionales para el desarrollo de los procesos contractuales y administrativos de carácter jurídico que se desarrollen en la Oficina Asesora de Planeación. -TIC-</t>
  </si>
  <si>
    <t>Ejecutar el 100% del programa de mantenimiento de vehículos y equipo menor de la UAECOB</t>
  </si>
  <si>
    <t>Prestar los servicios profesionales administrativos y financieros en el apoyo a las actividades precontractuales, contractuales y poscontractuales relacionados con los procesos de la OAP -TIC-</t>
  </si>
  <si>
    <t>Elaborar 1 plan de preparativos y continuidad del servicio para la UAECOB ante la eventual ocurrencia de un desastre en el Distrito Capital</t>
  </si>
  <si>
    <t>43231512; 81112501</t>
  </si>
  <si>
    <t>Contratar la adquisición, renovación y  suscripciones de licencia Microsoft para la UAECOB. - TIC</t>
  </si>
  <si>
    <t>O232020200883159_Otros servicios de alojamiento y suministro de infraestructura en tecnología de la información (TI)</t>
  </si>
  <si>
    <t>Implementar 1 plan de ajuste y sostenibilidad del MIPG en la UAECOB</t>
  </si>
  <si>
    <t>Contratar el alquiler de equipos tecnológicos, periféricos y servicios complementarios para la UAECOB. - TIC</t>
  </si>
  <si>
    <t>Implementar 100% del programa de arquitectura TI conforme a las necesidades de la UAECOB</t>
  </si>
  <si>
    <t>72151600;43223300;39131700;39121400</t>
  </si>
  <si>
    <t>Contratar el servicio de Mantenimiento preventivo y correctivo del cableado estructurado de voz, datos y eléctrico con suministro de repuestos para todas las sedes de la U.A.E. Cuerpo Oficial de Bomberos de Bogotá.- TIC</t>
  </si>
  <si>
    <t>0232020200883132_Servicios de soporte en tecnologías de la información (TI)</t>
  </si>
  <si>
    <t>Implementar 100% del programa de seguridad y privacidad de la información en la UAECOB alineado a la Política de Gobierno Digital</t>
  </si>
  <si>
    <t>Contratar el servicio de actualización y soporte de licenciamiento ArcGis para la UAECOB - TIC</t>
  </si>
  <si>
    <t>Habilitar 3 servicios ciudadanos digitales básicos en la UAECOBB</t>
  </si>
  <si>
    <t>81112204;81112501</t>
  </si>
  <si>
    <t>Contratar la renovación , servicio de actualización y soporte de licenciamiento Oracle para Base de Datos,  y Web Logic para la UAECOB -TIC-</t>
  </si>
  <si>
    <t>Implementar 100 % del plan de gestión de riesgo para los procesos de conocimiento y reducción en incendios, incidentes con materiales peligrosos y escenarios de riesgos</t>
  </si>
  <si>
    <t>Contratar el servicio de comunicación satelital para la UAECOB - BGAN - TIC</t>
  </si>
  <si>
    <t>O232020200884190_Otros servicios de telecomunicaciones</t>
  </si>
  <si>
    <t>Implementar 100% de un programa de mantenimiento a las estaciones de bomberos de Bogotá</t>
  </si>
  <si>
    <t>43233000;81112200</t>
  </si>
  <si>
    <t>Adición y prorroga del  Contrato No. 410 de 2021 cuyo objeto es "Contratar el servicio de soporte y mantenimiento del sistema de gestión documental para la UAECOB". - TIC</t>
  </si>
  <si>
    <t>O232020200668014_Servicios de gestión documental</t>
  </si>
  <si>
    <t xml:space="preserve">NO SECOP </t>
  </si>
  <si>
    <t>Implementar 100% de un programa de renovación de equipo menor, herramientas, accesorios y elementos de protección personal en la UAECOB</t>
  </si>
  <si>
    <t>43233000; 81112200</t>
  </si>
  <si>
    <t>Contratar el servicio de soporte y mantenimiento del sistema de gestion documental  para la UAECOB - TIC</t>
  </si>
  <si>
    <t>Implementar 100% de un programa de renovación de vehículos de la Unidad Administrativa Cuerpo Oficial de Bomberos de Bogotá</t>
  </si>
  <si>
    <t>43000000;43220000;43222500; 43230000;43233200</t>
  </si>
  <si>
    <t>Contratar la renovación del licenciamiento WAF para la UAECOB- TIC</t>
  </si>
  <si>
    <t xml:space="preserve">72151607;72103302 </t>
  </si>
  <si>
    <t>Adición al Contrato 637 de 2021 cuyo objeto es "Contratar el servicio de mantenimiento correctivo de los radios portátiles y móviles marca motorola propiedad de la UAECOB"- TIC</t>
  </si>
  <si>
    <t>NO SECOP</t>
  </si>
  <si>
    <t>Contratar el servicio de soporte del software Veeam Backup para la U.A.E. Cuerpo oficial de Bomberos de Bogotá - TIC</t>
  </si>
  <si>
    <t>Poner 3 espacios nuevos en funcionamiento para la gestión integral de riesgos, incendios, incidentes con materiales peligrosos y rescates en todas sus modalidades</t>
  </si>
  <si>
    <t>81112200;
81112201</t>
  </si>
  <si>
    <t>Contratar el servicio de soporte del sistema misional FUOCO para la UAECOB de acuerdo a lo contemplado en el anexo técnico.-TIC-</t>
  </si>
  <si>
    <t>43232300;
43232500;
43233700;
86141500;
81111800;
81112500;
86141700;
86111500;</t>
  </si>
  <si>
    <t>Contratar un servicio de acceso a la herramienta LMS E-learning, que permita el desarrollo de las capacitaciones virtuales programadas en la UAECOB. - TIC</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</si>
  <si>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</si>
  <si>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</si>
  <si>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Contratar el servicio de mantenimiento preventivo, implementación de un sistema tarifador y soporte de la plataforma tecnológica de voz y videoconferencia AVAYA propiedad de la U.A.E. Cuerpo Oficial de Bomberos de Bogotá.</t>
  </si>
  <si>
    <t>223-Implementar al 100% un (1) programa de conocimiento y reducción en la gestión de  riesgo de incendios, incidentes con materiales peligrosos y escenarios de riesgos.</t>
  </si>
  <si>
    <t>1-Implementar 100 % del plan de gestión de riesgo para los procesos de conocimiento y reducción en incendios, incidentes con materiales peligrosos y escenarios de riesgos</t>
  </si>
  <si>
    <t>Contratar la adquisición de los elementos de seguridad Electrónica para la UAECOB - TIC</t>
  </si>
  <si>
    <t>1-100-F039 VA-Crédito</t>
  </si>
  <si>
    <t>224-Implementar al 100% un programa de formación, modernización y sostenibilidad de la Unidad Administrativa Especial Cuerpo Oficial de Bomberos - UAECOB, para la respuesta efectiva en la atención de emergencias y desastres.</t>
  </si>
  <si>
    <t>5-Implementar 100% de un programa de mantenimiento a las estaciones de bomberos de Bogotá</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</si>
  <si>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</si>
  <si>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</si>
  <si>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226-Reforzar, Adecuar y Ampliar  6 estaciones de Bomberos</t>
  </si>
  <si>
    <t>7-Implementar 100% de un programa de renovación de vehículos de la Unidad Administrativa Cuerpo Oficial de Bomberos de Bogotá</t>
  </si>
  <si>
    <t>PASIVOS EXIGIBLES</t>
  </si>
  <si>
    <t>516-Gestionar el 100% de un (1) plan de adecuación y sostenibilidad de los sistemas de gestión de la Unidad Administrativa Especial Cuerpo Oficial de Bomberos</t>
  </si>
  <si>
    <t>8-Implementar 100% de un programa de suministros y consumibles para la atención de emergencias en la UAECOB</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</si>
  <si>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</si>
  <si>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</si>
  <si>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O232020200882199_Otros servicios jurídicos n.c.p.</t>
  </si>
  <si>
    <t>1-Implementar 1 plan de ajuste y sostenibilidad del MIPG en la UAECOB</t>
  </si>
  <si>
    <t>9-Ejecutar el 100% del programa de mantenimiento de vehículos y equipo menor de la UAECOB</t>
  </si>
  <si>
    <t>Prestación de servicios profesionales, en temas jurídicos de la gestión administrativa a cargo de la Subdirección de Gestión Corporativa.-SGC</t>
  </si>
  <si>
    <t>3-Poner 3 espacios nuevos en funcionamiento para la gestión integral de riesgos, incendios, incidentes con materiales peligrosos y rescates en todas sus modalidades</t>
  </si>
  <si>
    <t>Prestación de servicios profesionales en el acompañamiento y asistencia al área de gestión administrativa de la Subdirección de Gestión Corporativa, así como en el apoyo a la supervisión de los contratos que le sean asignados.-SGC</t>
  </si>
  <si>
    <t>4-Adecuar seis (6) estaciones de Bomberos</t>
  </si>
  <si>
    <t>Prestación de Servicios Profesionales para la formulación de estrategias, indicadores y acciones requeridas por la Subdirección de Gestión Corporativa en relación con los proyectos administrativos y misionales de la UAECOB.-SGC</t>
  </si>
  <si>
    <t>2-Elaborar 1 plan de preparativos y continuidad del servicio para la UAECOB ante la eventual ocurrencia de un desastre en el Distrito Capital</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</si>
  <si>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</si>
  <si>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</si>
  <si>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Prestación de servicios profesionales  a la Subdirección de Gestión Corporativa para apoyar las actividades jurídicas requeridas por esta dependencia-SGC</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</si>
  <si>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</si>
  <si>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</si>
  <si>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</si>
  <si>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</si>
  <si>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</si>
  <si>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el almacén de la Entidad.-SGC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</si>
  <si>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</si>
  <si>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</si>
  <si>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</si>
  <si>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</si>
  <si>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</si>
  <si>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55121700;
47121700;
76122300;</t>
  </si>
  <si>
    <t>Suministro de contenedores para garantizar la segregación de residuos aprovechables y no aprovechables en la fuente así como la señalización alusiva a los programas del PIGA-SGC</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</si>
  <si>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</si>
  <si>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</si>
  <si>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</si>
  <si>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</si>
  <si>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Prestar el servicio de recolección, transporte, almacenamiento, tratamiento y disposición final de residuos de elementos de uso institucional utilizados por el personal operativo de la de la UAECOB de Bogotá.-SGC</t>
  </si>
  <si>
    <t>77101600;
77101700</t>
  </si>
  <si>
    <t>Prestar los servicios para adelantar los Trámites ambientales que requiera la Unidad Administrativa Especial cuerpo oficial de Bomberos de Bogota -SGC</t>
  </si>
  <si>
    <t xml:space="preserve">Resolución </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</si>
  <si>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</si>
  <si>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</si>
  <si>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</si>
  <si>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</si>
  <si>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</si>
  <si>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</si>
  <si>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</si>
  <si>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</si>
  <si>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</si>
  <si>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</si>
  <si>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</si>
  <si>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</si>
  <si>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</si>
  <si>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Prestación de Servicios Profesionales para acompañar el mejoramiento de los procesos de presupuestales y financieros a cargo de la Subdirección de Gestión Corporativa -SGC.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</si>
  <si>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</si>
  <si>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</si>
  <si>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</si>
  <si>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</si>
  <si>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</si>
  <si>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</si>
  <si>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</si>
  <si>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 xml:space="preserve">PAGO PASIVOS EXIGIBLES Y ADICIONES CONTEMPLADAS EN EL MARCO DE GARANTIZAR LA CONTINUIDAD DE LAS ACTIVIDADES A CARGO DE LA  SUBDIRECCIÓN DE GESTIÓN CORPORATIVA </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</si>
  <si>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</si>
  <si>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</si>
  <si>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</si>
  <si>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</si>
  <si>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</si>
  <si>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</si>
  <si>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</si>
  <si>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</si>
  <si>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</si>
  <si>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</si>
  <si>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</si>
  <si>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</si>
  <si>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</si>
  <si>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</si>
  <si>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</si>
  <si>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</si>
  <si>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</si>
  <si>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</si>
  <si>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</si>
  <si>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</si>
  <si>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</si>
  <si>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</si>
  <si>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</si>
  <si>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</si>
  <si>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</si>
  <si>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</si>
  <si>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</si>
  <si>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</si>
  <si>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</si>
  <si>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</si>
  <si>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</si>
  <si>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</si>
  <si>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</si>
  <si>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</si>
  <si>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</si>
  <si>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</si>
  <si>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</si>
  <si>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</si>
  <si>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</si>
  <si>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</si>
  <si>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Contratar la elaboración de la segunda fase de la estratégia institucional de preparativos del Cuerpo Oficial de Bomberos de Bogotá, mediante un modelo para la implementación ante un evento de gran magnitud.</t>
  </si>
  <si>
    <t xml:space="preserve">Prestar servicios profesionales para apoyar a la UAECOB en el seguimiento de la construcción de la estrategia de preparativos para la entidad </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</si>
  <si>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</si>
  <si>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</si>
  <si>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</si>
  <si>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</si>
  <si>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</si>
  <si>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</si>
  <si>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</si>
  <si>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</si>
  <si>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</si>
  <si>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</si>
  <si>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</si>
  <si>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</si>
  <si>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</si>
  <si>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</si>
  <si>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</si>
  <si>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</si>
  <si>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</si>
  <si>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</si>
  <si>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Prestar servicios profesionales especializados a la Jefatura de la Oficina Asesora de Planeación en el fortalecimiento, articulación, seguimiento y gestión en el cumplimiento de las funciones asignadas a la dependencia. -OAP-</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</si>
  <si>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</si>
  <si>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</si>
  <si>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</si>
  <si>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</si>
  <si>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</si>
  <si>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</si>
  <si>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</si>
  <si>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</si>
  <si>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</si>
  <si>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</si>
  <si>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</si>
  <si>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</si>
  <si>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</si>
  <si>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</si>
  <si>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</si>
  <si>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</si>
  <si>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</si>
  <si>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</si>
  <si>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</si>
  <si>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</si>
  <si>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</si>
  <si>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</si>
  <si>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</si>
  <si>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</si>
  <si>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</si>
  <si>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</si>
  <si>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</si>
  <si>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a la Subdirección Logística, para el seguimiento, control y reporte de la información referente al impacto ambiental en desarrollo de los procesos de parque automotor y equipo menor - SBLG</t>
  </si>
  <si>
    <t>Prestar servicios profesionales en la Dirección General de la UAECOB en actividades de articulación y seguimiento a los procesos de planeación institucional y gestión estratégica, así como el fortalecimiento transversal del proceso de Academia.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</si>
  <si>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</si>
  <si>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</si>
  <si>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</si>
  <si>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</si>
  <si>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</si>
  <si>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</si>
  <si>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</si>
  <si>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</si>
  <si>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</si>
  <si>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</si>
  <si>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</si>
  <si>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</si>
  <si>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</si>
  <si>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Prestación de servicios profesionales para articular los procesos y procedimientos del Área de infraestructura, así como en el apoyo a la supervisión de los contratos que le sean asignados-SGC</t>
  </si>
  <si>
    <t>Prestar servicios profesionales para acompañar jurídicamente los procesos y procedimientos del  areá de infraestructura de la  Subdirección de Gestión Corporativa.SGC</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</si>
  <si>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</si>
  <si>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</si>
  <si>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</si>
  <si>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</si>
  <si>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</si>
  <si>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</si>
  <si>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</si>
  <si>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</si>
  <si>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</si>
  <si>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72151800;
73152100;</t>
  </si>
  <si>
    <t>Adición y prórroga No.1  al contrato 708 de 2021  con objeto "Mantenimiento preventivo y correctivo, que incluye el suministro deinsumos y repuestos de las lavadoras y secadoras industriales ubicadas en las estaciones de bomberos de la UAE Cuerpo Oficial de Bomberos deBogotá-SGC</t>
  </si>
  <si>
    <t>O232020200887151_Servicios de mantenimiento y reparación de electrodomésticos</t>
  </si>
  <si>
    <t>viabilidad 11 de mayo de 2022</t>
  </si>
  <si>
    <t>72121400;
72151700;
95121700;</t>
  </si>
  <si>
    <t>Mantenimiento preventivo y correctivo, suministro e instalación de los equipos gasodomésticos y solares, adecuación de las redes de gas natural y repuestos para las Estaciones de Bomberos de UAE Cuerpo Oficial de Bomberos SGC</t>
  </si>
  <si>
    <t>O23202020088715999_Servicio de mantenimiento y reparación de otros equipos n.c.p.</t>
  </si>
  <si>
    <t>72151800;
72151505;
73152108;</t>
  </si>
  <si>
    <t>Mantenimiento preventivo y correctivo, que incluye el suministro de insumos y repuestos de las plantas eléctricas ubicadas en los diferentes edificios de la Unidad Administrativa Especial del Cuerpo Oficial de Bomberos Bogotá D.C -SGC</t>
  </si>
  <si>
    <t>72151800;</t>
  </si>
  <si>
    <t>Adición y prórroga No.1  al contrato 629 de 2021  con objeto " Realizar el mantenimiento preventivo, correctivo y suministro de repuestos para los equipos de gimnasio instalados en las diferentes estaciones de la UAE Cuerpo Oficiales de Bomberos. -SGC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</si>
  <si>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</si>
  <si>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</si>
  <si>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</si>
  <si>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de la UAE Cuerpo Oficial de Bomberos de Bogotá – SGC</t>
  </si>
  <si>
    <t>O2320202005040554590-Otros servicios especializados de la
construcción</t>
  </si>
  <si>
    <t>80101600;
81101500;
72101500;
72121400;</t>
  </si>
  <si>
    <t>Interventoría técnica, administrativa, financiera, contable, jurídica y ambiental para la elaboración de estudios y diseños técnicos para la construcción de la estación de Bomberos de Caobos Salazar B-13  de la UAE Cuerpo Oficial de Bomberos de Bogotá – SGC</t>
  </si>
  <si>
    <t>Elaboración de estudios y diseños técnicos para la construcción de la estación de
bomberos de Ferias B-7 de la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</si>
  <si>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</si>
  <si>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</si>
  <si>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</si>
  <si>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23131500;
27111800;</t>
  </si>
  <si>
    <t>Adición y prórroga No.1  al contrato 540 de 2021  con objeto " Suministro de materiales, equipos y herramientas para el mejoramiento integral de las instalaciones de la UAE CUERPO OFICIAL DE BOMBEROS DEBOGOTÁ.-SGC</t>
  </si>
  <si>
    <t>72121400;
72151700;</t>
  </si>
  <si>
    <t xml:space="preserve">Realizar el mantenimiento predictivo, preventivo, correctivo,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</si>
  <si>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</si>
  <si>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56111900</t>
  </si>
  <si>
    <t>Adquisición e instalación del mobiliario para la estación de Marichuela B10 -SGC</t>
  </si>
  <si>
    <t xml:space="preserve">Pago de pasivos exigibles a cargo de  la Subdirección de Gestión Corporativa </t>
  </si>
  <si>
    <t>O23201010030208_Otra maquinaria para usos especiales y sus partes y piezas</t>
  </si>
  <si>
    <t xml:space="preserve">1-601-F001 - Pasivos </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</si>
  <si>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</si>
  <si>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</si>
  <si>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</si>
  <si>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44121700;
44111500;
44122000;
44122100;
14111500;</t>
  </si>
  <si>
    <t>Adición y prórroga al contrato No. 079 de 2021 con objeto"Contratar la prestación del servicio de aseo y cafetería incluido insumos para la UAE Cuerpo Oficial de Bomberos-SGC</t>
  </si>
  <si>
    <t>O232020200885330_Servicios de limpieza general</t>
  </si>
  <si>
    <t>Contratar la prestación del servicio de aseo y cafetería incluído insumos para la UAE Cuerpo Oficial de Bomberos-SGC</t>
  </si>
  <si>
    <t>81101500, 80101600;</t>
  </si>
  <si>
    <t>Elaboración de estudios y diseños técnicos para la actualización de diseños de las redes hidráulicas, sanitarias y pluviales de la estación de bomberos de bicentenario de conformidad a la normatividad vigente establecida por la empresa de acueducto de Bogotá-SGC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</si>
  <si>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</si>
  <si>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</si>
  <si>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</si>
  <si>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72102900
72121400;
72151700;
56101500;
72121400;
72151700;
95121700
56111900;</t>
  </si>
  <si>
    <t>Realizar el mejoramiento y dotación de las instalaciones del predio la Alemana para  la academia de la U.A.E Cuerpo Oficial de Bomberos Bogotá D.C-SGC</t>
  </si>
  <si>
    <t>225-Poner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</si>
  <si>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</si>
  <si>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</si>
  <si>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</si>
  <si>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</si>
  <si>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</si>
  <si>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</si>
  <si>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</si>
  <si>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</si>
  <si>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</si>
  <si>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</si>
  <si>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</si>
  <si>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</si>
  <si>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</si>
  <si>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</si>
  <si>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</si>
  <si>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86101600; 86101700; 86101800; 86111600; 86141500; 86121800</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</si>
  <si>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</si>
  <si>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</si>
  <si>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SGH - Suministro de un sistema de simulación de entrenamiento en manejo de desastres.</t>
  </si>
  <si>
    <t>SGH - Garantizar los recursos para viáticos y tiquetes del personal</t>
  </si>
  <si>
    <t>SGH - Garantizar los Recursos para movilización del Personal para emergencias</t>
  </si>
  <si>
    <t>SGH - Prestar servicios para soportar las actividades de la dependencia.</t>
  </si>
  <si>
    <t>25101700;
25101900;
92101601;
92101603;
92101604</t>
  </si>
  <si>
    <t>Adquisición de vehículos operativos para la atención de emergencias - Subdirección Operativa</t>
  </si>
  <si>
    <t>46181500;
46181600;
48181700;
46181800;
46181900;
46182000;
46182100;
46182200;
46182300;
46182400;
46182500;
46191500;
46191600</t>
  </si>
  <si>
    <t>Adquisición de elementos de protección personal (E.P.P.) para la atención de emergencias. - Subdirección Operativa</t>
  </si>
  <si>
    <t>6-Implementar 100% de un programa de renovación de equipo menor, herramientas, accesorios y elementos de protección personal en la UAECOB</t>
  </si>
  <si>
    <t xml:space="preserve">46191500;
46191600;
25111500;
26101500 </t>
  </si>
  <si>
    <t>Adquisición de equipos, herramientas y accesorios (E.H.A.´s) para la atención de emergencias. - Subdirección Operativa</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</si>
  <si>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</si>
  <si>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</si>
  <si>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</si>
  <si>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</si>
  <si>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</si>
  <si>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</si>
  <si>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</si>
  <si>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</si>
  <si>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</si>
  <si>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</si>
  <si>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</si>
  <si>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</si>
  <si>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</si>
  <si>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</si>
  <si>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</si>
  <si>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</si>
  <si>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</si>
  <si>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</si>
  <si>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</si>
  <si>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</si>
  <si>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</si>
  <si>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</si>
  <si>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</si>
  <si>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</si>
  <si>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</si>
  <si>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</si>
  <si>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</si>
  <si>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40101700
45121500
43211700
25131700</t>
  </si>
  <si>
    <t>Contratar el sistema de detección temprana de incendios forestales mediante equipos tecnológicos para las zonas de cobertura vegetal del distrito capital_FASE 1_SGR</t>
  </si>
  <si>
    <t>11161700;  53101600;  53102500 ; 53102700 ; 53103000 ;   73141700;
73141500; 73151500</t>
  </si>
  <si>
    <t>Adquisición de elementos de identificación institucional para el programa de Bomberitos_SGR.</t>
  </si>
  <si>
    <t xml:space="preserve">viabilidad mayo 3 de 2022 </t>
  </si>
  <si>
    <t>80141900
90111500
90111600
80141900</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</si>
  <si>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</si>
  <si>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43211900
43232400
43232200
43211700
43232100
43211500</t>
  </si>
  <si>
    <t>Contratar el Diseño de Escenarios en Realidad Virtual para el Desarrollo de Capacitaciones dirigidas a las Brigadas de Emergencia_SGR</t>
  </si>
  <si>
    <t xml:space="preserve">76122304 
76122404 
76122203 
76121502 
76121901 
76131701 
76121902 </t>
  </si>
  <si>
    <t>Prestación de servicio para la recolección y disposición final de residuos huérfanos para la UAE Cuerpo Oficial de Bomberos_SGR</t>
  </si>
  <si>
    <t>60121104
60121708
44111515
24121503
24112404
31201512
12352104</t>
  </si>
  <si>
    <t>Adquisición de insumos y materias primas para la producción de impresos de artes gráficas_ SGR.</t>
  </si>
  <si>
    <t>39111600; 39111700; 3911900</t>
  </si>
  <si>
    <t>Adquisicion de equipos de iluminacion para la investigacion de incendios_SGR</t>
  </si>
  <si>
    <t>Prestar servicios profesionales para el desarrollo de actividades de planeación y desarrollo de programas y proyectos para la Subdirección de Gestión del Riesgo._SGR</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</si>
  <si>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</si>
  <si>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</si>
  <si>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</si>
  <si>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SI - 25-07-2022</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</si>
  <si>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</si>
  <si>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</si>
  <si>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</si>
  <si>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</si>
  <si>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</si>
  <si>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</si>
  <si>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</si>
  <si>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SI - 26-07-2022</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</si>
  <si>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</si>
  <si>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</si>
  <si>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</si>
  <si>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</si>
  <si>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</si>
  <si>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</si>
  <si>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</si>
  <si>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</si>
  <si>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</si>
  <si>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</si>
  <si>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</si>
  <si>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</si>
  <si>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</si>
  <si>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</si>
  <si>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</si>
  <si>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</si>
  <si>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</si>
  <si>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</si>
  <si>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</si>
  <si>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</si>
  <si>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</si>
  <si>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</si>
  <si>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</si>
  <si>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O232020200883590_Otros servicios veterinarios</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</si>
  <si>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</si>
  <si>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</si>
  <si>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</si>
  <si>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</si>
  <si>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</si>
  <si>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</si>
  <si>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</si>
  <si>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</si>
  <si>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Suministrar elementos de protección personal y desinfección para evitar el contagio y propagación del coronavirus COVID-19.</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</si>
  <si>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</si>
  <si>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</si>
  <si>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</si>
  <si>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</si>
  <si>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</si>
  <si>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</si>
  <si>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</si>
  <si>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</si>
  <si>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Mantenimiento Correctivo y Preventivo de los Equipos Menores con suministro, repuestos, accesorios e insumo</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</si>
  <si>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</si>
  <si>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</si>
  <si>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</si>
  <si>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</si>
  <si>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Suministro de espuma y concentrado de espuma y adquisición, mantenimiento y recarga de extintores, cilindros y tanques de las maquinas extintoras.</t>
  </si>
  <si>
    <t>Contratar el servicio de Transporte Especial Terrestre, para la ejecución de actividades inherentes a la misionalidad de la Unidad Administrativa Especial Cuerpo Oficial de Bomberos de Bogotá.</t>
  </si>
  <si>
    <t>O232020200664116_Servicios de alquiler de automóviles con conductor</t>
  </si>
  <si>
    <t>Pago de pasivos exigibles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</si>
  <si>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</si>
  <si>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</si>
  <si>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</si>
  <si>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</si>
  <si>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</si>
  <si>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</si>
  <si>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</si>
  <si>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</si>
  <si>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</si>
  <si>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</si>
  <si>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</si>
  <si>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</si>
  <si>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profesionales para apoyar a la subdirección logística en el seguimiento a indicadores, contratos, proyectos de inversión y desarrollo de actividades presupuestales a cargo de esta dependencia.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</si>
  <si>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</si>
  <si>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</si>
  <si>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</si>
  <si>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</si>
  <si>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</si>
  <si>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</si>
  <si>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</si>
  <si>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</si>
  <si>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</si>
  <si>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</si>
  <si>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</si>
  <si>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</si>
  <si>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</si>
  <si>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</si>
  <si>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</si>
  <si>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</si>
  <si>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</si>
  <si>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</si>
  <si>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</si>
  <si>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</si>
  <si>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</si>
  <si>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</si>
  <si>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</si>
  <si>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</si>
  <si>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</si>
  <si>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</si>
  <si>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</si>
  <si>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</si>
  <si>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Suministro  de implementos  de  papelería y oficina para las dependencias de la UAE Cuerpo  Oficial de Bomberos-SGC</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</si>
  <si>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</si>
  <si>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</si>
  <si>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</si>
  <si>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</si>
  <si>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</si>
  <si>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</si>
  <si>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</si>
  <si>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</si>
  <si>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</si>
  <si>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</si>
  <si>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84131600; 
84131500;
84131600;</t>
  </si>
  <si>
    <t>Contratar el programa integral de seguros-SGC</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</si>
  <si>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</si>
  <si>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</si>
  <si>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</si>
  <si>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</si>
  <si>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Prestar el servicio de vigilancia y seguridad privada en la modalidad de vigilancia fija, según especificaciones técnicas, en las instalaciones donde la UAE Especial Cuerpo Oficial de Bomberos requiera-SGC</t>
  </si>
  <si>
    <t>72154010;
72101506;</t>
  </si>
  <si>
    <t>Mantenimiento ascensor nueva Estación de Bomberos de Fontibón-SGC</t>
  </si>
  <si>
    <t>72101506;</t>
  </si>
  <si>
    <t>Adición y prórroga al contrato No. 304 de 2021 con objeto "Mantenimiento correctivo y preventivo con suministro de repuestos para los Ascensores Edificio Comando. -SGC"</t>
  </si>
  <si>
    <t>Mantenimiento correctivo y preventivo con suministro de repuestos para los Ascensores Edificio Comando-SGC</t>
  </si>
  <si>
    <t>Contratar el servicio de saneamiento ambiental y el servicio de poda y jardinería para las áreas verdes en las 18 sedes de la UAECOB-SGC</t>
  </si>
  <si>
    <t>Prestar los servicios profesionales jurídicos especializados en el desarrollo de las funciones de la Oficina Asesora Jurídica.</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</si>
  <si>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</si>
  <si>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</si>
  <si>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</si>
  <si>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</si>
  <si>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53102700;
53111601; 
3111602;</t>
  </si>
  <si>
    <t>Adquisición de uniformes</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</si>
  <si>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</si>
  <si>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</si>
  <si>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901016; 
901116; 
901417; 
901517</t>
  </si>
  <si>
    <t>Contratar la Prestación de Servicios para desarrollar el Plan de Bienestar de la UAE Cuerpo Oficial de Bomberos para la Vigencia 2022.</t>
  </si>
  <si>
    <t>no requiere</t>
  </si>
  <si>
    <t>Incentivos</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</si>
  <si>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</si>
  <si>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</si>
  <si>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</si>
  <si>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</si>
  <si>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</si>
  <si>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</si>
  <si>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43233205;</t>
  </si>
  <si>
    <t>Contratar la adquisición de los certificados digitales de seguridad SSL para los sistemas de información y   las firmas digitales de la U.A.E Cuerpo Oficial de Bomberos de Bogotá – TIC</t>
  </si>
  <si>
    <t xml:space="preserve">Contratar la adquisición de certificado de firma digital función pública, con su respectivo dispositivo criptográfico de almacenamiento del certificado digital. </t>
  </si>
  <si>
    <t>81112213; 
81112501;</t>
  </si>
  <si>
    <t>Adición y prórroga contrato 455 de 2021 cuyo objeto es "Prestar los servicios de mantenimiento, soporte técnico, mejoras y actualizaciones del aplicativo PCT utilizado por la UEACOB."</t>
  </si>
  <si>
    <t xml:space="preserve">81112213; 
81112501; </t>
  </si>
  <si>
    <t>Contratar el servicio de soporte técnico a distancia del aplicativo PCT, utilizado por la U.A.E Cuerpo Oficial de Bomberos Bogota - TIC</t>
  </si>
  <si>
    <t>81112222;</t>
  </si>
  <si>
    <t>Prestar los servicios de mantenimiento, soporte técnico, mejoras y actualizaciones de Aranda utilizado por la UEACOB.</t>
  </si>
  <si>
    <t>81112501; 
43232102; 
43232103; 
43231512;</t>
  </si>
  <si>
    <t>"Contratar  la suscripción de licencias Suite Adobe para la U.A.E Cuerpo Oficial de Bomberos de Bogotá"</t>
  </si>
  <si>
    <t>81111811;</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</si>
  <si>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</si>
  <si>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81112000;</t>
  </si>
  <si>
    <t>Adición y prórroga contrato 084 de 2021 cuyo objeto es "Contratar los servicios de canales de datos dedicados para la infraestructura LAN de Internet para la UAE Cuerpo Oficial de Bomberos de Bogotá."</t>
  </si>
  <si>
    <t>81112100;</t>
  </si>
  <si>
    <t>Contratar los servicios de canales de datos dedicados para la infraestructura LAN de Internet para la UAE Cuerpo Oficial de Bomberos de Bogotá.</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</si>
  <si>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</si>
  <si>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</si>
  <si>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</si>
  <si>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</si>
  <si>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</si>
  <si>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</si>
  <si>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</si>
  <si>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</si>
  <si>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</si>
  <si>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Prestar servicios profesionales para llevar acabo el soporte de primer nivel a los recursos tecnológicos de la Entidad.-TIC-</t>
  </si>
  <si>
    <t>43232300; 
43232500;
43233700;
86141500;
81111800;
81112500;
86141700;
86111500;</t>
  </si>
  <si>
    <t>Contratar un servicio de acceso a la herramienta LMS E-learning, que permita el desarrollo de las capacitaciones virtuales programadas en la UAECOB._SGR</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</si>
  <si>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</si>
  <si>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OTROS SERVICIO DE COMIDAS CONTRATADAS (Pasivos Exigibles)</t>
  </si>
  <si>
    <t xml:space="preserve">OTROS EQUIPOS  (Pasivos Exigibles)
</t>
  </si>
  <si>
    <t>O23201010030807         Otros equipos</t>
  </si>
  <si>
    <t>SERVICIO DE MANTENIMIENTO Y REPARACIÓN DE OTROS EQUIPOS  (Pasivos Exigibles)</t>
  </si>
  <si>
    <t>1-601-F001 pasivos</t>
  </si>
  <si>
    <t>ALIMENTOS PARA PERROS  (Pasivos Exigibles)</t>
  </si>
  <si>
    <t>O2320201002032331101    Alimentos para perros</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</si>
  <si>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</si>
  <si>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</si>
  <si>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</si>
  <si>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</si>
  <si>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</si>
  <si>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</si>
  <si>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xml:space="preserve"> 46181900;
 46181901</t>
  </si>
  <si>
    <t>Adquirir elementos de protección personal para prevenir la aparición de enfermedades ocupacionales en el oido en el personal de la UAE cuerpo oficial de bomberos.</t>
  </si>
  <si>
    <t>56101500;561217</t>
  </si>
  <si>
    <t>Adquisición de mobiliario para las diferentes estaciones de la UAE Cuerpo Oficial de Bomberos – SGC</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</si>
  <si>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</si>
  <si>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</si>
  <si>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UAECOB</t>
  </si>
  <si>
    <t>Adquisición de un equipo de montacargas para la bogeda forestal de la estación de Bomberos Bellavista B9-SGC</t>
  </si>
  <si>
    <t>Adición y prórroga al Contrato 393 de 2021 cuyo objeto es " Contratar el alquiler de equipos tecnológicos, periféricos y servicios complementarios para la UAECOB"</t>
  </si>
  <si>
    <t xml:space="preserve">viabilidad 21 de abril 2022 </t>
  </si>
  <si>
    <t>Adición y prórroga al Contrato 394 de 2021 cuyo objeto es "  Contratar el alquiler de equipos tecnológicos, periféricos y servicios complementarios para la UAECOB"</t>
  </si>
  <si>
    <t>viabilidad mayo 11 por menor valor 363.521.602</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</si>
  <si>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</si>
  <si>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</si>
  <si>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</si>
  <si>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</si>
  <si>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</si>
  <si>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</si>
  <si>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la adquisición y actualización tecnológica de los equipos activos y accesorios en la U.A.E Cuerpo Oficial de Bomberos de Bogota. - TIC</t>
  </si>
  <si>
    <t xml:space="preserve">viabilidad mayo 9 de 2022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</si>
  <si>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</si>
  <si>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</si>
  <si>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</si>
  <si>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</si>
  <si>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</si>
  <si>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</si>
  <si>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</si>
  <si>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</si>
  <si>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</si>
  <si>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</si>
  <si>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</si>
  <si>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</si>
  <si>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60141000
60141100
60141200
60141400
73101500
73151500</t>
  </si>
  <si>
    <t>Adquisición de elementos de apoyo didáctico y pedagógico para actividades, programas y campañas requeridas en la Subdirección de Gestión del Riesgo_SGR</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</si>
  <si>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</si>
  <si>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</si>
  <si>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</si>
  <si>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</si>
  <si>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</si>
  <si>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</si>
  <si>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Prestar servicios profesionales para el desarrollo de programas, campañas y proyectos para la Subdirección de Gestión del Riesgo._SGR</t>
  </si>
  <si>
    <t>viabilidad 28 de junio de 2022</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</si>
  <si>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</si>
  <si>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</si>
  <si>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</si>
  <si>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81112001;
81112002; 
32101656; 
25173107;</t>
  </si>
  <si>
    <t>Adición y prórroga al Contrato 672 de 2021 cuyo objeto es "Prestar el servicio de monitoreo, control y seguimiento satelital a los vehículos de propiedad de la UAECOB"</t>
  </si>
  <si>
    <t>81111500
43233200
43233700</t>
  </si>
  <si>
    <t>Contratar los desarrollos, implementaciones y puestas en producción de sistemas de información nuevos y existentes requeridos por la U.A.E. Cuerpo Oficial de Bomberos de Bogotá conforme a las especificaciones técnicas</t>
  </si>
  <si>
    <t>SGH - Prestar sus servicios profesionales en la Subdirección de Gestión Humana.</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</si>
  <si>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</si>
  <si>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</si>
  <si>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</si>
  <si>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</si>
  <si>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</si>
  <si>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</si>
  <si>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</si>
  <si>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</si>
  <si>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</si>
  <si>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</si>
  <si>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</si>
  <si>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</si>
  <si>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</si>
  <si>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 xml:space="preserve">	
81101500;
80101600; </t>
  </si>
  <si>
    <t>Adición y prórroga al contrato 699 de 2021 que tiene como objeto" Interventoría técnica, administrativa, financiera, contable, jurídica,SST y ambiental al mantenimiento predictivo, preventivo, correctivo,adecuaciones, mejoras y dotación a las instalaciones de lasdependenciasde la Unidad Administrativa Especial Cuerpo Oficial deBomberos De Bogotá D.C - SGC"</t>
  </si>
  <si>
    <t xml:space="preserve">72102900;
72154000;
72101500;
</t>
  </si>
  <si>
    <t>Adición y prórroga al contrato 716 de 2021 que tiene como objeto" Realizar el mantenimiento predictivo, preventivo, correctivo,adecuaciones, mejoras y dotación a las instalaciones de las dependenciasde la Unidad Administrativa Especial Cuerpo Oficial de Bomberos DeBogotá D.C. - SGC</t>
  </si>
  <si>
    <t>CCE-02_Licitación pública</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</si>
  <si>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</si>
  <si>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</si>
  <si>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</si>
  <si>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</si>
  <si>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Prestar los servicios como conductor de  la Subdireccion de Gestion Corporativa -SGC</t>
  </si>
  <si>
    <t>SI - 27-05-2022</t>
  </si>
  <si>
    <t>43210000;43230000;43212100;43233400</t>
  </si>
  <si>
    <t>Contratar la adquisición de un equipo de impresión con el  software para la gestión, creación y edición de carnet institucional,  para material en PVC, consumibles y puesta en funcionamiento, para la Unidad Administrativa Especial Cuerpo Oficial de Bomberos de Bogotá.</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</si>
  <si>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</si>
  <si>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</si>
  <si>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</si>
  <si>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</si>
  <si>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</si>
  <si>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</si>
  <si>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Contratar la adquisición de los elementos de seguridad Electronica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</si>
  <si>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</si>
  <si>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Prestar por sus propios medios, con autonomía técnica y administrativa sus servicios profesionales para brindar acompañamiento jurídico a la Subdirección Logística, en la proyección de solicitudes dirigidas a autoridades administrativas y en la sustanciación de respuestas a PQR´S y requerimientos efectuados por los entes de control y autoridades administrativas, en el marco de los procesos y procedimientos a cargo de la dependencia.</t>
  </si>
  <si>
    <t>Adición y prórroga al contrato 399-2022: Prestar los servicios de apoyo administrativo a la Unidad Administrativa, para atender respuestas a requerimientos, consolidacion de la informacion y articulacion de la informacion entre las dependencias</t>
  </si>
  <si>
    <t>SI - 22-07-2022</t>
  </si>
  <si>
    <t>Prestar los servicios profesionales para apoyar las actividades técnicas del área de infraestructura de la Subdireccion de Gestión Corporativa-SGC</t>
  </si>
  <si>
    <t xml:space="preserve"> Adición y prórroga al contrato 429 de 2022 que tiene como objeto "Suministro de insumos para las impresoras de las estaciones de la UAE Cuerpo Oficial de Bomberos -SGC</t>
  </si>
  <si>
    <t>Adición y Prórroga No. 2 al contrato 598 de 2021 que tiene como objeto" Contratar el paquete integral de seguros-SGC"</t>
  </si>
  <si>
    <t>1.5</t>
  </si>
  <si>
    <t>Adición al Contrato 614 de 2021 cuyo objeto es "Contratar el Mantenimiento de UPS en la UAECOB" - TIC</t>
  </si>
  <si>
    <t>Realizar las actividades necesarias para la creación del pabellón del conocimiento de la entidad en el marco de la implementación y sostenibilidad de la política de la gestión del conocimiento y la innovación para la UAE Cuerpo Oficial de Bomberos de Bogotá -OAP-</t>
  </si>
  <si>
    <t>Prestar por sus propios medios con plena autonomía técnica y administrativa, sus servicios profesionales a la Subdirección Logistica de la UAE Cuerpo Oficial de Bomberos de Bogota D.C., para la generación de informes técnicos a partir de las fallas presentadas en los vehículos que hacen parte del parque automotor de la entidad y de las intervenciones efectuadas por los proveedores que les prestan el servicio de mantenimiento preventivo y correctivo a la UAE Cuerpo Oficial de Bomberos de Bogota D.C.</t>
  </si>
  <si>
    <t>SGH - Prestar servicios profesionales en la Subdirección de Gestión Humana, para el fortalecimiento trasversal del proceso de Academia.</t>
  </si>
  <si>
    <t>Adición al contrato No. 032 de 2022, cuyo objeto es "SGH - Prestar sus servicios profesionales en los procesos de contratación y calidad de la Subdirección de Gestión Humana de la UAE Cuerpo Oficial de Bomberos de Bogotá D.C."</t>
  </si>
  <si>
    <t>Adición al contrato No. 068 de 2022, cuyo objeto es "SGH - Prestar sus servicios profesionales para dar cumplimiento al PEGTH en actividades especificas de desarrollo organizacional."</t>
  </si>
  <si>
    <t>Adición al contrato No. 145 de 2022, cuyo objeto es "SGH - Prestar servicios profesionales para apoyar el programa de vigilancia epidemiológico al riesgo psicosocial y actividades de seguridad y salud en el trabajo en la Subdirección de Gestión Humana."</t>
  </si>
  <si>
    <t>Adición al contrato No. 154 de 2022, cuyo objeto es "SGH - Ejecutar actividades de apoyo a la gestión en  la Subdirección de Gestión Humana de la UAE Cuerpo Oficial de Bomberos de Bogotá D.C. en lo relacionado con los procesos de actualización, custodia y manejo del archivo de gestión de la Subdirección.</t>
  </si>
  <si>
    <t>Adquirir vehículo para cubrir la necesidad Misional de la UAE Cuerpo Oficial de Bomberos en la prestación de los servicios relacionados en la atención de emergencias, logística y procesos de gestión del riesgo._SGR</t>
  </si>
  <si>
    <t>24112209 
40101700
40101500
30141600
30141605
24112800</t>
  </si>
  <si>
    <t>Contratar la solucion integral para la puesta en funcionamiento de los escenarios de capacitación y entrenamiento especializado de la UAE Cuerpo Oficial de Bomberos de Bogotá_SGR</t>
  </si>
  <si>
    <t>Adquisicion de elementos para pista de entrenamiento del grupo canino BRAE de la UAE Cuerpo Oficial de Bomberos de Bogotá_SGR</t>
  </si>
  <si>
    <t>56101500
44103100
49121500
49121600
52152000
56101600
47121700
48101500
95131700</t>
  </si>
  <si>
    <t>Adquisicion de elementos de apoyo para el Grupo GAO de la Subdireccion de Gestion del Riesgo_SGR.</t>
  </si>
  <si>
    <t>72102900;
72103300;
72152700;
72153700;
72101500;</t>
  </si>
  <si>
    <t>Adecuación del parqueadero del edificio comando, para desarrollar la zona de movilidad sostenible en concordancia con el proyecto de sostenibilidad institucional._SGR</t>
  </si>
  <si>
    <t>Prestación de servicios profesionales en la Subdirección de Gestión Corporativa en las actividades relacionadas con respuestas, planes y demás a entes de control, así como las demás acciones encaminadas al desarrollo de MIPG y, por ende, al Sistema Integrado de Gestión SGC"</t>
  </si>
  <si>
    <t>4 meses</t>
  </si>
  <si>
    <t>Prestación de servicios profesionales en la Subdirección de Gestión Corporativa adelantando las actividades necesarias para la ejecución del programa y los procesos de seguros de la Entidad. - SGC</t>
  </si>
  <si>
    <t>Prestación de servicios de apoyo a la gestión a la Subdirección de Gestión Corporativa para el cumplimiento de las funciones asignadas a esta dependencia, especialmente las tareas de tipo administrativo relacionadas con asuntos disciplinarios. - SGC"</t>
  </si>
  <si>
    <t>Prestación de servicios profesionales para apoyar a la Subdirección de Gestión Corporativa en las actividades administrativas, seguros, compras e inventarios-SGC</t>
  </si>
  <si>
    <t>5 meses</t>
  </si>
  <si>
    <t>Prestación de servicios profesionales jurídicos para apoyar la gestión de los procesos disciplinarios que se adelanten en la UAECOB y que se encuentran a cargo de la Subdirección de Gestión Corporativa - SGC</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</si>
  <si>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t>
  </si>
  <si>
    <t>Adición y prórroga No. 2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</si>
  <si>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 xml:space="preserve"> Adición y prórroga al Contrato 273 de 2022 cuyo objeto es " Prestar los servicios profesionales para liderar jurídicamente la gestión derivada de sus procesos y el trámite de la actividad contractual, relacionados con las funciones de la Oficina Asesora de Planeación -OAP-"</t>
  </si>
  <si>
    <t>Adición y prórroga al Contrato 374 de 2022 cuyo objeto es " Prestar servicios profesionales para apoyar la articulación de las dependencias con la planeación institucional y la gestión estratégica definida por la Alta Dirección en la UAECOB -OAP- "</t>
  </si>
  <si>
    <t>Adición y prórroga al Contrato 267 de 2022 cuyo objeto es " Prestar servicios profesionales para el diseño de las estrategias audiovisuales que permitan el uso y apropiación del MIPG en la UAECOB -OAP- “</t>
  </si>
  <si>
    <t>Adición y prórroga al Contrato 420 de 2022 cuyo objeto es " Prestar servicios profesionales para apoyar a la oficina asesora de planeación en la formulación, seguimiento y control presupuestal y estratégico de los proyectos de inversión de la Entidad.-OAP</t>
  </si>
  <si>
    <t>Adición y prórroga al Contrato 271 de 2022 cuyo objeto es " Prestar servicios profesionales en la Oficina Asesora de Planeación para apoyar a las dependencias en el fortalecimiento a la sostenibilidad y mejoramiento del Sistema de Gestión de Calidad en lo relacionado con el cumplimiento de las dimensiones y políticas MIPG -OAP"</t>
  </si>
  <si>
    <t>Adición y prórroga al Contrato 102 de 2022 cuyo objeto es " Prestar servicios profesionales para apoyar a la Oficina Asesora de Planeación en la estructuración, seguimiento y reporte de los Proyectos, Planes y Programas de la entidad -OAP "</t>
  </si>
  <si>
    <t>Adición y prórroga al Contrato 419 de 2022 cuyo objeto es " Prestar los servicios profesionales para la administración, procesamiento y análisis de la información estadística generada por la entidad en lo relacionado con las funciones asignadas a la Oficina Asesora de Planeación -OAP- “</t>
  </si>
  <si>
    <t>Adicion y prorroga al contrato 079 de 2022 "Prestar servicios de apoyo a la gestión como técnico en la Oficina de Control Interno para ejecutar procesos y procedimientos administrativos y asistenciales teniendo en cuenta el Plan Anual de Auditorías"</t>
  </si>
  <si>
    <t>Adicion y prorroga al contrato 130 de 2022 "Prestar los servicios profesionales en la Oficina de Control Interno para el desarrollo del Plan Anual de Auditorias"</t>
  </si>
  <si>
    <t>Adicion y prorroga al contrato 060 de 2022"Prestar los servicios profesionales en la Oficina de Control Interno para el desarrollo del Plan Anual de Auditorias"</t>
  </si>
  <si>
    <t>Adicion y prorroga al contrato 131 de 2022 "Prestar los servicios profesionales en la Oficina de Control Interno para el desarrollo del Plan Anual de Auditorias"</t>
  </si>
  <si>
    <t>Adicion y prorroga al contrato  132 de 2022" Prestar los servicios profesionales en la Oficina de Control Interno para el desarrollo del Plan Anual de Auditorias"</t>
  </si>
  <si>
    <t>24112800
30101804
56101500
72152909
95131600
30101715
30265801
30102315
31111510
76122309
95131503
30241602 
30241603
30191502</t>
  </si>
  <si>
    <t>Suministro, adecuación y montaje de un escenario para capacitación y entrenamiento de los procesos misionales de la Subdirección de Gestión del Riesgo. _SGR</t>
  </si>
  <si>
    <t>ADICION Y PRORROGA CTO 062 "Prestar servicios profesionales para el desarrollo de actividades de planeación y desarrollo de programas y proyectos para la Subdirección de Gestión del Riesgo._SGR"</t>
  </si>
  <si>
    <t>ADICION Y PRORROGA CTO 176 "Prestar servicios profesionales en las actividades del MIPG de la Subdirección de Gestión del riesgo."_SGR</t>
  </si>
  <si>
    <t>ADICION Y PRORROGA CTO 334 "Prestar servicios de apoyo a la gestión en las actividades de soporte operacional de la UAECOB."_SGR</t>
  </si>
  <si>
    <t>Prestar servicios asistenciales y de apoyo a la gestión para el desarrollo de actividades administrativas y procesos de gestión documental de la Oficina Asesora de Planeación- TIC</t>
  </si>
  <si>
    <t>Prestar servicios profesionales para apoyar en la estructuración y definición de la segunda fase relacionada con la elaboración de la estrategia de preparación  de  respuesta institucional  a largo plazo</t>
  </si>
  <si>
    <t>Adición y prórroga al Contrato 375 de 2022 cuyo objeto es " Prestar Servicios Profesionales como administrador de los sistemas de información de la UAECOB -TIC-"</t>
  </si>
  <si>
    <t>-</t>
  </si>
  <si>
    <t>Insumos y medicamentos veterinarios e intervenciones quirurgicas para el grupo brae- pago de pasivo</t>
  </si>
  <si>
    <t>Prestar servicios de apoyo a la gestion en la subdireccion logistica en el marco de los procesos y rocedimientos a cargo de la dependencia-pago de pasivo</t>
  </si>
  <si>
    <t>Suministro de herramientas, utensilios y materiales de hierro, otros metales y lastico para soporte en la atencion de emergencias - pago de pasivo</t>
  </si>
  <si>
    <t>Adición y prórroga al Contrato 416 de 2022 cuyo objeto es " Prestar servicios profesionales como Gestor de la Seguridad Informática para administrar y salvaguardar el cumplimiento de los controles tecnológicos, comunicaciones y de seguridad y privacidad de la información en la UAECOB –TIC</t>
  </si>
  <si>
    <t>Adición y prórroga al Contrato 041 de 2022 cuyo objeto es " Prestación de servicios profesionales como Oficial de Seguridad de la Información en la UAECOB -</t>
  </si>
  <si>
    <t>Adición y prórroga al Contrato 373 de 2022 cuyo objeto es " Prestación de Servicios Profesionales como gestor de la Política de Gobierno Digital y Transformación Digital en la UAECOB -TIC-</t>
  </si>
  <si>
    <t>Adición y prórroga al Contrato 413 de 2022 cuyo objeto es " Prestar servicios profesionales para la administración y almacenamiento de los servidores en la UAECOB -TIC</t>
  </si>
  <si>
    <t>Adición y prórroga al Contrato 377 de 2022 cuyo objeto es " Prestar los servicios profesionales para el desarrollo de los procesos contractuales y administrativos de carácter jurídico que se desarrollen en la Oficina Asesora de Planeación#. -TIC-,</t>
  </si>
  <si>
    <t xml:space="preserve">Adición y prórroga al Contrato 049 de 2022 cuyo objeto es " Prestar los servicios profesionales administrativos y financieros en el apoyo a las actividades precontractuales, contractuales y poscontractuales relacionados con los procesos de la OAP -TIC"- </t>
  </si>
  <si>
    <t xml:space="preserve">Adición y prórroga al Contrato 076 de 2022 cuyo objeto es " Prestar Servicios de apoyo a la gestión como técnico en infraestructura tecnológica para la gestión de los servicios tecnológicos de la UAECOB que le sean designados. -TIC- </t>
  </si>
  <si>
    <t>Adición y prórroga al Contrato 386 de 2022 cuyo objeto es " Prestar Servicios Profesionales para coordinar y gestionar los servicios de los sistemas de información con los que cuenta la UAECOB -TIC- “</t>
  </si>
  <si>
    <t xml:space="preserve"> </t>
  </si>
  <si>
    <t>Versión No. 4</t>
  </si>
  <si>
    <t>Fecha de Modificación   08/02/2022</t>
  </si>
  <si>
    <t>Duración estimada del contrato (meses)</t>
  </si>
  <si>
    <t>Meta Producto</t>
  </si>
  <si>
    <t>Fecha de Modificación</t>
  </si>
  <si>
    <t>VALOR RP</t>
  </si>
  <si>
    <t>Enero</t>
  </si>
  <si>
    <t xml:space="preserve"> CCE-16_Contratación directa - Sin Oferta </t>
  </si>
  <si>
    <t>Implementar al 100% una estrategia de fortalecimiento de los sistemas de información para optimizar la gestión del Cuerpo Oficial de Bomberos</t>
  </si>
  <si>
    <t>11 meses</t>
  </si>
  <si>
    <t>43000000, 43230000, 43232400.43232408, 43230000,43232400, 43232402, 43232400, 43232404</t>
  </si>
  <si>
    <t>Contratar el desarrollo de los sistemas de información que sean solicitados por las dependencias de la UAECOB - TIC</t>
  </si>
  <si>
    <t>Marzo</t>
  </si>
  <si>
    <t>Mayo</t>
  </si>
  <si>
    <t>CCE-06_Selección abreviada menor cuantía</t>
  </si>
  <si>
    <t>43231512, 81112501</t>
  </si>
  <si>
    <t>Febrero</t>
  </si>
  <si>
    <t>CCE-10_Acuerdo Marco</t>
  </si>
  <si>
    <t>72101511;72151605;72151500</t>
  </si>
  <si>
    <t>Contratar el Mantenimiento de UPS, cableado estructurado y aires acondicionados en la UAECOB. - TIC</t>
  </si>
  <si>
    <t>Junio</t>
  </si>
  <si>
    <t>Julio</t>
  </si>
  <si>
    <t>O232020200883132_Servicios de soporte en tecnologías de la información (TI)</t>
  </si>
  <si>
    <t>81112204
81112501</t>
  </si>
  <si>
    <t>CCE-10_Mínima cuantía</t>
  </si>
  <si>
    <t>43233000;
81112200</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</si>
  <si>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</si>
  <si>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</si>
  <si>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</si>
  <si>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</si>
  <si>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</si>
  <si>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</si>
  <si>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</si>
  <si>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</si>
  <si>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</si>
  <si>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</si>
  <si>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</si>
  <si>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</si>
  <si>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Contratar la prestación del servicio de monitoreo, control y seguimiento satelital a los vehículos de propiedad de la UAECOB - TIC</t>
  </si>
  <si>
    <t>81112200
81112201</t>
  </si>
  <si>
    <t xml:space="preserve">81112001;
81112002; 
25173107; </t>
  </si>
  <si>
    <t>Contratar la renovavión del soporte y garantia de los equipos Avaya propiedad de la UAECOB - TIC</t>
  </si>
  <si>
    <t>Contratar la adquisición de los elementos de seguridad Electronica para la UAECOB fase II. - TIC</t>
  </si>
  <si>
    <t>Contratar la actualización tecnológica de los equipos activos y accesorios en la UAECOB. - TIC</t>
  </si>
  <si>
    <t>43201500
43211500
43232300</t>
  </si>
  <si>
    <t>Contratar una solución de procesamiento de información para la UAECOB - TIC</t>
  </si>
  <si>
    <t>15 dias y 11 meses</t>
  </si>
  <si>
    <t>CCE-16_Contratación directa - Sin Oferta</t>
  </si>
  <si>
    <t>Gestionar el 100% de un (1) plan de adecuación y sostenibilidad de los sistemas de gestión de la Unidad Administrativa Especial Cuerpo Oficial de Bomberos</t>
  </si>
  <si>
    <t>6 meses</t>
  </si>
  <si>
    <t>7 meses</t>
  </si>
  <si>
    <t>10 meses</t>
  </si>
  <si>
    <t>12 meses</t>
  </si>
  <si>
    <t>8 meses</t>
  </si>
  <si>
    <t>Contratación directa</t>
  </si>
  <si>
    <t>5 meses 15 días</t>
  </si>
  <si>
    <t>11,5 meses</t>
  </si>
  <si>
    <t>9,3 meses</t>
  </si>
  <si>
    <t>3,5 meses</t>
  </si>
  <si>
    <t>11 meses y 15 días</t>
  </si>
  <si>
    <t>10 meses y 15 días</t>
  </si>
  <si>
    <t>9 meses y 15 días</t>
  </si>
  <si>
    <t>11 MESES</t>
  </si>
  <si>
    <t>Prestación de servicios profesionales en la Dirección General de la UAECOB para brindar apoyo en la revisión y seguimiento de los derechos de petición y demás documentación requerida.</t>
  </si>
  <si>
    <t>Comunicaciones y Prensa</t>
  </si>
  <si>
    <t>Implementar al 100% un programa de formación, modernización y sostenibilidad de la Unidad Administrativa Especial Cuerpo Oficial de Bomberos - UAECOB, para la respuesta efectiva en la atención de emergencias y desastres.</t>
  </si>
  <si>
    <t>11 Meses</t>
  </si>
  <si>
    <t>CCE-99_Seléccion abreviada - acuerdo marco</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</si>
  <si>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</si>
  <si>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</si>
  <si>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</si>
  <si>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</si>
  <si>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Mantenimiento preventivo y correctivo, que incluye el suministro de insumos y repuestos de las lavadoras y secadoras industriales ubicadas en las estaciones de bomberos de la UAE Cuerpo Oficial de Bomberos de Bogotá-SGC</t>
  </si>
  <si>
    <t>Mantenimiento preventivo y correctivo de los equipos gasodomésticos y solares, adecuación de las redes de gas natural y repuestos para las Estaciones de Bomberos de UAE Cuerpo Oficial de Bomberos SGC</t>
  </si>
  <si>
    <t>39120000;
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</si>
  <si>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</si>
  <si>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</si>
  <si>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</si>
  <si>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Elaboración de estudios y diseños técnicos para la construcción de la estación de bomberos de Caobos Salazar B-13 y Puente Aranda B-4 de la UAE Cuerpo Oficial de Bomberos de Bogotá – SGC</t>
  </si>
  <si>
    <t>CCE-04_Concurso de méritos abierto</t>
  </si>
  <si>
    <t>Reforzar, Adecuar y Ampliar  6 estaciones de Bomberos</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</si>
  <si>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</si>
  <si>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</si>
  <si>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Suministro de materiales, equipos y herramientas para el mejoramiento integral de las instalaciones de la UAE CUERPO OFICIAL DE BOMBEROS DE BOGOTÁ.-SGC</t>
  </si>
  <si>
    <t>O23201010030807 -Otros equipos</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</si>
  <si>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</si>
  <si>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</si>
  <si>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</si>
  <si>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</si>
  <si>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Adquisición de mobiliario para la estación Marichuela -SGC</t>
  </si>
  <si>
    <t>O232020200885250_Servicios de protección (guardas de seguridad)</t>
  </si>
  <si>
    <t>1 MES</t>
  </si>
  <si>
    <t>72141100;</t>
  </si>
  <si>
    <t>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</si>
  <si>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</si>
  <si>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</si>
  <si>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</si>
  <si>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72121400;
72151700;
95121700</t>
  </si>
  <si>
    <t>Contratar el servicio tecnico especializado para adelantar los tramites administrativos para la gestion predial de tres (3)  nuevos espacios requeridos por la UAECOB-SGC</t>
  </si>
  <si>
    <t>Poner en funcionamiento tres (3) nuevos espacios para la gestión integral de riesgos, incendios, incidentes con materiales peligrosos y rescates en todas sus modalidades.</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</si>
  <si>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</si>
  <si>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</si>
  <si>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CCE-07-Selección abreviada subasta inversa</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</si>
  <si>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</si>
  <si>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</si>
  <si>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06 meses</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</si>
  <si>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</si>
  <si>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</si>
  <si>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</si>
  <si>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</si>
  <si>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</si>
  <si>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81141800 
80101600 
80101500 
43233501</t>
  </si>
  <si>
    <t>Prestación de servicios para la ejecución de visitas de seguridad humana y protección contra incendio,  en edificaciones y establecimientos de comercio, con el fin de optimizar la prestación del servicio misional_SGR</t>
  </si>
  <si>
    <t>ENERO</t>
  </si>
  <si>
    <t>MARZO</t>
  </si>
  <si>
    <t>CCE-02-Licitación pública</t>
  </si>
  <si>
    <t>Implementar al 100% un (1) programa de conocimiento y reducción en la gestión de  riesgo de incendios, incidentes con materiales peligrosos y escenarios de riesgos.</t>
  </si>
  <si>
    <t>Prestar servicios de apoyo a la gestión de actividades relacionadas con Pólvora y Pirotecnia para la Subdirección de Gestión del Riesgo_SGR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</si>
  <si>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</si>
  <si>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</si>
  <si>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</si>
  <si>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</si>
  <si>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</si>
  <si>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CCE-06-Selección abreviada menor cuantía</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</si>
  <si>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</si>
  <si>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</si>
  <si>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</si>
  <si>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</si>
  <si>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</si>
  <si>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</si>
  <si>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</si>
  <si>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</si>
  <si>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</si>
  <si>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</si>
  <si>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</si>
  <si>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</si>
  <si>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</si>
  <si>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</si>
  <si>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</si>
  <si>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</si>
  <si>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</si>
  <si>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CCE-16-Contratación directa</t>
  </si>
  <si>
    <t>Mínima cuantía</t>
  </si>
  <si>
    <t>Implementar 100% de un programa de suministros y consumibles para la atención de emergencias en la UAECOB</t>
  </si>
  <si>
    <t>1 mes</t>
  </si>
  <si>
    <t>Orden De Compra</t>
  </si>
  <si>
    <t>1 año</t>
  </si>
  <si>
    <t>2 meses</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</si>
  <si>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</si>
  <si>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</si>
  <si>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</si>
  <si>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Adquisición, mantenimiento y recarga de los extintores de la UAECOB y de agentes químicos extintores para las máquinas de bomberos</t>
  </si>
  <si>
    <t>Selección abreviada por bolsa de productos</t>
  </si>
  <si>
    <t>Prestación de servicios de apoyo a la gestión para realizar el seguimiento y control de las bases de datos,  hojas de vida del parque automotor con el cual cuenta la Subdirección Logística - SBLG</t>
  </si>
  <si>
    <t>3 MESES</t>
  </si>
  <si>
    <t>6 MESES</t>
  </si>
  <si>
    <t>7 MESES</t>
  </si>
  <si>
    <t>CONTRATACION_DIRECTA</t>
  </si>
  <si>
    <t>3 MESES 21 DÍAS</t>
  </si>
  <si>
    <t>12 MESES</t>
  </si>
  <si>
    <t>LICITACION</t>
  </si>
  <si>
    <t>11 MESES 15 DIAS</t>
  </si>
  <si>
    <t>8 MESES</t>
  </si>
  <si>
    <t>SGC-Adición y prórroga al contrato No. 738 de 2020 con objeto" Mantenimiento ascensor nueva Estación de Bomberos de Fontibón"</t>
  </si>
  <si>
    <t>5 MESES</t>
  </si>
  <si>
    <t>9 MESES</t>
  </si>
  <si>
    <t>SELECCION_ABREVIADA</t>
  </si>
  <si>
    <t>10 MESES</t>
  </si>
  <si>
    <t>8 Meses</t>
  </si>
  <si>
    <t>CONTRATACION_MINIMA_CUANTIA</t>
  </si>
  <si>
    <t>OCTUBRE</t>
  </si>
  <si>
    <t>CONCURSO_MERITOS</t>
  </si>
  <si>
    <t>Contratar la adquisicion de los certificados digitales de seguridad ssl para los sistemas de información de la unidad administrativa especial cuerpo oficial bomberos de bogotá.</t>
  </si>
  <si>
    <t>2 MESES</t>
  </si>
  <si>
    <t xml:space="preserve">Minima Cuantia </t>
  </si>
  <si>
    <t>3,5 MESES</t>
  </si>
  <si>
    <t>Prestar los servicios de mantenimiento, soporte técnico, mejoras y actualizaciones del aplicativo PCT utilizado por la Unidad.</t>
  </si>
  <si>
    <t>Actualización de las suscripciones de Suite Adobe</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</si>
  <si>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</si>
  <si>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</si>
  <si>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8,5 MESES</t>
  </si>
  <si>
    <t>15 días</t>
  </si>
  <si>
    <t>11 meses 15 días</t>
  </si>
  <si>
    <t xml:space="preserve">17 MESES </t>
  </si>
  <si>
    <t>Concurso de méritos.</t>
  </si>
  <si>
    <t xml:space="preserve">12 meses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</si>
  <si>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</si>
  <si>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</si>
  <si>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</si>
  <si>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</si>
  <si>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</si>
  <si>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</si>
  <si>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</si>
  <si>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Contratar el Mantenimiento de cableado estructurado en la UAECOB.</t>
  </si>
  <si>
    <t>O232020200663393</t>
  </si>
  <si>
    <t>O23201010030807</t>
  </si>
  <si>
    <t>O23202020088715999</t>
  </si>
  <si>
    <t>O2320201002032331101</t>
  </si>
  <si>
    <t>86000000, 86100000, 86101700, 86101705</t>
  </si>
  <si>
    <t>72154101 - 72154106</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</si>
  <si>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</si>
  <si>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</si>
  <si>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</si>
  <si>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</si>
  <si>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</si>
  <si>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</si>
  <si>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</si>
  <si>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</si>
  <si>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</si>
  <si>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</si>
  <si>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</si>
  <si>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</si>
  <si>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</si>
  <si>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</si>
  <si>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</si>
  <si>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</si>
  <si>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</si>
  <si>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</si>
  <si>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</si>
  <si>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</si>
  <si>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</si>
  <si>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</si>
  <si>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</si>
  <si>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</si>
  <si>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</si>
  <si>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</si>
  <si>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</si>
  <si>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</si>
  <si>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</si>
  <si>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</si>
  <si>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</si>
  <si>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</si>
  <si>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</si>
  <si>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</si>
  <si>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</si>
  <si>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</si>
  <si>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</si>
  <si>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</si>
  <si>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</si>
  <si>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</si>
  <si>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</si>
  <si>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</si>
  <si>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</si>
  <si>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</si>
  <si>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</si>
  <si>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</si>
  <si>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</si>
  <si>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</si>
  <si>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</si>
  <si>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</si>
  <si>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</si>
  <si>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</si>
  <si>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</si>
  <si>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</si>
  <si>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</si>
  <si>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</si>
  <si>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</si>
  <si>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</si>
  <si>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</si>
  <si>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</si>
  <si>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</si>
  <si>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</si>
  <si>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</si>
  <si>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</si>
  <si>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</si>
  <si>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</si>
  <si>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</si>
  <si>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</si>
  <si>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</si>
  <si>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</si>
  <si>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</si>
  <si>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</si>
  <si>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</si>
  <si>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</si>
  <si>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</si>
  <si>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</si>
  <si>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</si>
  <si>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</si>
  <si>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</si>
  <si>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</si>
  <si>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</si>
  <si>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</si>
  <si>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</si>
  <si>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</si>
  <si>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</si>
  <si>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</si>
  <si>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</si>
  <si>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</si>
  <si>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</si>
  <si>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</si>
  <si>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</si>
  <si>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</si>
  <si>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</si>
  <si>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</si>
  <si>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</si>
  <si>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</si>
  <si>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</si>
  <si>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</si>
  <si>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</si>
  <si>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</si>
  <si>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</si>
  <si>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</si>
  <si>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</si>
  <si>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</si>
  <si>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</si>
  <si>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</si>
  <si>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</si>
  <si>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</si>
  <si>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</si>
  <si>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</si>
  <si>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</si>
  <si>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</si>
  <si>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</si>
  <si>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</si>
  <si>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</si>
  <si>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</si>
  <si>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</si>
  <si>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</si>
  <si>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</si>
  <si>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</si>
  <si>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</si>
  <si>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</si>
  <si>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</si>
  <si>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</si>
  <si>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</si>
  <si>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</si>
  <si>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</si>
  <si>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</si>
  <si>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</si>
  <si>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</si>
  <si>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</si>
  <si>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</si>
  <si>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</si>
  <si>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</si>
  <si>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</si>
  <si>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</si>
  <si>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</si>
  <si>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</si>
  <si>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</si>
  <si>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</si>
  <si>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</si>
  <si>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</si>
  <si>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</si>
  <si>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</si>
  <si>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</si>
  <si>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</si>
  <si>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</si>
  <si>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</si>
  <si>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</si>
  <si>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</si>
  <si>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</si>
  <si>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</si>
  <si>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</si>
  <si>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</si>
  <si>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</si>
  <si>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</si>
  <si>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</si>
  <si>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</si>
  <si>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</si>
  <si>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</si>
  <si>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</si>
  <si>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</si>
  <si>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</si>
  <si>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</si>
  <si>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</si>
  <si>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</si>
  <si>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</si>
  <si>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</si>
  <si>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</si>
  <si>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</si>
  <si>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</si>
  <si>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</si>
  <si>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</si>
  <si>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</si>
  <si>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</si>
  <si>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</si>
  <si>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</si>
  <si>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</si>
  <si>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</si>
  <si>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</si>
  <si>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</si>
  <si>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</si>
  <si>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</si>
  <si>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</si>
  <si>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</si>
  <si>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</si>
  <si>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</si>
  <si>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</si>
  <si>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</si>
  <si>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</si>
  <si>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</si>
  <si>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</si>
  <si>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</si>
  <si>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</si>
  <si>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</si>
  <si>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</si>
  <si>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</si>
  <si>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</si>
  <si>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</si>
  <si>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</si>
  <si>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</si>
  <si>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</si>
  <si>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</si>
  <si>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</si>
  <si>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</si>
  <si>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</si>
  <si>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</si>
  <si>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</si>
  <si>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</si>
  <si>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</si>
  <si>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</si>
  <si>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</si>
  <si>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</si>
  <si>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</si>
  <si>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</si>
  <si>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</si>
  <si>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</si>
  <si>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</si>
  <si>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</si>
  <si>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</si>
  <si>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</si>
  <si>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</si>
  <si>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</si>
  <si>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</si>
  <si>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</si>
  <si>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</si>
  <si>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</si>
  <si>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</si>
  <si>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</si>
  <si>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</si>
  <si>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</si>
  <si>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</si>
  <si>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</si>
  <si>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</si>
  <si>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</si>
  <si>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</si>
  <si>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</si>
  <si>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</si>
  <si>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</si>
  <si>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</si>
  <si>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</si>
  <si>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</si>
  <si>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</si>
  <si>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</si>
  <si>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</si>
  <si>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</si>
  <si>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</si>
  <si>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</si>
  <si>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</si>
  <si>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</si>
  <si>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</si>
  <si>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</si>
  <si>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</si>
  <si>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</si>
  <si>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</si>
  <si>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</si>
  <si>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</si>
  <si>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</si>
  <si>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</si>
  <si>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</si>
  <si>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</si>
  <si>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</si>
  <si>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</si>
  <si>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</si>
  <si>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</si>
  <si>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</si>
  <si>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</si>
  <si>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</si>
  <si>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</si>
  <si>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</si>
  <si>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</si>
  <si>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</si>
  <si>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</si>
  <si>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</si>
  <si>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</si>
  <si>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</si>
  <si>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</si>
  <si>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</si>
  <si>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</si>
  <si>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</si>
  <si>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</si>
  <si>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</si>
  <si>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</si>
  <si>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</si>
  <si>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</si>
  <si>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</si>
  <si>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</si>
  <si>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</si>
  <si>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</si>
  <si>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</si>
  <si>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</si>
  <si>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</si>
  <si>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</si>
  <si>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</si>
  <si>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</si>
  <si>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</si>
  <si>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</si>
  <si>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</si>
  <si>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</si>
  <si>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</si>
  <si>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</si>
  <si>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</si>
  <si>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</si>
  <si>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</si>
  <si>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</si>
  <si>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</si>
  <si>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</si>
  <si>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</si>
  <si>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</si>
  <si>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</si>
  <si>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</si>
  <si>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</si>
  <si>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</si>
  <si>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</si>
  <si>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</si>
  <si>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</si>
  <si>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</si>
  <si>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</si>
  <si>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</si>
  <si>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</si>
  <si>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</si>
  <si>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</si>
  <si>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</si>
  <si>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</si>
  <si>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</si>
  <si>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</si>
  <si>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</si>
  <si>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</si>
  <si>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</si>
  <si>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</si>
  <si>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</si>
  <si>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</si>
  <si>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</si>
  <si>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</si>
  <si>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</si>
  <si>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</si>
  <si>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</si>
  <si>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</si>
  <si>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</si>
  <si>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</si>
  <si>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</si>
  <si>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</si>
  <si>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</si>
  <si>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</si>
  <si>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</si>
  <si>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</si>
  <si>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</si>
  <si>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</si>
  <si>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</si>
  <si>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</si>
  <si>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</si>
  <si>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</si>
  <si>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</si>
  <si>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</si>
  <si>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</si>
  <si>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</si>
  <si>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</si>
  <si>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</si>
  <si>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</si>
  <si>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</si>
  <si>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</si>
  <si>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</si>
  <si>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</si>
  <si>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</si>
  <si>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</si>
  <si>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</si>
  <si>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</si>
  <si>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</si>
  <si>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</si>
  <si>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</si>
  <si>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</si>
  <si>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</si>
  <si>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</si>
  <si>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</si>
  <si>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</si>
  <si>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</si>
  <si>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</si>
  <si>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</si>
  <si>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</si>
  <si>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</si>
  <si>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</si>
  <si>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</si>
  <si>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</si>
  <si>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</si>
  <si>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</si>
  <si>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</si>
  <si>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</si>
  <si>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</si>
  <si>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</si>
  <si>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</si>
  <si>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</si>
  <si>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</si>
  <si>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</si>
  <si>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</si>
  <si>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</si>
  <si>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</si>
  <si>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</si>
  <si>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</si>
  <si>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</si>
  <si>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</si>
  <si>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</si>
  <si>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</si>
  <si>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</si>
  <si>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</si>
  <si>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</si>
  <si>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</si>
  <si>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</si>
  <si>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</si>
  <si>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</si>
  <si>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</si>
  <si>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</si>
  <si>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</si>
  <si>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</si>
  <si>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</si>
  <si>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</si>
  <si>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</si>
  <si>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</si>
  <si>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</si>
  <si>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</si>
  <si>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</si>
  <si>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</si>
  <si>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</si>
  <si>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</si>
  <si>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</si>
  <si>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</si>
  <si>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</si>
  <si>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</si>
  <si>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</si>
  <si>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</si>
  <si>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</si>
  <si>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</si>
  <si>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</si>
  <si>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</si>
  <si>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</si>
  <si>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</si>
  <si>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</si>
  <si>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</si>
  <si>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</si>
  <si>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</si>
  <si>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</si>
  <si>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</si>
  <si>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</si>
  <si>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</si>
  <si>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</si>
  <si>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</si>
  <si>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</si>
  <si>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</si>
  <si>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</si>
  <si>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</si>
  <si>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</si>
  <si>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</si>
  <si>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</si>
  <si>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</si>
  <si>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</si>
  <si>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</si>
  <si>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</si>
  <si>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</si>
  <si>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</si>
  <si>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</si>
  <si>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</si>
  <si>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</si>
  <si>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</si>
  <si>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</si>
  <si>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</si>
  <si>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</si>
  <si>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</si>
  <si>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</si>
  <si>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</si>
  <si>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</si>
  <si>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</si>
  <si>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</si>
  <si>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</si>
  <si>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</si>
  <si>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</si>
  <si>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</si>
  <si>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</si>
  <si>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</si>
  <si>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</si>
  <si>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</si>
  <si>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</si>
  <si>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</si>
  <si>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</si>
  <si>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</si>
  <si>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</si>
  <si>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</si>
  <si>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</si>
  <si>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</si>
  <si>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</si>
  <si>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</si>
  <si>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</si>
  <si>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</si>
  <si>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</si>
  <si>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</si>
  <si>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</si>
  <si>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</si>
  <si>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</si>
  <si>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</si>
  <si>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</si>
  <si>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</si>
  <si>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</si>
  <si>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</si>
  <si>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</si>
  <si>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</si>
  <si>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</si>
  <si>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</si>
  <si>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</si>
  <si>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</si>
  <si>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</si>
  <si>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</si>
  <si>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</si>
  <si>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</si>
  <si>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</si>
  <si>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</si>
  <si>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</si>
  <si>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</si>
  <si>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</si>
  <si>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</si>
  <si>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</si>
  <si>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</si>
  <si>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</si>
  <si>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</si>
  <si>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</si>
  <si>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</si>
  <si>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</si>
  <si>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</si>
  <si>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</si>
  <si>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</si>
  <si>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</si>
  <si>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</si>
  <si>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</si>
  <si>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</si>
  <si>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</si>
  <si>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</si>
  <si>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</si>
  <si>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</si>
  <si>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</si>
  <si>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</si>
  <si>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</si>
  <si>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</si>
  <si>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</si>
  <si>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</si>
  <si>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</si>
  <si>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</si>
  <si>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</si>
  <si>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</si>
  <si>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</si>
  <si>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</si>
  <si>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</si>
  <si>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</si>
  <si>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</si>
  <si>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</si>
  <si>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</si>
  <si>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</si>
  <si>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</si>
  <si>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</si>
  <si>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</si>
  <si>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</si>
  <si>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</si>
  <si>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</si>
  <si>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</si>
  <si>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</si>
  <si>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</si>
  <si>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</si>
  <si>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</si>
  <si>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</si>
  <si>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</si>
  <si>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</si>
  <si>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</si>
  <si>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</si>
  <si>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</si>
  <si>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</si>
  <si>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</si>
  <si>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</si>
  <si>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</si>
  <si>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</si>
  <si>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</si>
  <si>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</si>
  <si>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</si>
  <si>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</si>
  <si>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</si>
  <si>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</si>
  <si>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</si>
  <si>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</si>
  <si>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</si>
  <si>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</si>
  <si>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</si>
  <si>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</si>
  <si>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</si>
  <si>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</si>
  <si>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</si>
  <si>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</si>
  <si>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</si>
  <si>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</si>
  <si>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</si>
  <si>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</si>
  <si>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</si>
  <si>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</si>
  <si>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</si>
  <si>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</si>
  <si>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</si>
  <si>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</si>
  <si>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</si>
  <si>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</si>
  <si>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</si>
  <si>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</si>
  <si>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</si>
  <si>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</si>
  <si>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</si>
  <si>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</si>
  <si>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</si>
  <si>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</si>
  <si>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</si>
  <si>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</si>
  <si>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</si>
  <si>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</si>
  <si>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</si>
  <si>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</si>
  <si>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</si>
  <si>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</si>
  <si>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</si>
  <si>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</si>
  <si>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</si>
  <si>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</si>
  <si>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</si>
  <si>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</si>
  <si>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</si>
  <si>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</si>
  <si>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</si>
  <si>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</si>
  <si>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</si>
  <si>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</si>
  <si>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</si>
  <si>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</si>
  <si>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</si>
  <si>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</si>
  <si>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</si>
  <si>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</si>
  <si>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</si>
  <si>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</si>
  <si>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</si>
  <si>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</si>
  <si>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</si>
  <si>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</si>
  <si>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</si>
  <si>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</si>
  <si>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</si>
  <si>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</si>
  <si>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</si>
  <si>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</si>
  <si>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</si>
  <si>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</si>
  <si>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</si>
  <si>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</si>
  <si>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</si>
  <si>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</si>
  <si>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</si>
  <si>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</si>
  <si>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</si>
  <si>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</si>
  <si>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</si>
  <si>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</si>
  <si>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</si>
  <si>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</si>
  <si>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</si>
  <si>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</si>
  <si>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</si>
  <si>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</si>
  <si>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</si>
  <si>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</si>
  <si>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</si>
  <si>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</si>
  <si>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</si>
  <si>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</si>
  <si>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</si>
  <si>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</si>
  <si>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</si>
  <si>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</si>
  <si>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</si>
  <si>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</si>
  <si>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</si>
  <si>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</si>
  <si>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</si>
  <si>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</si>
  <si>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</si>
  <si>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</si>
  <si>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</si>
  <si>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</si>
  <si>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</si>
  <si>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</si>
  <si>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</si>
  <si>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</si>
  <si>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</si>
  <si>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</si>
  <si>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</si>
  <si>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</si>
  <si>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</si>
  <si>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</si>
  <si>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</si>
  <si>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</si>
  <si>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</si>
  <si>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</si>
  <si>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</si>
  <si>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</si>
  <si>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</si>
  <si>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</si>
  <si>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</si>
  <si>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</si>
  <si>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</si>
  <si>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</si>
  <si>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</si>
  <si>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</si>
  <si>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</si>
  <si>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</si>
  <si>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</si>
  <si>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</si>
  <si>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</si>
  <si>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</si>
  <si>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</si>
  <si>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</si>
  <si>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</si>
  <si>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</si>
  <si>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</si>
  <si>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</si>
  <si>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</si>
  <si>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</si>
  <si>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</si>
  <si>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</si>
  <si>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</si>
  <si>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</si>
  <si>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</si>
  <si>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</si>
  <si>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</si>
  <si>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</si>
  <si>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</si>
  <si>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</si>
  <si>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</si>
  <si>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</si>
  <si>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</si>
  <si>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</si>
  <si>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</si>
  <si>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</si>
  <si>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</si>
  <si>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</si>
  <si>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</si>
  <si>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</si>
  <si>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</si>
  <si>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</si>
  <si>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</si>
  <si>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</si>
  <si>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</si>
  <si>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</si>
  <si>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</si>
  <si>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</si>
  <si>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</si>
  <si>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</si>
  <si>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</si>
  <si>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</si>
  <si>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</si>
  <si>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</si>
  <si>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</si>
  <si>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</si>
  <si>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</si>
  <si>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</si>
  <si>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</si>
  <si>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</si>
  <si>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</si>
  <si>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</si>
  <si>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</si>
  <si>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</si>
  <si>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</si>
  <si>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</si>
  <si>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</si>
  <si>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</si>
  <si>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</si>
  <si>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</si>
  <si>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</si>
  <si>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</si>
  <si>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</si>
  <si>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</si>
  <si>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</si>
  <si>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</si>
  <si>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</si>
  <si>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</si>
  <si>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</si>
  <si>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</si>
  <si>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</si>
  <si>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</si>
  <si>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</si>
  <si>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</si>
  <si>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</si>
  <si>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</si>
  <si>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</si>
  <si>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</si>
  <si>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</si>
  <si>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</si>
  <si>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</si>
  <si>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</si>
  <si>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</si>
  <si>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</si>
  <si>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</si>
  <si>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</si>
  <si>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</si>
  <si>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</si>
  <si>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</si>
  <si>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</si>
  <si>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</si>
  <si>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</si>
  <si>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</si>
  <si>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</si>
  <si>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</si>
  <si>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</si>
  <si>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</si>
  <si>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</si>
  <si>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</si>
  <si>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</si>
  <si>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</si>
  <si>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</si>
  <si>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</si>
  <si>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</si>
  <si>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</si>
  <si>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</si>
  <si>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</si>
  <si>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</si>
  <si>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</si>
  <si>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</si>
  <si>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</si>
  <si>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</si>
  <si>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</si>
  <si>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</si>
  <si>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</si>
  <si>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</si>
  <si>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</si>
  <si>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</si>
  <si>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</si>
  <si>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</si>
  <si>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</si>
  <si>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</si>
  <si>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</si>
  <si>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</si>
  <si>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</si>
  <si>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</si>
  <si>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</si>
  <si>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</si>
  <si>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</si>
  <si>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</si>
  <si>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</si>
  <si>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</si>
  <si>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</si>
  <si>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</si>
  <si>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</si>
  <si>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</si>
  <si>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</si>
  <si>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</si>
  <si>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</si>
  <si>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</si>
  <si>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</si>
  <si>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</si>
  <si>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</si>
  <si>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</si>
  <si>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</si>
  <si>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</si>
  <si>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</si>
  <si>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</si>
  <si>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</si>
  <si>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</si>
  <si>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</si>
  <si>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</si>
  <si>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</si>
  <si>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</si>
  <si>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</si>
  <si>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</si>
  <si>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</si>
  <si>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</si>
  <si>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</si>
  <si>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</si>
  <si>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</si>
  <si>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</si>
  <si>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</si>
  <si>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</si>
  <si>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</si>
  <si>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OBJETO</t>
  </si>
  <si>
    <t>VALOR EN EL PAA</t>
  </si>
  <si>
    <t xml:space="preserve">ACTIVIDAD </t>
  </si>
  <si>
    <t>NUMERO VIABILIDAD</t>
  </si>
  <si>
    <t>RADICADO</t>
  </si>
  <si>
    <t xml:space="preserve">FECHA  VIABILIDAD </t>
  </si>
  <si>
    <t xml:space="preserve">CODIGO PROYECTO </t>
  </si>
  <si>
    <t xml:space="preserve">PROYECTO </t>
  </si>
  <si>
    <t>AREA SOLICITANTE</t>
  </si>
  <si>
    <t>VALOR VIABILIDAD</t>
  </si>
  <si>
    <t>META PI</t>
  </si>
  <si>
    <t xml:space="preserve">TIPO DEL GASTO </t>
  </si>
  <si>
    <t xml:space="preserve">COMPONENTE DEL GASTO </t>
  </si>
  <si>
    <t>CONCEPTO DEL  GASTO</t>
  </si>
  <si>
    <t xml:space="preserve">FUENTE </t>
  </si>
  <si>
    <t>ESTADO</t>
  </si>
  <si>
    <t>NO CDP</t>
  </si>
  <si>
    <t xml:space="preserve">FECHA DE CDP </t>
  </si>
  <si>
    <t xml:space="preserve">VALOR DEL CDP </t>
  </si>
  <si>
    <t xml:space="preserve">ANULACION PARCIAL O TOTAL </t>
  </si>
  <si>
    <t>FECHA DE ANULACION</t>
  </si>
  <si>
    <t>Número de CRP</t>
  </si>
  <si>
    <t>Fecha de registro</t>
  </si>
  <si>
    <t>Fecha Inicial</t>
  </si>
  <si>
    <t>Fecha Final</t>
  </si>
  <si>
    <t>Compromiso</t>
  </si>
  <si>
    <t>No. Compromiso</t>
  </si>
  <si>
    <t>Número Doc.  Beneficiario</t>
  </si>
  <si>
    <t>Nombre  Beneficiario</t>
  </si>
  <si>
    <t>Valor CRP</t>
  </si>
  <si>
    <t>diferencia entre cdp y crp</t>
  </si>
  <si>
    <t xml:space="preserve">GIROS ENERO </t>
  </si>
  <si>
    <t>GIROS FEBRERO</t>
  </si>
  <si>
    <t xml:space="preserve">GIROS MARZO </t>
  </si>
  <si>
    <t xml:space="preserve">GIROS ABRIL </t>
  </si>
  <si>
    <t xml:space="preserve">GIROS MAYO </t>
  </si>
  <si>
    <t>GIROS JUNIO</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</si>
  <si>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</si>
  <si>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</si>
  <si>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</si>
  <si>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</si>
  <si>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</si>
  <si>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</si>
  <si>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</si>
  <si>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</si>
  <si>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</si>
  <si>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</si>
  <si>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</si>
  <si>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</si>
  <si>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</si>
  <si>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</si>
  <si>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</si>
  <si>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</si>
  <si>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</si>
  <si>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</si>
  <si>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</si>
  <si>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Personal</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</si>
  <si>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</si>
  <si>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</si>
  <si>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</si>
  <si>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CONTRATO DE PRESTACION DE SERVICIOS</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</si>
  <si>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</si>
  <si>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</si>
  <si>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</si>
  <si>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</si>
  <si>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</si>
  <si>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</si>
  <si>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</si>
  <si>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</si>
  <si>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</si>
  <si>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</si>
  <si>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</si>
  <si>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</si>
  <si>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</si>
  <si>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</si>
  <si>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</si>
  <si>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CONTRATO DE COMPRAVENTA</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</si>
  <si>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</si>
  <si>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</si>
  <si>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</si>
  <si>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</si>
  <si>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</si>
  <si>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</si>
  <si>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</si>
  <si>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</si>
  <si>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</si>
  <si>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</si>
  <si>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</si>
  <si>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</si>
  <si>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</si>
  <si>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</si>
  <si>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</si>
  <si>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</si>
  <si>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</si>
  <si>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</si>
  <si>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</si>
  <si>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</si>
  <si>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</si>
  <si>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</si>
  <si>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</si>
  <si>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</si>
  <si>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</si>
  <si>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</si>
  <si>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</si>
  <si>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</si>
  <si>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</si>
  <si>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</si>
  <si>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</si>
  <si>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</si>
  <si>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</si>
  <si>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</si>
  <si>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</si>
  <si>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</si>
  <si>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</si>
  <si>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</si>
  <si>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</si>
  <si>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</si>
  <si>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</si>
  <si>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</si>
  <si>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</si>
  <si>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</si>
  <si>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</si>
  <si>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</si>
  <si>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</si>
  <si>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</si>
  <si>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</si>
  <si>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</si>
  <si>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</si>
  <si>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</si>
  <si>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</si>
  <si>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</si>
  <si>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</si>
  <si>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</si>
  <si>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</si>
  <si>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</si>
  <si>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</si>
  <si>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</si>
  <si>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</si>
  <si>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</si>
  <si>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</si>
  <si>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</si>
  <si>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</si>
  <si>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</si>
  <si>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</si>
  <si>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</si>
  <si>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</si>
  <si>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</si>
  <si>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</si>
  <si>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</si>
  <si>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</si>
  <si>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</si>
  <si>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</si>
  <si>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</si>
  <si>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</si>
  <si>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</si>
  <si>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</si>
  <si>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</si>
  <si>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</si>
  <si>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</si>
  <si>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</si>
  <si>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</si>
  <si>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</si>
  <si>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</si>
  <si>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</si>
  <si>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</si>
  <si>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</si>
  <si>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</si>
  <si>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</si>
  <si>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</si>
  <si>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</si>
  <si>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</si>
  <si>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</si>
  <si>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</si>
  <si>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</si>
  <si>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</si>
  <si>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</si>
  <si>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</si>
  <si>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</si>
  <si>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</si>
  <si>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</si>
  <si>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</si>
  <si>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</si>
  <si>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</si>
  <si>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</si>
  <si>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</si>
  <si>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</si>
  <si>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</si>
  <si>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</si>
  <si>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</si>
  <si>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</si>
  <si>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</si>
  <si>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</si>
  <si>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</si>
  <si>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</si>
  <si>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</si>
  <si>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</si>
  <si>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</si>
  <si>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</si>
  <si>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</si>
  <si>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</si>
  <si>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</si>
  <si>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</si>
  <si>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</si>
  <si>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</si>
  <si>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</si>
  <si>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</si>
  <si>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</si>
  <si>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</si>
  <si>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</si>
  <si>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</si>
  <si>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</si>
  <si>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</si>
  <si>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</si>
  <si>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</si>
  <si>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</si>
  <si>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</si>
  <si>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</si>
  <si>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</si>
  <si>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</si>
  <si>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</si>
  <si>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</si>
  <si>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</si>
  <si>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</si>
  <si>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</si>
  <si>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</si>
  <si>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</si>
  <si>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</si>
  <si>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</si>
  <si>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</si>
  <si>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CHIRLEY  CHAMORRO MONTOYA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</si>
  <si>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</si>
  <si>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</si>
  <si>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</si>
  <si>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</si>
  <si>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</si>
  <si>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</si>
  <si>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</si>
  <si>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</si>
  <si>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</si>
  <si>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</si>
  <si>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</si>
  <si>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</si>
  <si>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</si>
  <si>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</si>
  <si>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</si>
  <si>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</si>
  <si>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</si>
  <si>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</si>
  <si>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</si>
  <si>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</si>
  <si>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</si>
  <si>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</si>
  <si>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</si>
  <si>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</si>
  <si>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</si>
  <si>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</si>
  <si>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</si>
  <si>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</si>
  <si>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</si>
  <si>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</si>
  <si>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</si>
  <si>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</si>
  <si>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</si>
  <si>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</si>
  <si>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</si>
  <si>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</si>
  <si>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</si>
  <si>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</si>
  <si>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</si>
  <si>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</si>
  <si>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</si>
  <si>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</si>
  <si>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</si>
  <si>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</si>
  <si>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</si>
  <si>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</si>
  <si>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</si>
  <si>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</si>
  <si>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</si>
  <si>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</si>
  <si>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</si>
  <si>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</si>
  <si>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</si>
  <si>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</si>
  <si>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</si>
  <si>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</si>
  <si>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</si>
  <si>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</si>
  <si>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</si>
  <si>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</si>
  <si>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</si>
  <si>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</si>
  <si>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</si>
  <si>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</si>
  <si>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</si>
  <si>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</si>
  <si>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</si>
  <si>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</si>
  <si>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</si>
  <si>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</si>
  <si>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</si>
  <si>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</si>
  <si>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</si>
  <si>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</si>
  <si>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</si>
  <si>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</si>
  <si>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</si>
  <si>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</si>
  <si>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</si>
  <si>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</si>
  <si>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</si>
  <si>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</si>
  <si>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</si>
  <si>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</si>
  <si>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</si>
  <si>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</si>
  <si>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</si>
  <si>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</si>
  <si>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</si>
  <si>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</si>
  <si>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</si>
  <si>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</si>
  <si>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</si>
  <si>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</si>
  <si>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</si>
  <si>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</si>
  <si>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</si>
  <si>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</si>
  <si>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</si>
  <si>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</si>
  <si>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</si>
  <si>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</si>
  <si>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</si>
  <si>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</si>
  <si>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</si>
  <si>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</si>
  <si>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</si>
  <si>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</si>
  <si>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</si>
  <si>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</si>
  <si>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</si>
  <si>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</si>
  <si>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</si>
  <si>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</si>
  <si>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</si>
  <si>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</si>
  <si>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</si>
  <si>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</si>
  <si>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</si>
  <si>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</si>
  <si>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</si>
  <si>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</si>
  <si>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</si>
  <si>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</si>
  <si>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</si>
  <si>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</si>
  <si>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</si>
  <si>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</si>
  <si>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</si>
  <si>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</si>
  <si>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</si>
  <si>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</si>
  <si>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</si>
  <si>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</si>
  <si>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</si>
  <si>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</si>
  <si>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</si>
  <si>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</si>
  <si>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</si>
  <si>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</si>
  <si>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</si>
  <si>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</si>
  <si>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</si>
  <si>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</si>
  <si>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</si>
  <si>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</si>
  <si>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</si>
  <si>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</si>
  <si>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</si>
  <si>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</si>
  <si>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</si>
  <si>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</si>
  <si>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</si>
  <si>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</si>
  <si>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</si>
  <si>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</si>
  <si>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</si>
  <si>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</si>
  <si>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</si>
  <si>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</si>
  <si>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</si>
  <si>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</si>
  <si>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</si>
  <si>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</si>
  <si>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</si>
  <si>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</si>
  <si>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</si>
  <si>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</si>
  <si>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</si>
  <si>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</si>
  <si>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</si>
  <si>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</si>
  <si>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</si>
  <si>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</si>
  <si>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</si>
  <si>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</si>
  <si>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</si>
  <si>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</si>
  <si>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</si>
  <si>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</si>
  <si>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</si>
  <si>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</si>
  <si>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</si>
  <si>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</si>
  <si>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</si>
  <si>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</si>
  <si>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</si>
  <si>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</si>
  <si>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</si>
  <si>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</si>
  <si>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</si>
  <si>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</si>
  <si>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</si>
  <si>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</si>
  <si>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</si>
  <si>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</si>
  <si>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</si>
  <si>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</si>
  <si>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</si>
  <si>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</si>
  <si>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</si>
  <si>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</si>
  <si>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</si>
  <si>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</si>
  <si>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</si>
  <si>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</si>
  <si>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</si>
  <si>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</si>
  <si>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</si>
  <si>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</si>
  <si>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</si>
  <si>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</si>
  <si>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</si>
  <si>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</si>
  <si>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</si>
  <si>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</si>
  <si>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</si>
  <si>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</si>
  <si>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</si>
  <si>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</si>
  <si>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</si>
  <si>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</si>
  <si>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</si>
  <si>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</si>
  <si>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</si>
  <si>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</si>
  <si>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</si>
  <si>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</si>
  <si>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</si>
  <si>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</si>
  <si>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</si>
  <si>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</si>
  <si>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</si>
  <si>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</si>
  <si>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</si>
  <si>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</si>
  <si>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</si>
  <si>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</si>
  <si>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</si>
  <si>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</si>
  <si>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</si>
  <si>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</si>
  <si>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</si>
  <si>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</si>
  <si>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</si>
  <si>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</si>
  <si>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</si>
  <si>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</si>
  <si>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</si>
  <si>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</si>
  <si>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</si>
  <si>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</si>
  <si>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</si>
  <si>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</si>
  <si>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</si>
  <si>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</si>
  <si>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</si>
  <si>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</si>
  <si>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</si>
  <si>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</si>
  <si>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</si>
  <si>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</si>
  <si>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ORDEN DE COMPRA</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</si>
  <si>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</si>
  <si>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</si>
  <si>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</si>
  <si>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</si>
  <si>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</si>
  <si>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</si>
  <si>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</si>
  <si>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</si>
  <si>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</si>
  <si>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</si>
  <si>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</si>
  <si>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</si>
  <si>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</si>
  <si>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</si>
  <si>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</si>
  <si>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</si>
  <si>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</si>
  <si>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</si>
  <si>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</si>
  <si>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</si>
  <si>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</si>
  <si>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</si>
  <si>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</si>
  <si>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RESOLUCION</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</si>
  <si>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</si>
  <si>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</si>
  <si>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</si>
  <si>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</si>
  <si>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</si>
  <si>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</si>
  <si>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</si>
  <si>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</si>
  <si>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</si>
  <si>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</si>
  <si>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</si>
  <si>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</si>
  <si>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</si>
  <si>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</si>
  <si>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</si>
  <si>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</si>
  <si>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</si>
  <si>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</si>
  <si>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</si>
  <si>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</si>
  <si>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</si>
  <si>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</si>
  <si>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</si>
  <si>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</si>
  <si>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</si>
  <si>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</si>
  <si>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</si>
  <si>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</si>
  <si>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</si>
  <si>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</si>
  <si>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</si>
  <si>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</si>
  <si>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</si>
  <si>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</si>
  <si>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</si>
  <si>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</si>
  <si>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</si>
  <si>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</si>
  <si>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</si>
  <si>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</si>
  <si>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</si>
  <si>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</si>
  <si>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</si>
  <si>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</si>
  <si>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</si>
  <si>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</si>
  <si>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</si>
  <si>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</si>
  <si>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</si>
  <si>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</si>
  <si>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</si>
  <si>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</si>
  <si>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</si>
  <si>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</si>
  <si>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</si>
  <si>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</si>
  <si>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</si>
  <si>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</si>
  <si>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</si>
  <si>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</si>
  <si>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</si>
  <si>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</si>
  <si>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</si>
  <si>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</si>
  <si>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</si>
  <si>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</si>
  <si>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</si>
  <si>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</si>
  <si>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</si>
  <si>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</si>
  <si>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</si>
  <si>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</si>
  <si>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</si>
  <si>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</si>
  <si>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</si>
  <si>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</si>
  <si>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</si>
  <si>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</si>
  <si>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</si>
  <si>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</si>
  <si>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</si>
  <si>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</si>
  <si>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</si>
  <si>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</si>
  <si>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</si>
  <si>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</si>
  <si>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</si>
  <si>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</si>
  <si>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</si>
  <si>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</si>
  <si>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</si>
  <si>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</si>
  <si>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</si>
  <si>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</si>
  <si>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</si>
  <si>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</si>
  <si>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</si>
  <si>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</si>
  <si>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</si>
  <si>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</si>
  <si>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</si>
  <si>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</si>
  <si>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</si>
  <si>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</si>
  <si>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</si>
  <si>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</si>
  <si>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</si>
  <si>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</si>
  <si>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</si>
  <si>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</si>
  <si>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</si>
  <si>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</si>
  <si>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</si>
  <si>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</si>
  <si>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</si>
  <si>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</si>
  <si>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</si>
  <si>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</si>
  <si>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</si>
  <si>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</si>
  <si>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</si>
  <si>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</si>
  <si>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</si>
  <si>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</si>
  <si>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</si>
  <si>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</si>
  <si>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</si>
  <si>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</si>
  <si>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</si>
  <si>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</si>
  <si>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</si>
  <si>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</si>
  <si>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</si>
  <si>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</si>
  <si>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</si>
  <si>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</si>
  <si>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</si>
  <si>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</si>
  <si>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</si>
  <si>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</si>
  <si>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</si>
  <si>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</si>
  <si>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</si>
  <si>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</si>
  <si>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</si>
  <si>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</si>
  <si>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</si>
  <si>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</si>
  <si>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</si>
  <si>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</si>
  <si>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</si>
  <si>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</si>
  <si>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</si>
  <si>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</si>
  <si>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</si>
  <si>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</si>
  <si>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</si>
  <si>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</si>
  <si>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</si>
  <si>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</si>
  <si>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</si>
  <si>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</si>
  <si>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</si>
  <si>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</si>
  <si>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</si>
  <si>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</si>
  <si>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</si>
  <si>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</si>
  <si>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</si>
  <si>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</si>
  <si>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</si>
  <si>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</si>
  <si>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</si>
  <si>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</si>
  <si>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</si>
  <si>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</si>
  <si>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</si>
  <si>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</si>
  <si>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</si>
  <si>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</si>
  <si>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</si>
  <si>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</si>
  <si>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</si>
  <si>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</si>
  <si>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</si>
  <si>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</si>
  <si>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</si>
  <si>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</si>
  <si>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</si>
  <si>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</si>
  <si>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</si>
  <si>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</si>
  <si>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</si>
  <si>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</si>
  <si>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</si>
  <si>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</si>
  <si>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</si>
  <si>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</si>
  <si>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</si>
  <si>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</si>
  <si>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</si>
  <si>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</si>
  <si>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</si>
  <si>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</si>
  <si>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</si>
  <si>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</si>
  <si>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</si>
  <si>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</si>
  <si>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</si>
  <si>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</si>
  <si>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</si>
  <si>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</si>
  <si>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</si>
  <si>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</si>
  <si>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</si>
  <si>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</si>
  <si>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</si>
  <si>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</si>
  <si>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</si>
  <si>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</si>
  <si>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</si>
  <si>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</si>
  <si>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</si>
  <si>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</si>
  <si>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</si>
  <si>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</si>
  <si>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</si>
  <si>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</si>
  <si>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</si>
  <si>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</si>
  <si>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</si>
  <si>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</si>
  <si>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</si>
  <si>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</si>
  <si>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</si>
  <si>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</si>
  <si>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</si>
  <si>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</si>
  <si>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</si>
  <si>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</si>
  <si>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</si>
  <si>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</si>
  <si>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</si>
  <si>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</si>
  <si>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</si>
  <si>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</si>
  <si>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</si>
  <si>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</si>
  <si>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</si>
  <si>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</si>
  <si>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</si>
  <si>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</si>
  <si>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</si>
  <si>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</si>
  <si>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</si>
  <si>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</si>
  <si>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</si>
  <si>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</si>
  <si>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</si>
  <si>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</si>
  <si>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</si>
  <si>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</si>
  <si>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</si>
  <si>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</si>
  <si>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</si>
  <si>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</si>
  <si>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</si>
  <si>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</si>
  <si>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</si>
  <si>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</si>
  <si>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</si>
  <si>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</si>
  <si>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</si>
  <si>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</si>
  <si>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</si>
  <si>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</si>
  <si>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</si>
  <si>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</si>
  <si>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</si>
  <si>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</si>
  <si>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</si>
  <si>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</si>
  <si>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</si>
  <si>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</si>
  <si>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</si>
  <si>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</si>
  <si>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</si>
  <si>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</si>
  <si>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</si>
  <si>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</si>
  <si>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</si>
  <si>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</si>
  <si>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</si>
  <si>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</si>
  <si>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</si>
  <si>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</si>
  <si>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</si>
  <si>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</si>
  <si>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</si>
  <si>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</si>
  <si>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</si>
  <si>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</si>
  <si>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</si>
  <si>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</si>
  <si>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</si>
  <si>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</si>
  <si>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</si>
  <si>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</si>
  <si>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</si>
  <si>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</si>
  <si>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</si>
  <si>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</si>
  <si>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</si>
  <si>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</si>
  <si>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</si>
  <si>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</si>
  <si>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</si>
  <si>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</si>
  <si>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</si>
  <si>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</si>
  <si>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</si>
  <si>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</si>
  <si>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</si>
  <si>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</si>
  <si>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</si>
  <si>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</si>
  <si>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</si>
  <si>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</si>
  <si>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</si>
  <si>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</si>
  <si>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</si>
  <si>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</si>
  <si>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</si>
  <si>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</si>
  <si>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</si>
  <si>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</si>
  <si>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</si>
  <si>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</si>
  <si>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</si>
  <si>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</si>
  <si>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</si>
  <si>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</si>
  <si>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</si>
  <si>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</si>
  <si>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</si>
  <si>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</si>
  <si>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</si>
  <si>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</si>
  <si>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</si>
  <si>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</si>
  <si>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</si>
  <si>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</si>
  <si>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</si>
  <si>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</si>
  <si>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</si>
  <si>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</si>
  <si>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</si>
  <si>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</si>
  <si>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</si>
  <si>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</si>
  <si>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</si>
  <si>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</si>
  <si>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</si>
  <si>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</si>
  <si>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</si>
  <si>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</si>
  <si>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</si>
  <si>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</si>
  <si>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</si>
  <si>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</si>
  <si>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</si>
  <si>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</si>
  <si>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</si>
  <si>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</si>
  <si>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</si>
  <si>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</si>
  <si>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</si>
  <si>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</si>
  <si>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</si>
  <si>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</si>
  <si>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</si>
  <si>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</si>
  <si>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</si>
  <si>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</si>
  <si>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</si>
  <si>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</si>
  <si>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</si>
  <si>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</si>
  <si>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</si>
  <si>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</si>
  <si>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</si>
  <si>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</si>
  <si>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</si>
  <si>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</si>
  <si>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</si>
  <si>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</si>
  <si>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</si>
  <si>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</si>
  <si>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</si>
  <si>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</si>
  <si>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</si>
  <si>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</si>
  <si>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</si>
  <si>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</si>
  <si>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</si>
  <si>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</si>
  <si>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</si>
  <si>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</si>
  <si>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</si>
  <si>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</si>
  <si>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</si>
  <si>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</si>
  <si>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</si>
  <si>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</si>
  <si>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</si>
  <si>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</si>
  <si>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</si>
  <si>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</si>
  <si>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</si>
  <si>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</si>
  <si>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</si>
  <si>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</si>
  <si>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</si>
  <si>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</si>
  <si>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</si>
  <si>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</si>
  <si>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</si>
  <si>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</si>
  <si>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</si>
  <si>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</si>
  <si>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</si>
  <si>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</si>
  <si>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</si>
  <si>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</si>
  <si>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</si>
  <si>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</si>
  <si>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</si>
  <si>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</si>
  <si>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</si>
  <si>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</si>
  <si>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</si>
  <si>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</si>
  <si>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</si>
  <si>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</si>
  <si>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</si>
  <si>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</si>
  <si>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</si>
  <si>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</si>
  <si>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</si>
  <si>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</si>
  <si>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</si>
  <si>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</si>
  <si>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</si>
  <si>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</si>
  <si>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</si>
  <si>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</si>
  <si>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</si>
  <si>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</si>
  <si>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</si>
  <si>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</si>
  <si>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</si>
  <si>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</si>
  <si>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</si>
  <si>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</si>
  <si>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</si>
  <si>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</si>
  <si>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</si>
  <si>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</si>
  <si>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</si>
  <si>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</si>
  <si>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</si>
  <si>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</si>
  <si>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</si>
  <si>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</si>
  <si>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</si>
  <si>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</si>
  <si>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</si>
  <si>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</si>
  <si>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</si>
  <si>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</si>
  <si>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</si>
  <si>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</si>
  <si>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</si>
  <si>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</si>
  <si>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</si>
  <si>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</si>
  <si>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</si>
  <si>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</si>
  <si>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</si>
  <si>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</si>
  <si>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</si>
  <si>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</si>
  <si>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</si>
  <si>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</si>
  <si>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</si>
  <si>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</si>
  <si>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</si>
  <si>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</si>
  <si>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</si>
  <si>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</si>
  <si>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</si>
  <si>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</si>
  <si>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</si>
  <si>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</si>
  <si>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</si>
  <si>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</si>
  <si>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</si>
  <si>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</si>
  <si>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</si>
  <si>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</si>
  <si>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</si>
  <si>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</si>
  <si>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</si>
  <si>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</si>
  <si>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</si>
  <si>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</si>
  <si>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</si>
  <si>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</si>
  <si>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</si>
  <si>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</si>
  <si>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</si>
  <si>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</si>
  <si>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</si>
  <si>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</si>
  <si>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</si>
  <si>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</si>
  <si>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</si>
  <si>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</si>
  <si>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</si>
  <si>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</si>
  <si>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</si>
  <si>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</si>
  <si>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</si>
  <si>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</si>
  <si>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</si>
  <si>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</si>
  <si>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</si>
  <si>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</si>
  <si>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</si>
  <si>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</si>
  <si>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</si>
  <si>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</si>
  <si>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</si>
  <si>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</si>
  <si>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</si>
  <si>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</si>
  <si>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</si>
  <si>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</si>
  <si>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</si>
  <si>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</si>
  <si>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</si>
  <si>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</si>
  <si>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</si>
  <si>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</si>
  <si>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</si>
  <si>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</si>
  <si>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</si>
  <si>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</si>
  <si>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</si>
  <si>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</si>
  <si>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</si>
  <si>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</si>
  <si>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</si>
  <si>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</si>
  <si>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</si>
  <si>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</si>
  <si>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</si>
  <si>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</si>
  <si>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</si>
  <si>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</si>
  <si>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</si>
  <si>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</si>
  <si>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</si>
  <si>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</si>
  <si>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</si>
  <si>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</si>
  <si>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</si>
  <si>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</si>
  <si>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</si>
  <si>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</si>
  <si>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</si>
  <si>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</si>
  <si>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</si>
  <si>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</si>
  <si>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</si>
  <si>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</si>
  <si>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</si>
  <si>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</si>
  <si>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</si>
  <si>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</si>
  <si>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</si>
  <si>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</si>
  <si>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</si>
  <si>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</si>
  <si>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</si>
  <si>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</si>
  <si>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</si>
  <si>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</si>
  <si>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</si>
  <si>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</si>
  <si>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</si>
  <si>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</si>
  <si>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</si>
  <si>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</si>
  <si>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</si>
  <si>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</si>
  <si>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</si>
  <si>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</si>
  <si>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</si>
  <si>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</si>
  <si>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</si>
  <si>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</si>
  <si>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</si>
  <si>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</si>
  <si>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</si>
  <si>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</si>
  <si>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</si>
  <si>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</si>
  <si>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</si>
  <si>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</si>
  <si>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</si>
  <si>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</si>
  <si>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</si>
  <si>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</si>
  <si>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</si>
  <si>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</si>
  <si>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</si>
  <si>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</si>
  <si>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</si>
  <si>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</si>
  <si>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</si>
  <si>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</si>
  <si>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</si>
  <si>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</si>
  <si>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</si>
  <si>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</si>
  <si>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</si>
  <si>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</si>
  <si>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</si>
  <si>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</si>
  <si>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</si>
  <si>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</si>
  <si>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</si>
  <si>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</si>
  <si>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</si>
  <si>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</si>
  <si>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</si>
  <si>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</si>
  <si>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</si>
  <si>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</si>
  <si>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</si>
  <si>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</si>
  <si>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</si>
  <si>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</si>
  <si>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</si>
  <si>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</si>
  <si>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</si>
  <si>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</si>
  <si>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</si>
  <si>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</si>
  <si>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</si>
  <si>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</si>
  <si>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</si>
  <si>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</si>
  <si>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</si>
  <si>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</si>
  <si>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</si>
  <si>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</si>
  <si>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</si>
  <si>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</si>
  <si>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</si>
  <si>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</si>
  <si>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</si>
  <si>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</si>
  <si>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</si>
  <si>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</si>
  <si>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</si>
  <si>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</si>
  <si>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</si>
  <si>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</si>
  <si>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</si>
  <si>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</si>
  <si>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</si>
  <si>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</si>
  <si>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</si>
  <si>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</si>
  <si>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</si>
  <si>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</si>
  <si>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</si>
  <si>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</si>
  <si>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</si>
  <si>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</si>
  <si>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</si>
  <si>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</si>
  <si>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</si>
  <si>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</si>
  <si>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</si>
  <si>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</si>
  <si>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</si>
  <si>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</si>
  <si>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</si>
  <si>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</si>
  <si>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</si>
  <si>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</si>
  <si>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</si>
  <si>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</si>
  <si>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</si>
  <si>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</si>
  <si>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</si>
  <si>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</si>
  <si>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</si>
  <si>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</si>
  <si>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</si>
  <si>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</si>
  <si>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</si>
  <si>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</si>
  <si>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</si>
  <si>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</si>
  <si>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</si>
  <si>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</si>
  <si>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</si>
  <si>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</si>
  <si>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</si>
  <si>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</si>
  <si>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</si>
  <si>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</si>
  <si>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</si>
  <si>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</si>
  <si>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</si>
  <si>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</si>
  <si>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</si>
  <si>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</si>
  <si>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</si>
  <si>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</si>
  <si>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</si>
  <si>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</si>
  <si>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</si>
  <si>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</si>
  <si>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</si>
  <si>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</si>
  <si>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</si>
  <si>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</si>
  <si>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</si>
  <si>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</si>
  <si>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</si>
  <si>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</si>
  <si>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</si>
  <si>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</si>
  <si>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</si>
  <si>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</si>
  <si>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</si>
  <si>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</si>
  <si>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</si>
  <si>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</si>
  <si>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</si>
  <si>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</si>
  <si>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</si>
  <si>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</si>
  <si>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</si>
  <si>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</si>
  <si>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</si>
  <si>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</si>
  <si>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</si>
  <si>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</si>
  <si>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</si>
  <si>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</si>
  <si>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</si>
  <si>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</si>
  <si>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</si>
  <si>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</si>
  <si>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</si>
  <si>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</si>
  <si>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</si>
  <si>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</si>
  <si>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</si>
  <si>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</si>
  <si>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</si>
  <si>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</si>
  <si>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</si>
  <si>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</si>
  <si>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</si>
  <si>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</si>
  <si>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</si>
  <si>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</si>
  <si>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</si>
  <si>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</si>
  <si>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</si>
  <si>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</si>
  <si>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</si>
  <si>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</si>
  <si>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</si>
  <si>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</si>
  <si>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</si>
  <si>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</si>
  <si>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</si>
  <si>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</si>
  <si>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</si>
  <si>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</si>
  <si>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</si>
  <si>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</si>
  <si>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</si>
  <si>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</si>
  <si>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</si>
  <si>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</si>
  <si>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</si>
  <si>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</si>
  <si>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</si>
  <si>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</si>
  <si>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</si>
  <si>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</si>
  <si>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</si>
  <si>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</si>
  <si>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</si>
  <si>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</si>
  <si>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</si>
  <si>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</si>
  <si>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</si>
  <si>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</si>
  <si>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</si>
  <si>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</si>
  <si>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</si>
  <si>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</si>
  <si>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</si>
  <si>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</si>
  <si>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</si>
  <si>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</si>
  <si>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</si>
  <si>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</si>
  <si>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</si>
  <si>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</si>
  <si>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</si>
  <si>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</si>
  <si>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</si>
  <si>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</si>
  <si>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</si>
  <si>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</si>
  <si>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</si>
  <si>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</si>
  <si>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</si>
  <si>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</si>
  <si>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</si>
  <si>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</si>
  <si>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</si>
  <si>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</si>
  <si>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</si>
  <si>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</si>
  <si>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</si>
  <si>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</si>
  <si>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</si>
  <si>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</si>
  <si>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</si>
  <si>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</si>
  <si>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</si>
  <si>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</si>
  <si>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</si>
  <si>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</si>
  <si>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</si>
  <si>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</si>
  <si>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</si>
  <si>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</si>
  <si>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</si>
  <si>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</si>
  <si>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</si>
  <si>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</si>
  <si>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</si>
  <si>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</si>
  <si>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</si>
  <si>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</si>
  <si>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</si>
  <si>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</si>
  <si>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</si>
  <si>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</si>
  <si>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</si>
  <si>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</si>
  <si>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</si>
  <si>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</si>
  <si>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</si>
  <si>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</si>
  <si>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</si>
  <si>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</si>
  <si>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</si>
  <si>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</si>
  <si>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</si>
  <si>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</si>
  <si>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</si>
  <si>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</si>
  <si>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</si>
  <si>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</si>
  <si>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</si>
  <si>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</si>
  <si>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</si>
  <si>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</si>
  <si>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</si>
  <si>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</si>
  <si>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</si>
  <si>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</si>
  <si>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</si>
  <si>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</si>
  <si>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</si>
  <si>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</si>
  <si>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</si>
  <si>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</si>
  <si>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</si>
  <si>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</si>
  <si>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</si>
  <si>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</si>
  <si>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</si>
  <si>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</si>
  <si>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</si>
  <si>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</si>
  <si>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</si>
  <si>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</si>
  <si>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</si>
  <si>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</si>
  <si>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</si>
  <si>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</si>
  <si>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</si>
  <si>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</si>
  <si>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</si>
  <si>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</si>
  <si>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</si>
  <si>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</si>
  <si>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INGRID PAOLA PEDRAZA CARVAJAL</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</si>
  <si>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</si>
  <si>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</si>
  <si>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</si>
  <si>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</si>
  <si>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</si>
  <si>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</si>
  <si>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</si>
  <si>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</si>
  <si>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</si>
  <si>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</si>
  <si>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</si>
  <si>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</si>
  <si>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</si>
  <si>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</si>
  <si>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</si>
  <si>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</si>
  <si>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</si>
  <si>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</si>
  <si>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</si>
  <si>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</si>
  <si>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</si>
  <si>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</si>
  <si>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</si>
  <si>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</si>
  <si>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</si>
  <si>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</si>
  <si>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</si>
  <si>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</si>
  <si>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</si>
  <si>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</si>
  <si>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</si>
  <si>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</si>
  <si>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</si>
  <si>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</si>
  <si>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</si>
  <si>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</si>
  <si>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</si>
  <si>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</si>
  <si>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</si>
  <si>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</si>
  <si>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</si>
  <si>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</si>
  <si>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</si>
  <si>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</si>
  <si>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</si>
  <si>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</si>
  <si>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</si>
  <si>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</si>
  <si>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</si>
  <si>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</si>
  <si>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</si>
  <si>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</si>
  <si>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</si>
  <si>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</si>
  <si>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</si>
  <si>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</si>
  <si>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</si>
  <si>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</si>
  <si>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</si>
  <si>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</si>
  <si>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</si>
  <si>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</si>
  <si>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</si>
  <si>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</si>
  <si>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</si>
  <si>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</si>
  <si>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</si>
  <si>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</si>
  <si>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</si>
  <si>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</si>
  <si>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</si>
  <si>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</si>
  <si>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</si>
  <si>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</si>
  <si>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</si>
  <si>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</si>
  <si>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</si>
  <si>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</si>
  <si>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</si>
  <si>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</si>
  <si>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</si>
  <si>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</si>
  <si>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</si>
  <si>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</si>
  <si>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</si>
  <si>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</si>
  <si>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</si>
  <si>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</si>
  <si>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</si>
  <si>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</si>
  <si>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</si>
  <si>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</si>
  <si>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</si>
  <si>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</si>
  <si>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</si>
  <si>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</si>
  <si>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</si>
  <si>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</si>
  <si>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</si>
  <si>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</si>
  <si>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</si>
  <si>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</si>
  <si>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</si>
  <si>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</si>
  <si>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</si>
  <si>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</si>
  <si>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</si>
  <si>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</si>
  <si>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</si>
  <si>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</si>
  <si>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</si>
  <si>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</si>
  <si>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</si>
  <si>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</si>
  <si>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</si>
  <si>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</si>
  <si>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</si>
  <si>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</si>
  <si>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</si>
  <si>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</si>
  <si>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</si>
  <si>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</si>
  <si>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</si>
  <si>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</si>
  <si>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</si>
  <si>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</si>
  <si>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</si>
  <si>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</si>
  <si>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</si>
  <si>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</si>
  <si>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</si>
  <si>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</si>
  <si>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</si>
  <si>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</si>
  <si>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</si>
  <si>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</si>
  <si>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</si>
  <si>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</si>
  <si>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</si>
  <si>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</si>
  <si>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</si>
  <si>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</si>
  <si>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</si>
  <si>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</si>
  <si>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</si>
  <si>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</si>
  <si>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</si>
  <si>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</si>
  <si>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</si>
  <si>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445</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</si>
  <si>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</si>
  <si>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</si>
  <si>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</si>
  <si>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</si>
  <si>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</si>
  <si>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</si>
  <si>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</si>
  <si>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</si>
  <si>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</si>
  <si>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</si>
  <si>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</si>
  <si>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</si>
  <si>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</si>
  <si>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</si>
  <si>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</si>
  <si>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</si>
  <si>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</si>
  <si>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</si>
  <si>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</si>
  <si>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</si>
  <si>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</si>
  <si>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</si>
  <si>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</si>
  <si>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</si>
  <si>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</si>
  <si>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</si>
  <si>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</si>
  <si>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</si>
  <si>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</si>
  <si>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</si>
  <si>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</si>
  <si>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</si>
  <si>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</si>
  <si>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</si>
  <si>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</si>
  <si>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</si>
  <si>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</si>
  <si>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</si>
  <si>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</si>
  <si>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</si>
  <si>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</si>
  <si>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</si>
  <si>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</si>
  <si>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</si>
  <si>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</si>
  <si>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</si>
  <si>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</si>
  <si>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</si>
  <si>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</si>
  <si>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</si>
  <si>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</si>
  <si>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</si>
  <si>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</si>
  <si>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</si>
  <si>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</si>
  <si>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</si>
  <si>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</si>
  <si>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</si>
  <si>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</si>
  <si>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</si>
  <si>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</si>
  <si>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</si>
  <si>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</si>
  <si>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</si>
  <si>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</si>
  <si>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</si>
  <si>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</si>
  <si>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</si>
  <si>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</si>
  <si>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</si>
  <si>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</si>
  <si>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</si>
  <si>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</si>
  <si>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</si>
  <si>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</si>
  <si>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</si>
  <si>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</si>
  <si>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</si>
  <si>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</si>
  <si>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</si>
  <si>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</si>
  <si>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</si>
  <si>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</si>
  <si>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</si>
  <si>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</si>
  <si>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</si>
  <si>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</si>
  <si>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</si>
  <si>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</si>
  <si>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</si>
  <si>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</si>
  <si>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</si>
  <si>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</si>
  <si>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</si>
  <si>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</si>
  <si>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</si>
  <si>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</si>
  <si>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</si>
  <si>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</si>
  <si>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</si>
  <si>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</si>
  <si>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</si>
  <si>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</si>
  <si>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</si>
  <si>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</si>
  <si>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</si>
  <si>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</si>
  <si>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</si>
  <si>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</si>
  <si>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</si>
  <si>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</si>
  <si>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</si>
  <si>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</si>
  <si>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</si>
  <si>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</si>
  <si>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</si>
  <si>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</si>
  <si>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</si>
  <si>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</si>
  <si>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SOLUTION COPY LTDA</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</si>
  <si>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</si>
  <si>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</si>
  <si>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</si>
  <si>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</si>
  <si>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</si>
  <si>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</si>
  <si>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</si>
  <si>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</si>
  <si>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</si>
  <si>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</si>
  <si>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</si>
  <si>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</si>
  <si>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</si>
  <si>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</si>
  <si>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</si>
  <si>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</si>
  <si>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</si>
  <si>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</si>
  <si>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</si>
  <si>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</si>
  <si>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</si>
  <si>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</si>
  <si>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</si>
  <si>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</si>
  <si>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</si>
  <si>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</si>
  <si>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</si>
  <si>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</si>
  <si>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</si>
  <si>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</si>
  <si>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</si>
  <si>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</si>
  <si>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</si>
  <si>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</si>
  <si>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</si>
  <si>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</si>
  <si>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</si>
  <si>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</si>
  <si>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</si>
  <si>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</si>
  <si>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GRUPO EMPRESARIAL JHS SAS</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</si>
  <si>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</si>
  <si>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</si>
  <si>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</si>
  <si>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</si>
  <si>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</si>
  <si>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</si>
  <si>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</si>
  <si>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</si>
  <si>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</si>
  <si>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</si>
  <si>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</si>
  <si>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</si>
  <si>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</si>
  <si>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</si>
  <si>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</si>
  <si>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</si>
  <si>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</si>
  <si>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</si>
  <si>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</si>
  <si>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</si>
  <si>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</si>
  <si>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</si>
  <si>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</si>
  <si>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</si>
  <si>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</si>
  <si>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</si>
  <si>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</si>
  <si>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</si>
  <si>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</si>
  <si>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</si>
  <si>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</si>
  <si>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</si>
  <si>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</si>
  <si>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</si>
  <si>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</si>
  <si>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</si>
  <si>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</si>
  <si>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</si>
  <si>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</si>
  <si>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</si>
  <si>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</si>
  <si>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</si>
  <si>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</si>
  <si>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</si>
  <si>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</si>
  <si>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</si>
  <si>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</si>
  <si>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</si>
  <si>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</si>
  <si>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</si>
  <si>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</si>
  <si>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</si>
  <si>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</si>
  <si>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</si>
  <si>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</si>
  <si>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</si>
  <si>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</si>
  <si>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</si>
  <si>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</si>
  <si>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</si>
  <si>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</si>
  <si>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</si>
  <si>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</si>
  <si>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</si>
  <si>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</si>
  <si>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</si>
  <si>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</si>
  <si>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</si>
  <si>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</si>
  <si>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</si>
  <si>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</si>
  <si>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</si>
  <si>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</si>
  <si>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</si>
  <si>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</si>
  <si>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</si>
  <si>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</si>
  <si>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</si>
  <si>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</si>
  <si>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</si>
  <si>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</si>
  <si>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</si>
  <si>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</si>
  <si>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</si>
  <si>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</si>
  <si>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</si>
  <si>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</si>
  <si>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</si>
  <si>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</si>
  <si>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</si>
  <si>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</si>
  <si>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</si>
  <si>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</si>
  <si>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</si>
  <si>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</si>
  <si>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</si>
  <si>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</si>
  <si>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</si>
  <si>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</si>
  <si>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</si>
  <si>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</si>
  <si>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</si>
  <si>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</si>
  <si>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</si>
  <si>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</si>
  <si>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</si>
  <si>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</si>
  <si>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</si>
  <si>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</si>
  <si>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</si>
  <si>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</si>
  <si>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</si>
  <si>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</si>
  <si>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</si>
  <si>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</si>
  <si>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</si>
  <si>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</si>
  <si>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</si>
  <si>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</si>
  <si>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</si>
  <si>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</si>
  <si>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</si>
  <si>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</si>
  <si>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</si>
  <si>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771</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</si>
  <si>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</si>
  <si>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</si>
  <si>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</si>
  <si>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562</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</si>
  <si>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</si>
  <si>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</si>
  <si>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</si>
  <si>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</si>
  <si>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</si>
  <si>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</si>
  <si>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</si>
  <si>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</si>
  <si>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</si>
  <si>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</si>
  <si>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</si>
  <si>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</si>
  <si>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</si>
  <si>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</si>
  <si>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</si>
  <si>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</si>
  <si>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</si>
  <si>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</si>
  <si>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</si>
  <si>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</si>
  <si>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</si>
  <si>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</si>
  <si>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</si>
  <si>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</si>
  <si>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</si>
  <si>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</si>
  <si>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</si>
  <si>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</si>
  <si>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</si>
  <si>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</si>
  <si>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</si>
  <si>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</si>
  <si>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</si>
  <si>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</si>
  <si>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</si>
  <si>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</si>
  <si>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</si>
  <si>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</si>
  <si>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</si>
  <si>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</si>
  <si>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</si>
  <si>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</si>
  <si>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</si>
  <si>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</si>
  <si>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</si>
  <si>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</si>
  <si>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</si>
  <si>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</si>
  <si>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</si>
  <si>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</si>
  <si>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</si>
  <si>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</si>
  <si>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</si>
  <si>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</si>
  <si>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</si>
  <si>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</si>
  <si>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</si>
  <si>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</si>
  <si>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</si>
  <si>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</si>
  <si>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</si>
  <si>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</si>
  <si>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</si>
  <si>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</si>
  <si>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</si>
  <si>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</si>
  <si>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</si>
  <si>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</si>
  <si>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</si>
  <si>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</si>
  <si>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</si>
  <si>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</si>
  <si>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</si>
  <si>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</si>
  <si>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</si>
  <si>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</si>
  <si>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</si>
  <si>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</si>
  <si>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</si>
  <si>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</si>
  <si>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</si>
  <si>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</si>
  <si>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</si>
  <si>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</si>
  <si>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</si>
  <si>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</si>
  <si>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</si>
  <si>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</si>
  <si>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</si>
  <si>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</si>
  <si>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</si>
  <si>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</si>
  <si>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</si>
  <si>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</si>
  <si>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</si>
  <si>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</si>
  <si>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</si>
  <si>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</si>
  <si>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</si>
  <si>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</si>
  <si>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</si>
  <si>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</si>
  <si>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</si>
  <si>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</si>
  <si>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</si>
  <si>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</si>
  <si>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</si>
  <si>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</si>
  <si>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</si>
  <si>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</si>
  <si>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</si>
  <si>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</si>
  <si>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</si>
  <si>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</si>
  <si>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</si>
  <si>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</si>
  <si>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</si>
  <si>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</si>
  <si>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</si>
  <si>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</si>
  <si>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</si>
  <si>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</si>
  <si>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</si>
  <si>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</si>
  <si>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</si>
  <si>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</si>
  <si>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</si>
  <si>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</si>
  <si>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</si>
  <si>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</si>
  <si>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</si>
  <si>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</si>
  <si>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</si>
  <si>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</si>
  <si>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</si>
  <si>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</si>
  <si>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</si>
  <si>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</si>
  <si>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</si>
  <si>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</si>
  <si>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</si>
  <si>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</si>
  <si>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</si>
  <si>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</si>
  <si>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</si>
  <si>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</si>
  <si>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</si>
  <si>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</si>
  <si>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</si>
  <si>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</si>
  <si>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</si>
  <si>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</si>
  <si>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</si>
  <si>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</si>
  <si>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</si>
  <si>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</si>
  <si>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</si>
  <si>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</si>
  <si>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</si>
  <si>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</si>
  <si>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</si>
  <si>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</si>
  <si>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</si>
  <si>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</si>
  <si>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</si>
  <si>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</si>
  <si>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</si>
  <si>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</si>
  <si>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</si>
  <si>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</si>
  <si>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</si>
  <si>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</si>
  <si>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</si>
  <si>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</si>
  <si>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</si>
  <si>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</si>
  <si>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</si>
  <si>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</si>
  <si>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</si>
  <si>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</si>
  <si>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</si>
  <si>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</si>
  <si>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</si>
  <si>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</si>
  <si>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</si>
  <si>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</si>
  <si>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</si>
  <si>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</si>
  <si>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</si>
  <si>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</si>
  <si>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</si>
  <si>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</si>
  <si>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</si>
  <si>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</si>
  <si>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</si>
  <si>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</si>
  <si>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</si>
  <si>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</si>
  <si>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</si>
  <si>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</si>
  <si>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</si>
  <si>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</si>
  <si>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</si>
  <si>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</si>
  <si>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ENERO</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</si>
  <si>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</si>
  <si>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</si>
  <si>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</si>
  <si>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</si>
  <si>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</si>
  <si>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</si>
  <si>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</si>
  <si>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</si>
  <si>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</si>
  <si>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</si>
  <si>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</si>
  <si>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</si>
  <si>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</si>
  <si>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</si>
  <si>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</si>
  <si>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</si>
  <si>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</si>
  <si>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</si>
  <si>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</si>
  <si>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</si>
  <si>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</si>
  <si>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</si>
  <si>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</si>
  <si>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</si>
  <si>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</si>
  <si>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</si>
  <si>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</si>
  <si>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</si>
  <si>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</si>
  <si>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</si>
  <si>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</si>
  <si>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</si>
  <si>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</si>
  <si>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</si>
  <si>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</si>
  <si>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</si>
  <si>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</si>
  <si>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</si>
  <si>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</si>
  <si>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</si>
  <si>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</si>
  <si>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</si>
  <si>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</si>
  <si>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</si>
  <si>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</si>
  <si>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</si>
  <si>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</si>
  <si>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</si>
  <si>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</si>
  <si>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</si>
  <si>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</si>
  <si>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</si>
  <si>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</si>
  <si>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</si>
  <si>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</si>
  <si>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</si>
  <si>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</si>
  <si>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</si>
  <si>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</si>
  <si>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</si>
  <si>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</si>
  <si>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</si>
  <si>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</si>
  <si>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</si>
  <si>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</si>
  <si>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</si>
  <si>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</si>
  <si>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</si>
  <si>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</si>
  <si>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</si>
  <si>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</si>
  <si>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</si>
  <si>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</si>
  <si>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</si>
  <si>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</si>
  <si>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</si>
  <si>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</si>
  <si>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</si>
  <si>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</si>
  <si>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</si>
  <si>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</si>
  <si>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</si>
  <si>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</si>
  <si>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</si>
  <si>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</si>
  <si>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</si>
  <si>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</si>
  <si>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</si>
  <si>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</si>
  <si>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</si>
  <si>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</si>
  <si>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</si>
  <si>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</si>
  <si>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</si>
  <si>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</si>
  <si>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</si>
  <si>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</si>
  <si>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</si>
  <si>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</si>
  <si>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</si>
  <si>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</si>
  <si>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</si>
  <si>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</si>
  <si>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</si>
  <si>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</si>
  <si>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Versión No. 20</t>
  </si>
  <si>
    <t>Fecha de Modificación  25/08/2022</t>
  </si>
  <si>
    <t>Prestar servicios de apoyo a la gestión para realizar actividades de soporte de primer nivel a los recursos tecnológicos y la administración al sistema de gestión de servicios utilizados por la UAE Cuerpo Oficial de Bomberos- TIC</t>
  </si>
  <si>
    <t>Prestar servicios profesionales en la revisión, edición y generación de contenidos digitales y audiovisuales suministrados por las diferentes oficinas y dependencias en las plataformas digitales de la entidad-TIC</t>
  </si>
  <si>
    <t>023201010030208_Otra maquinaria para usos especiales y sus partes y piezas</t>
  </si>
  <si>
    <t>Adquisicion de equipos y escenarios de Realidad Virtual  para el Desarrollo de Capacitaciones misionales de la UAE Cuerpo Oficial de Bomberos de Bogotá_SGR</t>
  </si>
  <si>
    <t>023201010030208 Otra maquinaria para usos especiales y sus partes</t>
  </si>
  <si>
    <t>Adecuacion de pista de entrenamiento del grupo canino BRAE de la UAE Cuerpo Oficial de Bomberos de Bogotá_SGR</t>
  </si>
  <si>
    <t>Prestación de servicios para calcular la huella de emisión de carbono de conformidad con los requisitos técnicos establecidos por la UAE Cuerpo Oficial de Bomberos de Bogotá_SGR</t>
  </si>
  <si>
    <t>Prestar sus servicios a la Subdirección de Gestión del Riesgo en las actividades de Caracterización y Análisis de Escenarios de Riesgo._SGR</t>
  </si>
  <si>
    <t>Adición y prórroga al contrato No. 020 de 2022, cuyo objeto es "SGH - Prestar servicios de apoyo en la Subdirección de Gestión Humana de la UAE Cuerpo Oficial de Bomberos en el proceso de ausentismos del personal"</t>
  </si>
  <si>
    <t>Adición y prórroga al contrato No. 030 de 2022, cuyo objeto es "SGH - Prestar servicios profesionales en la Subdirección de Gestión Humana de la UAE Cuerpo Oficial de Bomberos en temas de Administración de Personal"</t>
  </si>
  <si>
    <t>Adición y prórroga al contrato No. 072 de 2022, cuyo objeto es "SGH - Prestar servicios profesionales para apoyar el programa de vigilancia epidemiológico al riesgo psicosocial y actividades de seguridad y salud en el trabajo en la Subdirección de Gestión Humana"</t>
  </si>
  <si>
    <t>Adición y prórroga al contrato No. 043 de 2022, cuyo objeto es "SGH - Prestar de servicios profesionales para desarrollar actividades jurídicas en atención a los distintos requerimientos de la Subdirección de Gestión Humana"</t>
  </si>
  <si>
    <t>Adición y prórroga al contrato No. 070 de 2022, cuyo objeto es "SGH - Prestar servicios profesionales para la implementación y seguimiento del sistema de gestión de seguridad y salud en el trabajo en la Subdirección de Gestión Humana.</t>
  </si>
  <si>
    <t xml:space="preserve">Adición y prórroga al contrato No. 092 de 2022, cuyo objeto es "SGH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</si>
  <si>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Adición y prórroga al contrato No. 170 de 2022, cuyo objeto es "SGH - Prestar servicios profesionales en la Subdirección de Gestión Humana de la UAE Cuerpo Oficial de Bomberos en temas de liquidación de demandas y conciliaciones"</t>
  </si>
  <si>
    <t>Adición y prórroga al contrato No. 346 de 2022, cuyo objeto es "SGH - Prestar servicios profesionales en la Subdirección de Gestión Humana de la UAE Cuerpo Oficial de Bomberos en temas de Administración de Personal"</t>
  </si>
  <si>
    <t>SGH - Prestar servicios de apoyo en el seguimiento del sistema de gestión de seguridad y salud en el trabajo en la Subdirección de Gestión Humana de la UAE Cuerpo Oficial de Bomberos.</t>
  </si>
  <si>
    <t>Adición y prórroga al contrato No. 175 de 2022, cuyo objeto es "SGH - Prestar servicios de apoyo a la gestión en la Subdirección de Gestión Humana en las diferentes actividades logísticas relacionadas con  el proceso de Academia"</t>
  </si>
  <si>
    <t>Adición y prórroga al contrato No. 155 de 2022, cuyo objeto es "SGH - Prestar sus servicios profesionales en la gestión contractual y presupuestal de la Subdirección de Gestión Humana de la UAE Cuerpo Oficial de Bomberos"</t>
  </si>
  <si>
    <t>SGH - Prestar servicios de apoyo en la Subdirección de Gestión Humana de la UAE Cuerpo Oficial de Bomberos.</t>
  </si>
  <si>
    <t>Adición y prórroga al contrato No. 146 de 2022, cuyo objeto es "SGH - Prestar sus servicios profesionales en los procesos de la Subdirección de Gestión Humana de la UAE Cuerpo Oficial de Bomberos."</t>
  </si>
  <si>
    <t xml:space="preserve"> Adición y prórroga al contrato No. 322 de 2022, cuyo objeto es "SGH - Prestar servicios profesionales para la gestión de los diferentes procesos de la Subdirección de Gestión Humana".</t>
  </si>
  <si>
    <t>Prestar servicios de apoyo a la gestión para actualizar y depurar el inventario de los elementos tecnológicos adquiridos por la Oficina Asesora de Planeación UAECOB -OAP-</t>
  </si>
  <si>
    <t>Prestar servicios profesionales para la generación y revisión de espacios de innovación tecnológica por la OAP y la revisión de contenidos asociados a la política de gobierno digital, seguridad de la información y gestión del conocimiento conforme a los lineamientos del MIPG</t>
  </si>
  <si>
    <t>Prestar servicios profesionales especializados a la Subdireccion de Gestión Corporativa y Dirección General de la UAECOB en la construcción, acompañamiento, seguimiento y fortalecimiento de las estrategias de comunicación que adelante la entidad dentro del Distrito Capital- SGC</t>
  </si>
  <si>
    <t xml:space="preserve">Realizar el mantenimiento predictivo, preventivo, correctivo, mejoras y dotación a las instalaciones de las dependencias de la Unidad Administrativa Especial Cuerpo Oficial de Bomberos De Bogotá D.C. - SGC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</si>
</sst>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_);_(* \(#,##0.00\);_(* &quot;-&quot;??_);_(@_)"/>
    <numFmt numFmtId="167" formatCode="_(* #,##0_);_(* \(#,##0\);_(* &quot;-&quot;??_);_(@_)"/>
    <numFmt numFmtId="168" formatCode="0;[Red]0"/>
    <numFmt numFmtId="169" formatCode="_(&quot;$&quot;\ * #,##0.00_);_(&quot;$&quot;\ * \(#,##0.00\);_(&quot;$&quot;\ * &quot;-&quot;??_);_(@_)"/>
    <numFmt numFmtId="170" formatCode="0.000%"/>
    <numFmt numFmtId="171" formatCode="#,###\ &quot;COP&quot;"/>
    <numFmt numFmtId="172" formatCode="_-[$$-240A]\ * #,##0_-;\-[$$-240A]\ * #,##0_-;_-[$$-240A]\ * &quot;-&quot;??_-;_-@_-"/>
    <numFmt numFmtId="173" formatCode="&quot;$&quot;#,##0"/>
    <numFmt numFmtId="174" formatCode="&quot;$&quot;\ #,##0"/>
    <numFmt numFmtId="175" formatCode="_-&quot;$&quot;\ * #,##0_-;\-&quot;$&quot;\ * #,##0_-;_-&quot;$&quot;\ * &quot;-&quot;??_-;_-@_-"/>
    <numFmt numFmtId="176" formatCode="_-* #,##0_-;\-* #,##0_-;_-* &quot;-&quot;??_-;_-@_-"/>
    <numFmt numFmtId="177" formatCode="0.0"/>
    <numFmt numFmtId="178" formatCode="dd\-mm\-yy;@"/>
    <numFmt numFmtId="179" formatCode="d/mm/yyyy;@"/>
  </numFmts>
  <fonts count="111" x14ac:knownFonts="1">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sz val="12"/>
      <name val="Arial"/>
      <family val="2"/>
    </font>
    <font>
      <sz val="8"/>
      <name val="Calibri"/>
      <family val="2"/>
      <scheme val="minor"/>
    </font>
    <font>
      <sz val="9"/>
      <color indexed="81"/>
      <name val="Tahoma"/>
      <family val="2"/>
    </font>
    <font>
      <b/>
      <sz val="9"/>
      <color indexed="81"/>
      <name val="Tahoma"/>
      <family val="2"/>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
      <patternFill patternType="solid">
        <fgColor theme="5" tint="0.3999755851924192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165"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44" fontId="1" fillId="0" borderId="0" applyFont="0" applyFill="0" applyBorder="0" applyAlignment="0" applyProtection="0"/>
  </cellStyleXfs>
  <cellXfs count="1502">
    <xf numFmtId="0" fontId="0" fillId="0" borderId="0" xfId="0"/>
    <xf numFmtId="0" fontId="0" fillId="2" borderId="0" xfId="0" applyFill="1"/>
    <xf numFmtId="0" fontId="0" fillId="0" borderId="1" xfId="0" applyBorder="1" applyAlignment="1">
      <alignment horizontal="left"/>
    </xf>
    <xf numFmtId="41" fontId="0" fillId="0" borderId="0" xfId="2" applyFont="1"/>
    <xf numFmtId="42"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42"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7" fontId="6" fillId="2" borderId="1" xfId="4" applyNumberFormat="1" applyFont="1" applyFill="1" applyBorder="1" applyAlignment="1">
      <alignment horizontal="center" vertical="center" wrapText="1"/>
    </xf>
    <xf numFmtId="167"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8"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8"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7" fontId="6" fillId="2" borderId="1" xfId="4" applyNumberFormat="1" applyFont="1" applyFill="1" applyBorder="1" applyAlignment="1">
      <alignment horizontal="center" wrapText="1"/>
    </xf>
    <xf numFmtId="167"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7"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42" fontId="0" fillId="0" borderId="0" xfId="3" applyFont="1" applyAlignment="1">
      <alignment horizontal="center" vertical="center"/>
    </xf>
    <xf numFmtId="9" fontId="0" fillId="0" borderId="0" xfId="1" applyFont="1" applyAlignment="1">
      <alignment horizontal="center" vertical="center"/>
    </xf>
    <xf numFmtId="42" fontId="0" fillId="0" borderId="0" xfId="3" applyFont="1" applyAlignment="1"/>
    <xf numFmtId="0" fontId="17" fillId="0" borderId="0" xfId="0" applyFont="1"/>
    <xf numFmtId="0" fontId="18" fillId="2" borderId="0" xfId="0" applyFont="1" applyFill="1"/>
    <xf numFmtId="0" fontId="19" fillId="0" borderId="1" xfId="0" applyFont="1" applyBorder="1"/>
    <xf numFmtId="42" fontId="20" fillId="0" borderId="1" xfId="3" applyFont="1" applyBorder="1" applyAlignment="1">
      <alignment horizontal="center" vertical="center"/>
    </xf>
    <xf numFmtId="9" fontId="20" fillId="0" borderId="1" xfId="1" applyFont="1" applyBorder="1" applyAlignment="1">
      <alignment horizontal="center" vertical="center"/>
    </xf>
    <xf numFmtId="42" fontId="19" fillId="0" borderId="1" xfId="3" applyFont="1" applyBorder="1" applyAlignment="1">
      <alignment horizontal="center" vertical="center"/>
    </xf>
    <xf numFmtId="42"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42" fontId="7" fillId="8" borderId="7" xfId="3" applyFont="1" applyFill="1" applyBorder="1" applyAlignment="1">
      <alignment horizontal="center" wrapText="1"/>
    </xf>
    <xf numFmtId="42" fontId="7" fillId="8" borderId="7" xfId="3" applyFont="1" applyFill="1" applyBorder="1" applyAlignment="1">
      <alignment horizontal="center" vertical="center" wrapText="1"/>
    </xf>
    <xf numFmtId="42"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0"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165" fontId="25" fillId="2" borderId="13" xfId="11" applyFont="1" applyFill="1" applyBorder="1"/>
    <xf numFmtId="165" fontId="25" fillId="0" borderId="13" xfId="11" applyFont="1" applyFill="1" applyBorder="1"/>
    <xf numFmtId="42" fontId="25" fillId="0" borderId="39" xfId="9" applyNumberFormat="1" applyFont="1" applyBorder="1"/>
    <xf numFmtId="165" fontId="25" fillId="0" borderId="1" xfId="11" applyFont="1" applyFill="1" applyBorder="1"/>
    <xf numFmtId="42"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165"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42" fontId="25" fillId="0" borderId="0" xfId="9" applyNumberFormat="1" applyFont="1"/>
    <xf numFmtId="0" fontId="25" fillId="0" borderId="14" xfId="9" applyFont="1" applyBorder="1" applyAlignment="1">
      <alignment horizontal="left"/>
    </xf>
    <xf numFmtId="165" fontId="25" fillId="0" borderId="14" xfId="11" applyFont="1" applyFill="1" applyBorder="1"/>
    <xf numFmtId="42"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165" fontId="25" fillId="0" borderId="0" xfId="11" applyFont="1" applyFill="1" applyBorder="1"/>
    <xf numFmtId="42" fontId="25" fillId="0" borderId="24" xfId="9" applyNumberFormat="1" applyFont="1" applyBorder="1"/>
    <xf numFmtId="42"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165"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165" fontId="25" fillId="0" borderId="42" xfId="11" applyFont="1" applyFill="1" applyBorder="1"/>
    <xf numFmtId="165" fontId="25" fillId="0" borderId="1" xfId="9" applyNumberFormat="1" applyFont="1" applyBorder="1"/>
    <xf numFmtId="165" fontId="25" fillId="0" borderId="13" xfId="9" applyNumberFormat="1" applyFont="1" applyBorder="1"/>
    <xf numFmtId="165" fontId="25" fillId="0" borderId="49" xfId="11" applyFont="1" applyFill="1" applyBorder="1"/>
    <xf numFmtId="42" fontId="25" fillId="0" borderId="50" xfId="9" applyNumberFormat="1" applyFont="1" applyBorder="1"/>
    <xf numFmtId="42" fontId="25" fillId="0" borderId="51" xfId="9" applyNumberFormat="1" applyFont="1" applyBorder="1"/>
    <xf numFmtId="42" fontId="25" fillId="0" borderId="1" xfId="9" applyNumberFormat="1" applyFont="1" applyBorder="1"/>
    <xf numFmtId="165"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42" fontId="0" fillId="0" borderId="1" xfId="3" applyFont="1" applyBorder="1"/>
    <xf numFmtId="42"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42"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42"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42" fontId="10" fillId="0" borderId="1" xfId="0" applyNumberFormat="1" applyFont="1" applyBorder="1" applyAlignment="1">
      <alignment horizontal="center" vertical="center" wrapText="1"/>
    </xf>
    <xf numFmtId="0" fontId="9" fillId="0" borderId="1" xfId="0" applyFont="1" applyBorder="1"/>
    <xf numFmtId="42" fontId="0" fillId="0" borderId="1" xfId="3" applyFont="1" applyFill="1" applyBorder="1" applyAlignment="1">
      <alignment horizontal="center" vertical="center"/>
    </xf>
    <xf numFmtId="0" fontId="9" fillId="0" borderId="1" xfId="0" applyFont="1" applyBorder="1" applyAlignment="1">
      <alignment wrapText="1"/>
    </xf>
    <xf numFmtId="42" fontId="10" fillId="0" borderId="1" xfId="3" applyFont="1" applyFill="1" applyBorder="1" applyAlignment="1">
      <alignment vertical="center" wrapText="1"/>
    </xf>
    <xf numFmtId="0" fontId="21" fillId="0" borderId="1" xfId="0" applyFont="1" applyBorder="1" applyAlignment="1">
      <alignment wrapText="1"/>
    </xf>
    <xf numFmtId="42" fontId="10" fillId="0" borderId="1" xfId="3" applyFont="1" applyFill="1" applyBorder="1" applyAlignment="1">
      <alignment vertical="center"/>
    </xf>
    <xf numFmtId="42" fontId="10" fillId="0" borderId="1" xfId="3" applyFont="1" applyFill="1" applyBorder="1" applyAlignment="1">
      <alignment horizontal="right" vertical="center"/>
    </xf>
    <xf numFmtId="42" fontId="10" fillId="0" borderId="24" xfId="0" applyNumberFormat="1" applyFont="1" applyBorder="1" applyAlignment="1">
      <alignment horizontal="center" vertical="center" wrapText="1"/>
    </xf>
    <xf numFmtId="0" fontId="9" fillId="0" borderId="24" xfId="0" applyFont="1" applyBorder="1"/>
    <xf numFmtId="42"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42"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42"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42" fontId="9" fillId="0" borderId="1" xfId="3" applyFont="1" applyFill="1" applyBorder="1" applyAlignment="1">
      <alignment vertical="center"/>
    </xf>
    <xf numFmtId="0" fontId="14" fillId="0" borderId="1" xfId="0" applyFont="1" applyBorder="1" applyAlignment="1">
      <alignment vertical="center" wrapText="1"/>
    </xf>
    <xf numFmtId="42" fontId="15" fillId="0" borderId="1" xfId="0" applyNumberFormat="1" applyFont="1" applyBorder="1" applyAlignment="1">
      <alignment horizontal="center" vertical="center" wrapText="1"/>
    </xf>
    <xf numFmtId="42"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42" fontId="10" fillId="0" borderId="1" xfId="3" applyFont="1" applyFill="1" applyBorder="1" applyAlignment="1">
      <alignment horizontal="center" vertical="center"/>
    </xf>
    <xf numFmtId="42"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42"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42"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42"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42" fontId="37" fillId="0" borderId="8" xfId="3" applyFont="1" applyBorder="1" applyAlignment="1">
      <alignment horizontal="right"/>
    </xf>
    <xf numFmtId="3" fontId="37" fillId="0" borderId="8" xfId="0" applyNumberFormat="1" applyFont="1" applyBorder="1" applyAlignment="1">
      <alignment horizontal="right" vertical="top"/>
    </xf>
    <xf numFmtId="42" fontId="37" fillId="0" borderId="8" xfId="3" applyFont="1" applyFill="1" applyBorder="1"/>
    <xf numFmtId="42" fontId="37" fillId="2" borderId="8" xfId="3" applyFont="1" applyFill="1" applyBorder="1"/>
    <xf numFmtId="42" fontId="5" fillId="0" borderId="8" xfId="3" applyFont="1" applyBorder="1"/>
    <xf numFmtId="42" fontId="37" fillId="0" borderId="29" xfId="3" applyFont="1" applyBorder="1" applyAlignment="1">
      <alignment horizontal="right"/>
    </xf>
    <xf numFmtId="172" fontId="18" fillId="24" borderId="1" xfId="3" applyNumberFormat="1" applyFont="1" applyFill="1" applyBorder="1"/>
    <xf numFmtId="172" fontId="18" fillId="0" borderId="1" xfId="3" applyNumberFormat="1" applyFont="1" applyBorder="1"/>
    <xf numFmtId="172" fontId="37" fillId="0" borderId="1" xfId="3" applyNumberFormat="1" applyFont="1" applyBorder="1"/>
    <xf numFmtId="172" fontId="37" fillId="0" borderId="1" xfId="3" applyNumberFormat="1" applyFont="1" applyFill="1" applyBorder="1"/>
    <xf numFmtId="172" fontId="5" fillId="0" borderId="1" xfId="3" applyNumberFormat="1" applyFont="1" applyBorder="1"/>
    <xf numFmtId="172" fontId="37" fillId="0" borderId="13" xfId="3" applyNumberFormat="1" applyFont="1" applyBorder="1"/>
    <xf numFmtId="172" fontId="18" fillId="8" borderId="1" xfId="3" applyNumberFormat="1" applyFont="1" applyFill="1" applyBorder="1" applyAlignment="1">
      <alignment horizontal="center"/>
    </xf>
    <xf numFmtId="172" fontId="37" fillId="0" borderId="1" xfId="3" applyNumberFormat="1" applyFont="1" applyBorder="1" applyAlignment="1">
      <alignment horizontal="right"/>
    </xf>
    <xf numFmtId="172" fontId="37" fillId="0" borderId="1" xfId="3" applyNumberFormat="1" applyFont="1" applyFill="1" applyBorder="1" applyAlignment="1">
      <alignment horizontal="right"/>
    </xf>
    <xf numFmtId="172" fontId="18" fillId="23" borderId="1" xfId="3" applyNumberFormat="1" applyFont="1" applyFill="1" applyBorder="1"/>
    <xf numFmtId="172" fontId="40" fillId="23" borderId="1" xfId="3" applyNumberFormat="1" applyFont="1" applyFill="1" applyBorder="1"/>
    <xf numFmtId="172" fontId="37" fillId="0" borderId="13" xfId="3" applyNumberFormat="1" applyFont="1" applyFill="1" applyBorder="1"/>
    <xf numFmtId="172" fontId="5" fillId="0" borderId="1" xfId="3" applyNumberFormat="1" applyFont="1" applyFill="1" applyBorder="1"/>
    <xf numFmtId="172" fontId="18" fillId="21" borderId="1" xfId="3" applyNumberFormat="1" applyFont="1" applyFill="1" applyBorder="1"/>
    <xf numFmtId="172" fontId="37" fillId="21" borderId="1" xfId="3" applyNumberFormat="1" applyFont="1" applyFill="1" applyBorder="1"/>
    <xf numFmtId="172" fontId="37" fillId="21" borderId="1" xfId="3" applyNumberFormat="1" applyFont="1" applyFill="1" applyBorder="1" applyProtection="1">
      <protection locked="0"/>
    </xf>
    <xf numFmtId="172" fontId="5" fillId="21" borderId="1" xfId="3" applyNumberFormat="1" applyFont="1" applyFill="1" applyBorder="1"/>
    <xf numFmtId="172" fontId="37" fillId="21" borderId="1" xfId="0" applyNumberFormat="1" applyFont="1" applyFill="1" applyBorder="1"/>
    <xf numFmtId="172" fontId="37" fillId="21" borderId="13" xfId="3" applyNumberFormat="1" applyFont="1" applyFill="1" applyBorder="1"/>
    <xf numFmtId="172" fontId="5" fillId="21" borderId="13" xfId="3" applyNumberFormat="1" applyFont="1" applyFill="1" applyBorder="1"/>
    <xf numFmtId="172" fontId="18" fillId="22" borderId="1" xfId="3" applyNumberFormat="1" applyFont="1" applyFill="1" applyBorder="1"/>
    <xf numFmtId="172" fontId="5" fillId="0" borderId="13" xfId="3" applyNumberFormat="1" applyFont="1" applyBorder="1"/>
    <xf numFmtId="172" fontId="5" fillId="0" borderId="13" xfId="3" applyNumberFormat="1" applyFont="1" applyFill="1" applyBorder="1"/>
    <xf numFmtId="172"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42"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42" fontId="9" fillId="0" borderId="24" xfId="3" applyFont="1" applyFill="1" applyBorder="1" applyAlignment="1">
      <alignment horizontal="center" vertical="center"/>
    </xf>
    <xf numFmtId="42"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42"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2" fontId="37" fillId="0" borderId="0" xfId="0" applyNumberFormat="1" applyFont="1" applyAlignment="1">
      <alignment horizontal="right" vertical="top"/>
    </xf>
    <xf numFmtId="0" fontId="1" fillId="0" borderId="1" xfId="0" applyFont="1" applyBorder="1"/>
    <xf numFmtId="42" fontId="0" fillId="0" borderId="0" xfId="3" applyFont="1" applyFill="1" applyAlignment="1">
      <alignment horizontal="center" vertical="center"/>
    </xf>
    <xf numFmtId="42" fontId="0" fillId="0" borderId="0" xfId="3" applyFont="1" applyFill="1" applyAlignment="1"/>
    <xf numFmtId="172" fontId="37" fillId="0" borderId="1" xfId="0" applyNumberFormat="1" applyFont="1" applyBorder="1" applyAlignment="1">
      <alignment horizontal="right" vertical="top"/>
    </xf>
    <xf numFmtId="172" fontId="37" fillId="0" borderId="13" xfId="3" applyNumberFormat="1" applyFont="1" applyFill="1" applyBorder="1" applyAlignment="1">
      <alignment horizontal="right"/>
    </xf>
    <xf numFmtId="0" fontId="1" fillId="21" borderId="1" xfId="3" applyNumberFormat="1" applyFont="1" applyFill="1" applyBorder="1"/>
    <xf numFmtId="172"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2"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2" fontId="43" fillId="0" borderId="1" xfId="3" applyNumberFormat="1" applyFont="1" applyFill="1" applyBorder="1"/>
    <xf numFmtId="172" fontId="43" fillId="0" borderId="1" xfId="0" applyNumberFormat="1" applyFont="1" applyBorder="1"/>
    <xf numFmtId="0" fontId="43" fillId="0" borderId="8" xfId="0" applyFont="1" applyBorder="1"/>
    <xf numFmtId="0" fontId="43" fillId="0" borderId="1" xfId="0" applyFont="1" applyBorder="1" applyAlignment="1">
      <alignment horizontal="center"/>
    </xf>
    <xf numFmtId="172" fontId="43" fillId="0" borderId="1" xfId="3" applyNumberFormat="1" applyFont="1" applyBorder="1"/>
    <xf numFmtId="172" fontId="5" fillId="0" borderId="1" xfId="0" applyNumberFormat="1" applyFont="1" applyBorder="1"/>
    <xf numFmtId="0" fontId="5" fillId="0" borderId="8" xfId="0" applyFont="1" applyBorder="1"/>
    <xf numFmtId="42" fontId="9" fillId="0" borderId="1" xfId="3" applyFont="1" applyFill="1" applyBorder="1" applyAlignment="1">
      <alignment horizontal="center" vertical="center" wrapText="1"/>
    </xf>
    <xf numFmtId="0" fontId="18" fillId="8" borderId="1" xfId="0" applyFont="1" applyFill="1" applyBorder="1" applyAlignment="1">
      <alignment horizontal="center"/>
    </xf>
    <xf numFmtId="42"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2"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2" fontId="0" fillId="0" borderId="13" xfId="3" applyNumberFormat="1" applyFont="1" applyBorder="1"/>
    <xf numFmtId="14" fontId="0" fillId="0" borderId="1" xfId="0" applyNumberFormat="1" applyBorder="1" applyAlignment="1">
      <alignment horizontal="center"/>
    </xf>
    <xf numFmtId="172" fontId="0" fillId="0" borderId="1" xfId="3" applyNumberFormat="1" applyFont="1" applyBorder="1" applyAlignment="1">
      <alignment horizontal="right"/>
    </xf>
    <xf numFmtId="42" fontId="0" fillId="0" borderId="1" xfId="0" applyNumberFormat="1" applyBorder="1"/>
    <xf numFmtId="172" fontId="0" fillId="0" borderId="1" xfId="3" applyNumberFormat="1" applyFont="1" applyBorder="1"/>
    <xf numFmtId="0" fontId="0" fillId="21" borderId="1" xfId="0" applyFill="1" applyBorder="1"/>
    <xf numFmtId="172" fontId="0" fillId="21" borderId="1" xfId="3" applyNumberFormat="1" applyFont="1" applyFill="1" applyBorder="1"/>
    <xf numFmtId="1" fontId="0" fillId="0" borderId="1" xfId="0" applyNumberFormat="1" applyBorder="1"/>
    <xf numFmtId="14" fontId="0" fillId="0" borderId="1" xfId="0" applyNumberFormat="1" applyBorder="1"/>
    <xf numFmtId="172" fontId="0" fillId="0" borderId="1" xfId="3" applyNumberFormat="1" applyFont="1" applyFill="1" applyBorder="1"/>
    <xf numFmtId="172"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2" fontId="0" fillId="0" borderId="1" xfId="3" applyNumberFormat="1" applyFont="1" applyFill="1" applyBorder="1" applyAlignment="1">
      <alignment horizontal="right"/>
    </xf>
    <xf numFmtId="172"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2" fontId="0" fillId="21" borderId="1" xfId="3" applyNumberFormat="1" applyFont="1" applyFill="1" applyBorder="1" applyProtection="1">
      <protection locked="0"/>
    </xf>
    <xf numFmtId="172"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2"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42"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2"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2"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2" fontId="0" fillId="0" borderId="1" xfId="0" applyNumberFormat="1" applyBorder="1"/>
    <xf numFmtId="0" fontId="0" fillId="0" borderId="8" xfId="0" applyBorder="1"/>
    <xf numFmtId="0" fontId="0" fillId="0" borderId="1" xfId="0" applyBorder="1" applyAlignment="1">
      <alignment horizontal="right"/>
    </xf>
    <xf numFmtId="42" fontId="0" fillId="0" borderId="8" xfId="0" applyNumberFormat="1" applyBorder="1"/>
    <xf numFmtId="172" fontId="0" fillId="21" borderId="1" xfId="3" applyNumberFormat="1" applyFont="1" applyFill="1" applyBorder="1" applyAlignment="1">
      <alignment horizontal="right"/>
    </xf>
    <xf numFmtId="42"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42"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42"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42"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42"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42"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42"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42"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164"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164"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164" fontId="65" fillId="0" borderId="1" xfId="0" applyNumberFormat="1" applyFont="1" applyBorder="1" applyAlignment="1">
      <alignment horizontal="left" vertical="center"/>
    </xf>
    <xf numFmtId="42"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164"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164" fontId="65" fillId="0" borderId="1" xfId="0" applyNumberFormat="1" applyFont="1" applyBorder="1" applyAlignment="1">
      <alignment vertical="top" wrapText="1"/>
    </xf>
    <xf numFmtId="0" fontId="25" fillId="0" borderId="1" xfId="0" applyFont="1" applyBorder="1" applyAlignment="1">
      <alignment horizontal="left" wrapText="1"/>
    </xf>
    <xf numFmtId="164"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164"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42" fontId="9" fillId="0" borderId="7" xfId="0" applyNumberFormat="1" applyFont="1" applyBorder="1" applyAlignment="1">
      <alignment horizontal="center" vertical="center"/>
    </xf>
    <xf numFmtId="42"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6" fontId="6" fillId="2" borderId="1" xfId="0" applyNumberFormat="1" applyFont="1" applyFill="1" applyBorder="1" applyAlignment="1">
      <alignment horizontal="left" vertical="center" wrapText="1"/>
    </xf>
    <xf numFmtId="42" fontId="5" fillId="2" borderId="0" xfId="0" applyNumberFormat="1" applyFont="1" applyFill="1" applyAlignment="1">
      <alignment horizontal="center" vertical="center" wrapText="1"/>
    </xf>
    <xf numFmtId="42" fontId="9" fillId="10" borderId="1" xfId="3" applyFont="1" applyFill="1" applyBorder="1" applyAlignment="1">
      <alignment horizontal="center" vertical="center"/>
    </xf>
    <xf numFmtId="42" fontId="23" fillId="10" borderId="1" xfId="3" applyFont="1" applyFill="1" applyBorder="1" applyAlignment="1">
      <alignment horizontal="center" vertical="center"/>
    </xf>
    <xf numFmtId="0" fontId="9" fillId="10" borderId="1" xfId="0" applyFont="1" applyFill="1" applyBorder="1"/>
    <xf numFmtId="42"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2" fontId="37" fillId="26" borderId="1" xfId="3" applyNumberFormat="1" applyFont="1" applyFill="1" applyBorder="1"/>
    <xf numFmtId="42"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42"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42" fontId="19" fillId="0" borderId="1" xfId="3" applyFont="1" applyFill="1" applyBorder="1" applyAlignment="1">
      <alignment horizontal="center" vertical="center"/>
    </xf>
    <xf numFmtId="42" fontId="18" fillId="21" borderId="1" xfId="3" applyFont="1" applyFill="1" applyBorder="1"/>
    <xf numFmtId="0" fontId="0" fillId="7" borderId="1" xfId="0" applyFill="1" applyBorder="1" applyAlignment="1">
      <alignment vertical="top"/>
    </xf>
    <xf numFmtId="172" fontId="0" fillId="7" borderId="1" xfId="3" applyNumberFormat="1" applyFont="1" applyFill="1" applyBorder="1" applyAlignment="1">
      <alignment horizontal="right"/>
    </xf>
    <xf numFmtId="3" fontId="0" fillId="0" borderId="1" xfId="0" applyNumberFormat="1" applyBorder="1" applyAlignment="1">
      <alignment horizontal="right" vertical="top"/>
    </xf>
    <xf numFmtId="172"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2" fontId="0" fillId="7" borderId="1" xfId="3" applyNumberFormat="1" applyFont="1" applyFill="1" applyBorder="1" applyAlignment="1">
      <alignment horizontal="right" vertical="top"/>
    </xf>
    <xf numFmtId="172" fontId="37" fillId="0" borderId="1" xfId="3" applyNumberFormat="1" applyFont="1" applyBorder="1" applyAlignment="1">
      <alignment horizontal="right" vertical="top"/>
    </xf>
    <xf numFmtId="172" fontId="37" fillId="21" borderId="1" xfId="3" applyNumberFormat="1" applyFont="1" applyFill="1" applyBorder="1" applyAlignment="1">
      <alignment horizontal="right"/>
    </xf>
    <xf numFmtId="42" fontId="18" fillId="0" borderId="1" xfId="3" applyFont="1" applyBorder="1"/>
    <xf numFmtId="0" fontId="23" fillId="0" borderId="1" xfId="0" applyFont="1" applyBorder="1"/>
    <xf numFmtId="42" fontId="5" fillId="0" borderId="1" xfId="3" applyFont="1" applyFill="1" applyBorder="1" applyAlignment="1">
      <alignment horizontal="center" vertical="center"/>
    </xf>
    <xf numFmtId="42" fontId="9" fillId="0" borderId="1" xfId="3" applyFont="1" applyFill="1" applyBorder="1" applyAlignment="1">
      <alignment vertical="center" wrapText="1"/>
    </xf>
    <xf numFmtId="42" fontId="23" fillId="0" borderId="7" xfId="3" applyFont="1" applyFill="1" applyBorder="1" applyAlignment="1">
      <alignment horizontal="center" vertical="center"/>
    </xf>
    <xf numFmtId="42" fontId="9" fillId="0" borderId="1" xfId="0" applyNumberFormat="1" applyFont="1" applyBorder="1" applyAlignment="1">
      <alignment horizontal="center" vertical="center"/>
    </xf>
    <xf numFmtId="42" fontId="23" fillId="0" borderId="1" xfId="0" applyNumberFormat="1" applyFont="1" applyBorder="1" applyAlignment="1">
      <alignment vertical="center"/>
    </xf>
    <xf numFmtId="0" fontId="10" fillId="3" borderId="10" xfId="0" applyFont="1" applyFill="1" applyBorder="1" applyAlignment="1">
      <alignment vertical="center" wrapText="1"/>
    </xf>
    <xf numFmtId="42" fontId="9" fillId="10" borderId="1" xfId="0" applyNumberFormat="1" applyFont="1" applyFill="1" applyBorder="1" applyAlignment="1">
      <alignment vertical="center"/>
    </xf>
    <xf numFmtId="42" fontId="9" fillId="2" borderId="1" xfId="3" applyFont="1" applyFill="1" applyBorder="1" applyAlignment="1">
      <alignment horizontal="center" vertical="center"/>
    </xf>
    <xf numFmtId="42"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42" fontId="10" fillId="28" borderId="1" xfId="0" applyNumberFormat="1" applyFont="1" applyFill="1" applyBorder="1" applyAlignment="1">
      <alignment horizontal="center" vertical="center" wrapText="1"/>
    </xf>
    <xf numFmtId="42"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42"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42"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42"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42" fontId="7" fillId="8" borderId="32" xfId="3" applyFont="1" applyFill="1" applyBorder="1" applyAlignment="1">
      <alignment horizontal="center" vertical="center" wrapText="1"/>
    </xf>
    <xf numFmtId="42"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42"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42"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42" fontId="0" fillId="2" borderId="1" xfId="3" applyFont="1" applyFill="1" applyBorder="1" applyAlignment="1">
      <alignment vertical="center"/>
    </xf>
    <xf numFmtId="42"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1" fontId="0" fillId="0" borderId="0" xfId="16" applyNumberFormat="1" applyFont="1" applyFill="1" applyProtection="1">
      <protection locked="0"/>
    </xf>
    <xf numFmtId="171" fontId="0" fillId="0" borderId="0" xfId="16" applyNumberFormat="1" applyFont="1" applyProtection="1">
      <protection locked="0"/>
    </xf>
    <xf numFmtId="49" fontId="33" fillId="0" borderId="0" xfId="8" applyFill="1" applyProtection="1">
      <alignment horizontal="left" vertical="center"/>
      <protection locked="0"/>
    </xf>
    <xf numFmtId="173"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7"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8"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42" fontId="9" fillId="0" borderId="1" xfId="3" applyFont="1" applyBorder="1" applyAlignment="1">
      <alignment vertical="center"/>
    </xf>
    <xf numFmtId="42"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6"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42"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42"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42"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42"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42" fontId="84" fillId="0" borderId="41" xfId="3" applyFont="1" applyBorder="1" applyAlignment="1">
      <alignment horizontal="center" vertical="center"/>
    </xf>
    <xf numFmtId="0" fontId="84" fillId="2" borderId="1" xfId="0" applyFont="1" applyFill="1" applyBorder="1" applyAlignment="1">
      <alignment vertical="center" wrapText="1"/>
    </xf>
    <xf numFmtId="42"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42" fontId="84" fillId="0" borderId="15" xfId="3" applyFont="1" applyBorder="1" applyAlignment="1">
      <alignment horizontal="center" vertical="center"/>
    </xf>
    <xf numFmtId="0" fontId="85" fillId="2" borderId="19" xfId="0" applyFont="1" applyFill="1" applyBorder="1" applyAlignment="1">
      <alignment vertical="center" wrapText="1"/>
    </xf>
    <xf numFmtId="42"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42"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42" fontId="7" fillId="0" borderId="38" xfId="3" applyFont="1" applyFill="1" applyBorder="1" applyAlignment="1">
      <alignment horizontal="center" vertical="center" wrapText="1"/>
    </xf>
    <xf numFmtId="42" fontId="88" fillId="2" borderId="20" xfId="3" applyFont="1" applyFill="1" applyBorder="1" applyAlignment="1">
      <alignment horizontal="center" vertical="center"/>
    </xf>
    <xf numFmtId="42" fontId="84" fillId="0" borderId="40" xfId="3" applyFont="1" applyBorder="1" applyAlignment="1">
      <alignment horizontal="center" vertical="center"/>
    </xf>
    <xf numFmtId="42" fontId="85" fillId="0" borderId="23" xfId="3" applyFont="1" applyBorder="1" applyAlignment="1">
      <alignment horizontal="center" vertical="center"/>
    </xf>
    <xf numFmtId="42"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42" fontId="84" fillId="0" borderId="66" xfId="3" applyFont="1" applyBorder="1" applyAlignment="1">
      <alignment horizontal="center" vertical="center"/>
    </xf>
    <xf numFmtId="42" fontId="84" fillId="0" borderId="52" xfId="3" applyFont="1" applyBorder="1" applyAlignment="1">
      <alignment horizontal="center" vertical="center"/>
    </xf>
    <xf numFmtId="42"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42"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42"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42"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42" fontId="85" fillId="2" borderId="65" xfId="3" applyFont="1" applyFill="1" applyBorder="1" applyAlignment="1">
      <alignment horizontal="center" vertical="center"/>
    </xf>
    <xf numFmtId="42" fontId="84" fillId="0" borderId="49" xfId="3" applyFont="1" applyBorder="1" applyAlignment="1">
      <alignment horizontal="center" vertical="center"/>
    </xf>
    <xf numFmtId="42" fontId="84" fillId="0" borderId="8" xfId="3" applyFont="1" applyBorder="1" applyAlignment="1">
      <alignment horizontal="center" vertical="center"/>
    </xf>
    <xf numFmtId="42" fontId="85" fillId="0" borderId="65" xfId="3" applyFont="1" applyBorder="1" applyAlignment="1">
      <alignment horizontal="center" vertical="center"/>
    </xf>
    <xf numFmtId="0" fontId="84" fillId="0" borderId="0" xfId="0" applyFont="1" applyAlignment="1">
      <alignment horizontal="left" vertical="center" wrapText="1"/>
    </xf>
    <xf numFmtId="42" fontId="84" fillId="0" borderId="0" xfId="3" applyFont="1" applyBorder="1" applyAlignment="1">
      <alignment horizontal="center" vertic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4"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4"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4"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4" fontId="91" fillId="0" borderId="1" xfId="0" applyNumberFormat="1" applyFont="1" applyBorder="1" applyAlignment="1">
      <alignment horizontal="center" vertical="center"/>
    </xf>
    <xf numFmtId="0" fontId="25" fillId="0" borderId="0" xfId="0" applyFont="1" applyAlignment="1">
      <alignment wrapText="1"/>
    </xf>
    <xf numFmtId="174" fontId="25" fillId="0" borderId="0" xfId="0" applyNumberFormat="1" applyFont="1"/>
    <xf numFmtId="37" fontId="94" fillId="0" borderId="0" xfId="0" applyNumberFormat="1" applyFont="1" applyAlignment="1">
      <alignment horizontal="right" vertical="center" wrapText="1"/>
    </xf>
    <xf numFmtId="37" fontId="94" fillId="0" borderId="0" xfId="0" applyNumberFormat="1" applyFont="1" applyAlignment="1">
      <alignment vertical="center" wrapText="1"/>
    </xf>
    <xf numFmtId="37"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37" fontId="95" fillId="0" borderId="0" xfId="0" applyNumberFormat="1" applyFont="1" applyAlignment="1">
      <alignment vertical="center"/>
    </xf>
    <xf numFmtId="37" fontId="95" fillId="0" borderId="0" xfId="0" applyNumberFormat="1" applyFont="1" applyAlignment="1">
      <alignment vertical="center" wrapText="1"/>
    </xf>
    <xf numFmtId="15" fontId="94" fillId="0" borderId="0" xfId="0" applyNumberFormat="1" applyFont="1" applyAlignment="1">
      <alignment vertical="center" wrapText="1"/>
    </xf>
    <xf numFmtId="0" fontId="94" fillId="0" borderId="0" xfId="0" applyFont="1" applyAlignment="1">
      <alignment vertical="center"/>
    </xf>
    <xf numFmtId="15" fontId="94" fillId="0" borderId="0" xfId="0" applyNumberFormat="1"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4" fillId="0" borderId="0" xfId="0" applyFont="1" applyAlignment="1">
      <alignment horizontal="right" vertical="center" wrapText="1"/>
    </xf>
    <xf numFmtId="176" fontId="94" fillId="0" borderId="0" xfId="4" applyNumberFormat="1" applyFont="1" applyFill="1" applyBorder="1" applyAlignment="1">
      <alignment horizontal="center" vertical="center" wrapText="1"/>
    </xf>
    <xf numFmtId="175" fontId="94" fillId="0" borderId="0" xfId="16" applyNumberFormat="1" applyFont="1" applyFill="1" applyBorder="1" applyAlignment="1">
      <alignment horizontal="center" vertical="center" wrapText="1"/>
    </xf>
    <xf numFmtId="175" fontId="94" fillId="0" borderId="0" xfId="0" applyNumberFormat="1" applyFont="1" applyAlignment="1">
      <alignment vertical="center" wrapText="1"/>
    </xf>
    <xf numFmtId="0" fontId="95" fillId="34" borderId="7" xfId="4" applyNumberFormat="1" applyFont="1" applyFill="1" applyBorder="1" applyAlignment="1">
      <alignment horizontal="center" vertical="center" wrapText="1"/>
    </xf>
    <xf numFmtId="0" fontId="97" fillId="34" borderId="7" xfId="4" applyNumberFormat="1" applyFont="1" applyFill="1" applyBorder="1" applyAlignment="1">
      <alignment horizontal="center" vertical="center"/>
    </xf>
    <xf numFmtId="0" fontId="97" fillId="34" borderId="7" xfId="4" applyNumberFormat="1" applyFont="1" applyFill="1" applyBorder="1" applyAlignment="1">
      <alignment horizontal="center" vertical="center" wrapText="1"/>
    </xf>
    <xf numFmtId="0" fontId="95" fillId="34" borderId="12" xfId="4" applyNumberFormat="1" applyFont="1" applyFill="1" applyBorder="1" applyAlignment="1">
      <alignment horizontal="center" vertical="center" wrapText="1"/>
    </xf>
    <xf numFmtId="0" fontId="95" fillId="35" borderId="69" xfId="0" applyFont="1" applyFill="1" applyBorder="1" applyAlignment="1">
      <alignment vertical="center" wrapText="1"/>
    </xf>
    <xf numFmtId="0" fontId="95" fillId="0" borderId="0" xfId="0" applyFont="1" applyAlignment="1">
      <alignment horizontal="center" vertical="center" wrapText="1"/>
    </xf>
    <xf numFmtId="0" fontId="94" fillId="0" borderId="1" xfId="4" applyNumberFormat="1" applyFont="1" applyFill="1" applyBorder="1" applyAlignment="1">
      <alignment horizontal="center" vertical="center" wrapText="1"/>
    </xf>
    <xf numFmtId="0" fontId="94" fillId="0" borderId="1" xfId="0" applyFont="1" applyBorder="1" applyAlignment="1">
      <alignment vertical="center" wrapText="1"/>
    </xf>
    <xf numFmtId="0" fontId="94" fillId="0" borderId="1" xfId="15" applyFont="1" applyBorder="1" applyAlignment="1">
      <alignment horizontal="center" vertical="center"/>
    </xf>
    <xf numFmtId="0" fontId="94" fillId="0" borderId="1" xfId="0" applyFont="1" applyBorder="1" applyAlignment="1">
      <alignment horizontal="justify" vertical="center"/>
    </xf>
    <xf numFmtId="0" fontId="94" fillId="0" borderId="1" xfId="0" applyFont="1" applyBorder="1" applyAlignment="1">
      <alignment horizontal="center" vertical="center" wrapText="1"/>
    </xf>
    <xf numFmtId="1" fontId="94" fillId="0" borderId="1" xfId="0" applyNumberFormat="1" applyFont="1" applyBorder="1" applyAlignment="1">
      <alignment horizontal="center" vertical="center" wrapText="1"/>
    </xf>
    <xf numFmtId="0" fontId="94" fillId="0" borderId="1" xfId="0" applyFont="1" applyBorder="1" applyAlignment="1">
      <alignment horizontal="left" vertical="center" wrapText="1"/>
    </xf>
    <xf numFmtId="175" fontId="94" fillId="0" borderId="1" xfId="16" applyNumberFormat="1" applyFont="1" applyFill="1" applyBorder="1" applyAlignment="1">
      <alignment horizontal="center" vertical="center" wrapText="1"/>
    </xf>
    <xf numFmtId="0" fontId="94" fillId="0" borderId="1" xfId="15" applyFont="1" applyBorder="1" applyAlignment="1">
      <alignment horizontal="center" vertical="center" wrapText="1"/>
    </xf>
    <xf numFmtId="0" fontId="94" fillId="2" borderId="0" xfId="0" applyFont="1" applyFill="1" applyAlignment="1">
      <alignment vertical="center" wrapText="1"/>
    </xf>
    <xf numFmtId="0" fontId="94" fillId="16" borderId="1" xfId="4" applyNumberFormat="1" applyFont="1" applyFill="1" applyBorder="1" applyAlignment="1">
      <alignment horizontal="center" vertical="center" wrapText="1"/>
    </xf>
    <xf numFmtId="0" fontId="94" fillId="16" borderId="1" xfId="0" applyFont="1" applyFill="1" applyBorder="1" applyAlignment="1">
      <alignment vertical="center" wrapText="1"/>
    </xf>
    <xf numFmtId="0" fontId="94" fillId="16" borderId="1" xfId="15" applyFont="1" applyFill="1" applyBorder="1" applyAlignment="1">
      <alignment horizontal="center" vertical="center"/>
    </xf>
    <xf numFmtId="0" fontId="94" fillId="16" borderId="1" xfId="0" applyFont="1" applyFill="1" applyBorder="1" applyAlignment="1">
      <alignment horizontal="justify" vertical="center"/>
    </xf>
    <xf numFmtId="0" fontId="94" fillId="16" borderId="1" xfId="0" applyFont="1" applyFill="1" applyBorder="1" applyAlignment="1">
      <alignment horizontal="center" vertical="center" wrapText="1"/>
    </xf>
    <xf numFmtId="1" fontId="94" fillId="16" borderId="1" xfId="0" applyNumberFormat="1" applyFont="1" applyFill="1" applyBorder="1" applyAlignment="1">
      <alignment horizontal="center" vertical="center" wrapText="1"/>
    </xf>
    <xf numFmtId="0" fontId="94" fillId="16" borderId="1" xfId="0" applyFont="1" applyFill="1" applyBorder="1" applyAlignment="1">
      <alignment horizontal="left" vertical="center" wrapText="1"/>
    </xf>
    <xf numFmtId="175" fontId="94" fillId="16" borderId="1" xfId="16" applyNumberFormat="1" applyFont="1" applyFill="1" applyBorder="1" applyAlignment="1">
      <alignment horizontal="center" vertical="center" wrapText="1"/>
    </xf>
    <xf numFmtId="0" fontId="94" fillId="16" borderId="1" xfId="15" applyFont="1" applyFill="1" applyBorder="1" applyAlignment="1">
      <alignment horizontal="center" vertical="center" wrapText="1"/>
    </xf>
    <xf numFmtId="0" fontId="94" fillId="0" borderId="1" xfId="0" applyFont="1" applyBorder="1" applyAlignment="1">
      <alignment horizontal="center" vertical="center"/>
    </xf>
    <xf numFmtId="0" fontId="94" fillId="16" borderId="1" xfId="0" applyFont="1" applyFill="1" applyBorder="1" applyAlignment="1">
      <alignment horizontal="center" vertical="center"/>
    </xf>
    <xf numFmtId="0" fontId="94" fillId="6" borderId="0" xfId="0" applyFont="1" applyFill="1" applyAlignment="1">
      <alignment vertical="center" wrapText="1"/>
    </xf>
    <xf numFmtId="0" fontId="94" fillId="0" borderId="1" xfId="0" applyFont="1" applyBorder="1" applyAlignment="1">
      <alignment horizontal="left" vertical="center"/>
    </xf>
    <xf numFmtId="0" fontId="94" fillId="16" borderId="1" xfId="0" applyFont="1" applyFill="1" applyBorder="1" applyAlignment="1">
      <alignment horizontal="left" vertical="center"/>
    </xf>
    <xf numFmtId="0" fontId="94" fillId="0" borderId="1" xfId="0" applyFont="1" applyBorder="1" applyAlignment="1">
      <alignment horizontal="justify" vertical="center" wrapText="1"/>
    </xf>
    <xf numFmtId="0" fontId="94" fillId="0" borderId="1" xfId="15" applyFont="1" applyBorder="1" applyAlignment="1">
      <alignment horizontal="left" vertical="center" wrapText="1"/>
    </xf>
    <xf numFmtId="0" fontId="94" fillId="16" borderId="1" xfId="15" applyFont="1" applyFill="1" applyBorder="1" applyAlignment="1">
      <alignment vertical="center" wrapText="1"/>
    </xf>
    <xf numFmtId="0" fontId="94" fillId="16" borderId="1" xfId="4" applyNumberFormat="1" applyFont="1" applyFill="1" applyBorder="1" applyAlignment="1">
      <alignment horizontal="center" vertical="center"/>
    </xf>
    <xf numFmtId="14" fontId="94" fillId="16" borderId="1" xfId="0" applyNumberFormat="1" applyFont="1" applyFill="1" applyBorder="1" applyAlignment="1">
      <alignment horizontal="center" vertical="center" wrapText="1"/>
    </xf>
    <xf numFmtId="1" fontId="94" fillId="16" borderId="1" xfId="0" applyNumberFormat="1" applyFont="1" applyFill="1" applyBorder="1" applyAlignment="1">
      <alignment horizontal="left" vertical="center" wrapText="1"/>
    </xf>
    <xf numFmtId="0" fontId="94" fillId="16" borderId="1" xfId="7" applyNumberFormat="1" applyFont="1" applyFill="1" applyBorder="1" applyAlignment="1">
      <alignment horizontal="center" vertical="center" wrapText="1"/>
    </xf>
    <xf numFmtId="0" fontId="96" fillId="16" borderId="1" xfId="0" applyFont="1" applyFill="1" applyBorder="1" applyAlignment="1">
      <alignment horizontal="justify" vertical="center" wrapText="1"/>
    </xf>
    <xf numFmtId="0" fontId="94" fillId="0" borderId="1" xfId="15" applyFont="1" applyBorder="1" applyAlignment="1">
      <alignment vertical="center" wrapText="1"/>
    </xf>
    <xf numFmtId="0" fontId="94" fillId="0" borderId="1" xfId="4" applyNumberFormat="1" applyFont="1" applyFill="1" applyBorder="1" applyAlignment="1">
      <alignment horizontal="center" vertical="center"/>
    </xf>
    <xf numFmtId="14" fontId="94" fillId="0" borderId="1" xfId="0" applyNumberFormat="1" applyFont="1" applyBorder="1" applyAlignment="1">
      <alignment horizontal="center" vertical="center" wrapText="1"/>
    </xf>
    <xf numFmtId="1" fontId="94" fillId="0" borderId="1" xfId="0" applyNumberFormat="1" applyFont="1" applyBorder="1" applyAlignment="1">
      <alignment horizontal="left" vertical="center" wrapText="1"/>
    </xf>
    <xf numFmtId="0" fontId="94" fillId="0" borderId="1" xfId="7" applyNumberFormat="1" applyFont="1" applyFill="1" applyBorder="1" applyAlignment="1">
      <alignment horizontal="center" vertical="center" wrapText="1"/>
    </xf>
    <xf numFmtId="0" fontId="96" fillId="0" borderId="1" xfId="0" applyFont="1" applyBorder="1" applyAlignment="1">
      <alignment horizontal="justify" vertical="center" wrapText="1"/>
    </xf>
    <xf numFmtId="0" fontId="94" fillId="0" borderId="1" xfId="4" applyNumberFormat="1" applyFont="1" applyFill="1" applyBorder="1" applyAlignment="1">
      <alignment horizontal="left" vertical="center"/>
    </xf>
    <xf numFmtId="0" fontId="94" fillId="0" borderId="1" xfId="4" applyNumberFormat="1" applyFont="1" applyFill="1" applyBorder="1" applyAlignment="1">
      <alignment horizontal="justify" vertical="center"/>
    </xf>
    <xf numFmtId="0" fontId="96" fillId="16" borderId="1" xfId="0" applyFont="1" applyFill="1" applyBorder="1" applyAlignment="1">
      <alignment horizontal="justify" vertical="top"/>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top" wrapText="1"/>
    </xf>
    <xf numFmtId="0" fontId="96" fillId="16" borderId="1" xfId="0" applyFont="1" applyFill="1" applyBorder="1" applyAlignment="1">
      <alignment horizontal="justify" vertical="top" wrapText="1"/>
    </xf>
    <xf numFmtId="0" fontId="94" fillId="0" borderId="0" xfId="0" applyFont="1" applyAlignment="1">
      <alignment horizontal="left" vertical="center" wrapText="1"/>
    </xf>
    <xf numFmtId="0" fontId="96" fillId="0" borderId="1" xfId="0" applyFont="1" applyBorder="1" applyAlignment="1">
      <alignment horizontal="justify" vertical="top"/>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top" wrapText="1"/>
    </xf>
    <xf numFmtId="0" fontId="96" fillId="0" borderId="1" xfId="0" applyFont="1" applyBorder="1" applyAlignment="1">
      <alignment horizontal="justify" vertical="top" wrapText="1"/>
    </xf>
    <xf numFmtId="0" fontId="96" fillId="0" borderId="1" xfId="7" applyNumberFormat="1" applyFont="1" applyFill="1" applyBorder="1" applyAlignment="1">
      <alignment horizontal="center" vertical="center"/>
    </xf>
    <xf numFmtId="1" fontId="96" fillId="0" borderId="1" xfId="0" applyNumberFormat="1" applyFont="1" applyBorder="1" applyAlignment="1">
      <alignment horizontal="justify" vertical="center"/>
    </xf>
    <xf numFmtId="0" fontId="96" fillId="0" borderId="1" xfId="7" applyNumberFormat="1" applyFont="1" applyFill="1" applyBorder="1" applyAlignment="1">
      <alignment horizontal="center" vertical="center" wrapText="1"/>
    </xf>
    <xf numFmtId="0" fontId="96" fillId="0" borderId="1" xfId="0" applyFont="1" applyBorder="1" applyAlignment="1">
      <alignment horizontal="left" vertical="center" wrapText="1"/>
    </xf>
    <xf numFmtId="37" fontId="94" fillId="0" borderId="1" xfId="0" applyNumberFormat="1" applyFont="1" applyBorder="1" applyAlignment="1">
      <alignment vertical="center" wrapText="1"/>
    </xf>
    <xf numFmtId="177" fontId="94" fillId="0" borderId="1" xfId="0" applyNumberFormat="1" applyFont="1" applyBorder="1" applyAlignment="1">
      <alignment horizontal="left" vertical="center" wrapText="1"/>
    </xf>
    <xf numFmtId="0" fontId="96" fillId="16" borderId="1" xfId="0" applyFont="1" applyFill="1" applyBorder="1" applyAlignment="1">
      <alignment horizontal="justify" vertical="center"/>
    </xf>
    <xf numFmtId="178" fontId="96"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center" wrapText="1"/>
    </xf>
    <xf numFmtId="0" fontId="96" fillId="16" borderId="1" xfId="7" applyNumberFormat="1" applyFont="1" applyFill="1" applyBorder="1" applyAlignment="1">
      <alignment horizontal="center" vertical="center"/>
    </xf>
    <xf numFmtId="177" fontId="94" fillId="16" borderId="1" xfId="0" applyNumberFormat="1" applyFont="1" applyFill="1" applyBorder="1" applyAlignment="1">
      <alignment horizontal="left" vertical="center" wrapText="1"/>
    </xf>
    <xf numFmtId="0" fontId="94" fillId="16" borderId="1" xfId="0" applyFont="1" applyFill="1" applyBorder="1" applyAlignment="1">
      <alignment horizontal="left" vertical="top" wrapText="1"/>
    </xf>
    <xf numFmtId="0" fontId="96" fillId="0" borderId="1" xfId="0" applyFont="1" applyBorder="1" applyAlignment="1">
      <alignment horizontal="justify" vertical="center"/>
    </xf>
    <xf numFmtId="0" fontId="96" fillId="0" borderId="1" xfId="0" applyFont="1" applyBorder="1" applyAlignment="1">
      <alignment vertical="center" wrapText="1"/>
    </xf>
    <xf numFmtId="0" fontId="94" fillId="0" borderId="1" xfId="0" applyFont="1" applyBorder="1" applyAlignment="1">
      <alignment horizontal="left" vertical="top" wrapText="1"/>
    </xf>
    <xf numFmtId="175" fontId="94" fillId="0" borderId="1" xfId="16" applyNumberFormat="1" applyFont="1" applyBorder="1" applyAlignment="1">
      <alignment vertical="center" wrapText="1"/>
    </xf>
    <xf numFmtId="14" fontId="96" fillId="16" borderId="1" xfId="0" applyNumberFormat="1" applyFont="1" applyFill="1" applyBorder="1" applyAlignment="1">
      <alignment horizontal="center" vertical="center" wrapText="1"/>
    </xf>
    <xf numFmtId="177" fontId="96" fillId="16" borderId="1" xfId="0" applyNumberFormat="1" applyFont="1" applyFill="1" applyBorder="1" applyAlignment="1">
      <alignment horizontal="center" vertical="center" wrapText="1"/>
    </xf>
    <xf numFmtId="0" fontId="94" fillId="16" borderId="1" xfId="0" applyFont="1" applyFill="1" applyBorder="1" applyAlignment="1">
      <alignment horizontal="center" vertical="top" wrapText="1"/>
    </xf>
    <xf numFmtId="14" fontId="96" fillId="0" borderId="1" xfId="0" applyNumberFormat="1" applyFont="1" applyBorder="1" applyAlignment="1">
      <alignment horizontal="center" vertical="center" wrapText="1"/>
    </xf>
    <xf numFmtId="177" fontId="96" fillId="0" borderId="1" xfId="0" applyNumberFormat="1" applyFont="1" applyBorder="1" applyAlignment="1">
      <alignment horizontal="center" vertical="center" wrapText="1"/>
    </xf>
    <xf numFmtId="0" fontId="94" fillId="16" borderId="1" xfId="0" applyFont="1" applyFill="1" applyBorder="1" applyAlignment="1">
      <alignment horizontal="justify" vertical="center" wrapText="1"/>
    </xf>
    <xf numFmtId="0" fontId="94" fillId="0" borderId="1" xfId="0" applyFont="1" applyBorder="1" applyAlignment="1">
      <alignment horizontal="justify" vertical="top"/>
    </xf>
    <xf numFmtId="49" fontId="94" fillId="0" borderId="1" xfId="0" applyNumberFormat="1" applyFont="1" applyBorder="1" applyAlignment="1">
      <alignment horizontal="left" vertical="center" wrapText="1"/>
    </xf>
    <xf numFmtId="0" fontId="94" fillId="16" borderId="1" xfId="4" applyNumberFormat="1" applyFont="1" applyFill="1" applyBorder="1" applyAlignment="1">
      <alignment horizontal="left" vertical="center"/>
    </xf>
    <xf numFmtId="0" fontId="94" fillId="16" borderId="1" xfId="0" applyFont="1" applyFill="1" applyBorder="1" applyAlignment="1">
      <alignment horizontal="justify" vertical="top"/>
    </xf>
    <xf numFmtId="49" fontId="94" fillId="16" borderId="1" xfId="0" applyNumberFormat="1" applyFont="1" applyFill="1" applyBorder="1" applyAlignment="1">
      <alignment horizontal="left" vertical="center" wrapText="1"/>
    </xf>
    <xf numFmtId="0" fontId="94" fillId="0" borderId="1" xfId="7" applyNumberFormat="1" applyFont="1" applyFill="1" applyBorder="1" applyAlignment="1">
      <alignment horizontal="left" vertical="center"/>
    </xf>
    <xf numFmtId="37" fontId="94" fillId="0" borderId="1" xfId="0" applyNumberFormat="1" applyFont="1" applyBorder="1" applyAlignment="1">
      <alignment horizontal="left" vertical="center"/>
    </xf>
    <xf numFmtId="0" fontId="94" fillId="0" borderId="1" xfId="15" applyFont="1" applyBorder="1" applyAlignment="1">
      <alignment horizontal="left" vertical="center"/>
    </xf>
    <xf numFmtId="175" fontId="94" fillId="16" borderId="1" xfId="16" applyNumberFormat="1" applyFont="1" applyFill="1" applyBorder="1" applyAlignment="1">
      <alignment horizontal="left" vertical="center" wrapText="1"/>
    </xf>
    <xf numFmtId="175" fontId="94" fillId="0" borderId="1" xfId="16" applyNumberFormat="1" applyFont="1" applyFill="1" applyBorder="1" applyAlignment="1">
      <alignment horizontal="left" vertical="center" wrapText="1"/>
    </xf>
    <xf numFmtId="0" fontId="94" fillId="0" borderId="1" xfId="4" applyNumberFormat="1" applyFont="1" applyFill="1" applyBorder="1" applyAlignment="1">
      <alignment vertical="center"/>
    </xf>
    <xf numFmtId="0" fontId="94" fillId="0" borderId="1" xfId="7" applyNumberFormat="1" applyFont="1" applyFill="1" applyBorder="1" applyAlignment="1">
      <alignment horizontal="center" wrapText="1"/>
    </xf>
    <xf numFmtId="0" fontId="96" fillId="0" borderId="1" xfId="0" applyFont="1" applyBorder="1" applyAlignment="1">
      <alignment horizontal="center" vertical="center" wrapText="1"/>
    </xf>
    <xf numFmtId="49" fontId="94" fillId="0" borderId="1" xfId="0" applyNumberFormat="1" applyFont="1" applyBorder="1" applyAlignment="1">
      <alignment horizontal="center" vertical="center" wrapText="1"/>
    </xf>
    <xf numFmtId="0" fontId="96" fillId="16" borderId="1" xfId="0" applyFont="1" applyFill="1" applyBorder="1" applyAlignment="1">
      <alignment horizontal="center" vertical="center" wrapText="1"/>
    </xf>
    <xf numFmtId="0" fontId="96" fillId="0" borderId="1" xfId="0" applyFont="1" applyBorder="1" applyAlignment="1">
      <alignment horizontal="left" vertical="center"/>
    </xf>
    <xf numFmtId="43" fontId="96" fillId="0" borderId="1" xfId="4" applyFont="1" applyBorder="1" applyAlignment="1">
      <alignment horizontal="left" vertical="center" wrapText="1"/>
    </xf>
    <xf numFmtId="175" fontId="96" fillId="0" borderId="1" xfId="16" applyNumberFormat="1" applyFont="1" applyBorder="1" applyAlignment="1">
      <alignment horizontal="center" vertical="center" wrapText="1"/>
    </xf>
    <xf numFmtId="0" fontId="96" fillId="0" borderId="1" xfId="0" applyFont="1" applyBorder="1" applyAlignment="1">
      <alignment wrapText="1"/>
    </xf>
    <xf numFmtId="0" fontId="96" fillId="0" borderId="0" xfId="0" applyFont="1" applyAlignment="1">
      <alignment wrapText="1"/>
    </xf>
    <xf numFmtId="43" fontId="96" fillId="0" borderId="1" xfId="4" applyFont="1" applyFill="1" applyBorder="1" applyAlignment="1">
      <alignment horizontal="left" vertical="center" wrapText="1"/>
    </xf>
    <xf numFmtId="175" fontId="96" fillId="0" borderId="1" xfId="16" applyNumberFormat="1" applyFont="1" applyFill="1" applyBorder="1" applyAlignment="1">
      <alignment horizontal="center" vertical="center" wrapText="1"/>
    </xf>
    <xf numFmtId="0" fontId="96" fillId="2" borderId="0" xfId="0" applyFont="1" applyFill="1" applyAlignment="1">
      <alignment wrapText="1"/>
    </xf>
    <xf numFmtId="0" fontId="96" fillId="0" borderId="1" xfId="0" applyFont="1" applyBorder="1" applyAlignment="1">
      <alignment horizontal="center" vertical="center"/>
    </xf>
    <xf numFmtId="0" fontId="96" fillId="0" borderId="1" xfId="0" applyFont="1" applyBorder="1" applyAlignment="1">
      <alignment vertical="center"/>
    </xf>
    <xf numFmtId="43" fontId="96" fillId="0" borderId="1" xfId="4" applyFont="1" applyFill="1" applyBorder="1" applyAlignment="1">
      <alignment horizontal="center" vertical="center" wrapText="1"/>
    </xf>
    <xf numFmtId="0" fontId="25" fillId="0" borderId="0" xfId="0" applyFont="1" applyAlignment="1">
      <alignment vertical="center" wrapText="1"/>
    </xf>
    <xf numFmtId="0" fontId="96" fillId="16" borderId="1" xfId="4" applyNumberFormat="1" applyFont="1" applyFill="1" applyBorder="1" applyAlignment="1">
      <alignment horizontal="center" vertical="center" wrapText="1"/>
    </xf>
    <xf numFmtId="0" fontId="96" fillId="16" borderId="1" xfId="15" applyFont="1" applyFill="1" applyBorder="1" applyAlignment="1">
      <alignment vertical="center" wrapText="1"/>
    </xf>
    <xf numFmtId="177"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175" fontId="96" fillId="16" borderId="1" xfId="16" applyNumberFormat="1" applyFont="1" applyFill="1" applyBorder="1" applyAlignment="1">
      <alignment horizontal="center" vertical="center" wrapText="1"/>
    </xf>
    <xf numFmtId="37" fontId="96" fillId="16" borderId="1" xfId="0" applyNumberFormat="1" applyFont="1" applyFill="1" applyBorder="1" applyAlignment="1">
      <alignment vertical="center" wrapText="1"/>
    </xf>
    <xf numFmtId="0" fontId="96" fillId="16" borderId="1" xfId="0" applyFont="1" applyFill="1" applyBorder="1" applyAlignment="1">
      <alignment horizontal="center" wrapText="1"/>
    </xf>
    <xf numFmtId="1"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4" applyNumberFormat="1" applyFont="1" applyFill="1" applyBorder="1" applyAlignment="1">
      <alignment horizontal="left" vertical="center"/>
    </xf>
    <xf numFmtId="42" fontId="96" fillId="0" borderId="1" xfId="3" applyFont="1" applyFill="1" applyBorder="1" applyAlignment="1">
      <alignment horizontal="center" vertical="center" wrapText="1"/>
    </xf>
    <xf numFmtId="0" fontId="96"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6" fillId="0" borderId="0" xfId="0" applyFont="1" applyAlignment="1">
      <alignment vertical="center"/>
    </xf>
    <xf numFmtId="0" fontId="96" fillId="0" borderId="0" xfId="0" applyFont="1" applyAlignment="1">
      <alignment horizontal="center" wrapText="1"/>
    </xf>
    <xf numFmtId="175" fontId="96" fillId="0" borderId="0" xfId="16" applyNumberFormat="1" applyFont="1" applyFill="1" applyAlignment="1">
      <alignment wrapText="1"/>
    </xf>
    <xf numFmtId="3" fontId="96" fillId="0" borderId="0" xfId="0" applyNumberFormat="1" applyFont="1" applyAlignment="1">
      <alignment wrapText="1"/>
    </xf>
    <xf numFmtId="0" fontId="94" fillId="2" borderId="0" xfId="0" applyFont="1" applyFill="1" applyAlignment="1">
      <alignment horizontal="center" vertical="center" wrapText="1"/>
    </xf>
    <xf numFmtId="0" fontId="94" fillId="6" borderId="1" xfId="4" applyNumberFormat="1" applyFont="1" applyFill="1" applyBorder="1" applyAlignment="1">
      <alignment horizontal="center" vertical="center" wrapText="1"/>
    </xf>
    <xf numFmtId="0" fontId="94" fillId="6" borderId="1" xfId="0" applyFont="1" applyFill="1" applyBorder="1" applyAlignment="1">
      <alignment horizontal="left" vertical="center" wrapText="1"/>
    </xf>
    <xf numFmtId="0" fontId="94" fillId="6" borderId="1" xfId="0" applyFont="1" applyFill="1" applyBorder="1" applyAlignment="1">
      <alignment horizontal="center" vertical="center"/>
    </xf>
    <xf numFmtId="0" fontId="94" fillId="6" borderId="1" xfId="0" applyFont="1" applyFill="1" applyBorder="1" applyAlignment="1">
      <alignment horizontal="justify" vertical="center"/>
    </xf>
    <xf numFmtId="0" fontId="94" fillId="6" borderId="1" xfId="0" applyFont="1" applyFill="1" applyBorder="1" applyAlignment="1">
      <alignment horizontal="center" vertical="center" wrapText="1"/>
    </xf>
    <xf numFmtId="175" fontId="94" fillId="6" borderId="1" xfId="16" applyNumberFormat="1" applyFont="1" applyFill="1" applyBorder="1" applyAlignment="1">
      <alignment horizontal="center" vertical="center" wrapText="1"/>
    </xf>
    <xf numFmtId="0" fontId="94" fillId="6" borderId="1" xfId="15" applyFont="1" applyFill="1" applyBorder="1" applyAlignment="1">
      <alignment horizontal="center" vertical="center" wrapText="1"/>
    </xf>
    <xf numFmtId="0" fontId="94" fillId="6" borderId="1" xfId="0" applyFont="1" applyFill="1" applyBorder="1" applyAlignment="1">
      <alignment horizontal="left" vertical="center"/>
    </xf>
    <xf numFmtId="0" fontId="94" fillId="6" borderId="1" xfId="15" applyFont="1" applyFill="1" applyBorder="1" applyAlignment="1">
      <alignment vertical="center" wrapText="1"/>
    </xf>
    <xf numFmtId="0" fontId="94" fillId="6" borderId="1" xfId="4" applyNumberFormat="1" applyFont="1" applyFill="1" applyBorder="1" applyAlignment="1">
      <alignment horizontal="left" vertical="center"/>
    </xf>
    <xf numFmtId="14" fontId="94" fillId="6" borderId="1" xfId="0" applyNumberFormat="1" applyFont="1" applyFill="1" applyBorder="1" applyAlignment="1">
      <alignment horizontal="center" vertical="center" wrapText="1"/>
    </xf>
    <xf numFmtId="1" fontId="94" fillId="6" borderId="1" xfId="0" applyNumberFormat="1" applyFont="1" applyFill="1" applyBorder="1" applyAlignment="1">
      <alignment horizontal="left" vertical="center" wrapText="1"/>
    </xf>
    <xf numFmtId="0" fontId="94" fillId="6" borderId="1" xfId="7" applyNumberFormat="1" applyFont="1" applyFill="1" applyBorder="1" applyAlignment="1">
      <alignment horizontal="center" vertical="center" wrapText="1"/>
    </xf>
    <xf numFmtId="0" fontId="96" fillId="6" borderId="1" xfId="0" applyFont="1" applyFill="1" applyBorder="1" applyAlignment="1">
      <alignment horizontal="justify" vertical="center" wrapText="1"/>
    </xf>
    <xf numFmtId="0" fontId="94" fillId="6" borderId="1" xfId="4" applyNumberFormat="1" applyFont="1" applyFill="1" applyBorder="1" applyAlignment="1">
      <alignment horizontal="center" vertical="center"/>
    </xf>
    <xf numFmtId="0" fontId="96" fillId="6" borderId="1" xfId="0" applyFont="1" applyFill="1" applyBorder="1" applyAlignment="1">
      <alignment horizontal="justify"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center" vertical="center" wrapText="1"/>
    </xf>
    <xf numFmtId="0" fontId="94" fillId="6" borderId="1" xfId="0" applyFont="1" applyFill="1" applyBorder="1" applyAlignment="1">
      <alignment horizontal="left" vertical="top" wrapText="1"/>
    </xf>
    <xf numFmtId="0" fontId="96" fillId="6" borderId="1" xfId="0" applyFont="1" applyFill="1" applyBorder="1" applyAlignment="1">
      <alignment horizontal="justify" vertical="top" wrapText="1"/>
    </xf>
    <xf numFmtId="0" fontId="94" fillId="6" borderId="1" xfId="0" applyFont="1" applyFill="1" applyBorder="1" applyAlignment="1">
      <alignment horizontal="justify" vertical="center" wrapText="1"/>
    </xf>
    <xf numFmtId="0" fontId="94" fillId="6" borderId="1" xfId="0" applyFont="1" applyFill="1" applyBorder="1" applyAlignment="1">
      <alignment horizontal="justify" vertical="top"/>
    </xf>
    <xf numFmtId="49" fontId="94" fillId="6" borderId="1" xfId="0" applyNumberFormat="1" applyFont="1" applyFill="1" applyBorder="1" applyAlignment="1">
      <alignment horizontal="left" vertical="center" wrapText="1"/>
    </xf>
    <xf numFmtId="175" fontId="94" fillId="0" borderId="0" xfId="16" applyNumberFormat="1" applyFont="1" applyAlignment="1">
      <alignment horizontal="center" vertical="center" wrapText="1"/>
    </xf>
    <xf numFmtId="175" fontId="95" fillId="0" borderId="0" xfId="16" applyNumberFormat="1" applyFont="1" applyAlignment="1">
      <alignment horizontal="center" vertical="center" wrapText="1"/>
    </xf>
    <xf numFmtId="175" fontId="94" fillId="2" borderId="0" xfId="16" applyNumberFormat="1" applyFont="1" applyFill="1" applyAlignment="1">
      <alignment horizontal="center" vertical="center" wrapText="1"/>
    </xf>
    <xf numFmtId="175" fontId="96" fillId="0" borderId="0" xfId="16" applyNumberFormat="1" applyFont="1" applyAlignment="1">
      <alignment horizontal="center" wrapText="1"/>
    </xf>
    <xf numFmtId="37" fontId="100" fillId="0" borderId="0" xfId="0" applyNumberFormat="1" applyFont="1" applyAlignment="1">
      <alignment vertical="center" wrapText="1"/>
    </xf>
    <xf numFmtId="0" fontId="101" fillId="0" borderId="0" xfId="0" applyFont="1" applyAlignment="1">
      <alignment vertical="center" wrapText="1"/>
    </xf>
    <xf numFmtId="0" fontId="101" fillId="0" borderId="0" xfId="0" applyFont="1" applyAlignment="1">
      <alignment horizontal="center" vertical="center" wrapText="1"/>
    </xf>
    <xf numFmtId="15" fontId="101" fillId="0" borderId="0" xfId="0" applyNumberFormat="1" applyFont="1" applyAlignment="1">
      <alignment vertical="center" wrapText="1"/>
    </xf>
    <xf numFmtId="15" fontId="101" fillId="0" borderId="0" xfId="0" applyNumberFormat="1" applyFont="1" applyAlignment="1">
      <alignment horizontal="center" vertical="center" wrapText="1"/>
    </xf>
    <xf numFmtId="0" fontId="102" fillId="0" borderId="0" xfId="0" applyFont="1" applyAlignment="1">
      <alignment vertical="center" wrapText="1"/>
    </xf>
    <xf numFmtId="0" fontId="102" fillId="0" borderId="0" xfId="0" applyFont="1" applyAlignment="1">
      <alignment horizontal="center" vertical="center" wrapText="1"/>
    </xf>
    <xf numFmtId="0" fontId="101" fillId="0" borderId="0" xfId="0" applyFont="1" applyAlignment="1">
      <alignment horizontal="right" vertical="center" wrapText="1"/>
    </xf>
    <xf numFmtId="176" fontId="100" fillId="0" borderId="0" xfId="4" applyNumberFormat="1" applyFont="1" applyFill="1" applyBorder="1" applyAlignment="1">
      <alignment horizontal="center" vertical="center" wrapText="1"/>
    </xf>
    <xf numFmtId="175" fontId="101" fillId="0" borderId="0" xfId="16" applyNumberFormat="1" applyFont="1" applyFill="1" applyBorder="1" applyAlignment="1">
      <alignment horizontal="center" vertical="center" wrapText="1"/>
    </xf>
    <xf numFmtId="175" fontId="101" fillId="0" borderId="0" xfId="0" applyNumberFormat="1" applyFont="1" applyAlignment="1">
      <alignment vertical="center" wrapText="1"/>
    </xf>
    <xf numFmtId="0" fontId="100" fillId="34" borderId="7" xfId="4" applyNumberFormat="1" applyFont="1" applyFill="1" applyBorder="1" applyAlignment="1">
      <alignment horizontal="center" vertical="center" wrapText="1"/>
    </xf>
    <xf numFmtId="0" fontId="103" fillId="34" borderId="7" xfId="4" applyNumberFormat="1" applyFont="1" applyFill="1" applyBorder="1" applyAlignment="1">
      <alignment horizontal="center" vertical="center" wrapText="1"/>
    </xf>
    <xf numFmtId="0" fontId="100" fillId="34" borderId="12" xfId="4" applyNumberFormat="1" applyFont="1" applyFill="1" applyBorder="1" applyAlignment="1">
      <alignment horizontal="center" vertical="center" wrapText="1"/>
    </xf>
    <xf numFmtId="0" fontId="101" fillId="0" borderId="1" xfId="4" applyNumberFormat="1" applyFont="1" applyFill="1" applyBorder="1" applyAlignment="1">
      <alignment horizontal="center" vertical="center" wrapText="1"/>
    </xf>
    <xf numFmtId="0" fontId="101" fillId="0" borderId="1" xfId="0" applyFont="1" applyBorder="1" applyAlignment="1">
      <alignment vertical="center" wrapText="1"/>
    </xf>
    <xf numFmtId="0" fontId="101" fillId="0" borderId="1" xfId="9" applyFont="1" applyBorder="1" applyAlignment="1">
      <alignment horizontal="center" vertical="center" wrapText="1"/>
    </xf>
    <xf numFmtId="0" fontId="101" fillId="0" borderId="1" xfId="0" applyFont="1" applyBorder="1" applyAlignment="1">
      <alignment horizontal="justify" vertical="center" wrapText="1"/>
    </xf>
    <xf numFmtId="0" fontId="101" fillId="0" borderId="1"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175" fontId="101" fillId="0" borderId="1" xfId="16" applyNumberFormat="1" applyFont="1" applyFill="1" applyBorder="1" applyAlignment="1">
      <alignment horizontal="center" vertical="center" wrapText="1"/>
    </xf>
    <xf numFmtId="0" fontId="101" fillId="0" borderId="0" xfId="0" applyFont="1" applyAlignment="1">
      <alignment vertical="center"/>
    </xf>
    <xf numFmtId="0" fontId="101" fillId="0" borderId="1" xfId="0" applyFont="1" applyBorder="1" applyAlignment="1">
      <alignment horizontal="left" vertical="center"/>
    </xf>
    <xf numFmtId="0" fontId="101" fillId="3" borderId="1" xfId="4"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0" fontId="101" fillId="3" borderId="1" xfId="0" applyFont="1" applyFill="1" applyBorder="1" applyAlignment="1">
      <alignment horizontal="justify" vertical="center" wrapText="1"/>
    </xf>
    <xf numFmtId="175" fontId="101" fillId="3" borderId="1" xfId="16" applyNumberFormat="1" applyFont="1" applyFill="1" applyBorder="1" applyAlignment="1">
      <alignment horizontal="center" vertical="center" wrapText="1"/>
    </xf>
    <xf numFmtId="0" fontId="101" fillId="3" borderId="1" xfId="9" applyFont="1" applyFill="1" applyBorder="1" applyAlignment="1">
      <alignment horizontal="center" vertical="center" wrapText="1"/>
    </xf>
    <xf numFmtId="175" fontId="102" fillId="3" borderId="1" xfId="16" applyNumberFormat="1" applyFont="1" applyFill="1" applyBorder="1" applyAlignment="1">
      <alignment horizontal="center" vertical="center" wrapText="1"/>
    </xf>
    <xf numFmtId="0" fontId="101" fillId="0" borderId="1" xfId="9" applyFont="1" applyBorder="1" applyAlignment="1">
      <alignment horizontal="left" vertical="center" wrapText="1"/>
    </xf>
    <xf numFmtId="0" fontId="101" fillId="0" borderId="1" xfId="15" applyFont="1" applyBorder="1" applyAlignment="1">
      <alignment vertical="center" wrapText="1"/>
    </xf>
    <xf numFmtId="0" fontId="101" fillId="0" borderId="7" xfId="4" applyNumberFormat="1" applyFont="1" applyFill="1" applyBorder="1" applyAlignment="1">
      <alignment horizontal="center" vertical="center" wrapText="1"/>
    </xf>
    <xf numFmtId="0" fontId="101" fillId="0" borderId="1" xfId="0" applyFont="1" applyBorder="1" applyAlignment="1">
      <alignment horizontal="justify" vertical="center"/>
    </xf>
    <xf numFmtId="14" fontId="101" fillId="0" borderId="1" xfId="0" applyNumberFormat="1" applyFont="1" applyBorder="1" applyAlignment="1">
      <alignment horizontal="center" vertical="center"/>
    </xf>
    <xf numFmtId="1" fontId="101" fillId="0" borderId="1" xfId="0" applyNumberFormat="1" applyFont="1" applyBorder="1" applyAlignment="1">
      <alignment horizontal="left" vertical="center"/>
    </xf>
    <xf numFmtId="0" fontId="101" fillId="0" borderId="1" xfId="7" applyNumberFormat="1" applyFont="1" applyFill="1" applyBorder="1" applyAlignment="1">
      <alignment horizontal="center" vertical="center" wrapText="1"/>
    </xf>
    <xf numFmtId="175" fontId="101" fillId="0" borderId="7" xfId="16" applyNumberFormat="1" applyFont="1" applyFill="1" applyBorder="1" applyAlignment="1">
      <alignment horizontal="center" vertical="center" wrapText="1"/>
    </xf>
    <xf numFmtId="0" fontId="102" fillId="0" borderId="1" xfId="0" applyFont="1" applyBorder="1" applyAlignment="1">
      <alignment horizontal="justify" vertical="center" wrapText="1"/>
    </xf>
    <xf numFmtId="0" fontId="101" fillId="0" borderId="7" xfId="0" applyFont="1" applyBorder="1" applyAlignment="1">
      <alignment horizontal="justify" vertical="center"/>
    </xf>
    <xf numFmtId="0" fontId="101" fillId="0" borderId="7" xfId="0" applyFont="1" applyBorder="1" applyAlignment="1">
      <alignment horizontal="justify" vertical="center" wrapText="1"/>
    </xf>
    <xf numFmtId="0" fontId="101" fillId="0" borderId="0" xfId="0" applyFont="1" applyAlignment="1">
      <alignment horizontal="left" vertical="center" wrapText="1"/>
    </xf>
    <xf numFmtId="0" fontId="101" fillId="0" borderId="7" xfId="4" applyNumberFormat="1" applyFont="1" applyFill="1" applyBorder="1" applyAlignment="1">
      <alignment horizontal="justify" vertical="center" wrapText="1"/>
    </xf>
    <xf numFmtId="0" fontId="101" fillId="0" borderId="1" xfId="15" applyFont="1" applyBorder="1" applyAlignment="1">
      <alignment horizontal="center" vertical="center" wrapText="1"/>
    </xf>
    <xf numFmtId="0" fontId="102" fillId="0" borderId="7" xfId="0" applyFont="1" applyBorder="1" applyAlignment="1">
      <alignment horizontal="justify" vertical="top"/>
    </xf>
    <xf numFmtId="1" fontId="102" fillId="0" borderId="1" xfId="0" applyNumberFormat="1" applyFont="1" applyBorder="1" applyAlignment="1">
      <alignment horizontal="center" vertical="center"/>
    </xf>
    <xf numFmtId="0" fontId="102" fillId="0" borderId="1" xfId="0" applyFont="1" applyBorder="1" applyAlignment="1">
      <alignment horizontal="left" vertical="top" wrapText="1"/>
    </xf>
    <xf numFmtId="0" fontId="102" fillId="0" borderId="1" xfId="0" applyFont="1" applyBorder="1" applyAlignment="1">
      <alignment horizontal="justify" vertical="top" wrapText="1"/>
    </xf>
    <xf numFmtId="0" fontId="102" fillId="0" borderId="0" xfId="0" applyFont="1"/>
    <xf numFmtId="0" fontId="102" fillId="0" borderId="7" xfId="0" applyFont="1" applyBorder="1" applyAlignment="1">
      <alignment horizontal="justify" vertical="top" wrapText="1"/>
    </xf>
    <xf numFmtId="0" fontId="102" fillId="0" borderId="1" xfId="0" applyFont="1" applyBorder="1" applyAlignment="1">
      <alignment horizontal="justify" vertical="top"/>
    </xf>
    <xf numFmtId="0" fontId="102" fillId="0" borderId="1" xfId="7" applyNumberFormat="1" applyFont="1" applyFill="1" applyBorder="1" applyAlignment="1">
      <alignment horizontal="center" vertical="center" wrapText="1"/>
    </xf>
    <xf numFmtId="1" fontId="102" fillId="0" borderId="1" xfId="0" applyNumberFormat="1" applyFont="1" applyBorder="1" applyAlignment="1">
      <alignment horizontal="justify" vertical="center" wrapText="1"/>
    </xf>
    <xf numFmtId="1" fontId="101" fillId="0" borderId="1" xfId="0" applyNumberFormat="1" applyFont="1" applyBorder="1" applyAlignment="1">
      <alignment horizontal="center" vertical="center"/>
    </xf>
    <xf numFmtId="0" fontId="102" fillId="0" borderId="1" xfId="0" applyFont="1" applyBorder="1" applyAlignment="1">
      <alignment horizontal="left" vertical="center" wrapText="1"/>
    </xf>
    <xf numFmtId="37" fontId="101" fillId="0" borderId="1" xfId="0" applyNumberFormat="1" applyFont="1" applyBorder="1" applyAlignment="1">
      <alignment vertical="center" wrapText="1"/>
    </xf>
    <xf numFmtId="177" fontId="101" fillId="0" borderId="1" xfId="0" applyNumberFormat="1" applyFont="1" applyBorder="1" applyAlignment="1">
      <alignment horizontal="left" vertical="center"/>
    </xf>
    <xf numFmtId="0" fontId="102" fillId="0" borderId="1" xfId="0" applyFont="1" applyBorder="1" applyAlignment="1">
      <alignment horizontal="justify" vertical="center"/>
    </xf>
    <xf numFmtId="178" fontId="102"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0" fontId="101" fillId="0" borderId="1" xfId="0" applyFont="1" applyBorder="1" applyAlignment="1">
      <alignment horizontal="left" vertical="top" wrapText="1"/>
    </xf>
    <xf numFmtId="176" fontId="101" fillId="0" borderId="0" xfId="4" applyNumberFormat="1" applyFont="1" applyFill="1" applyAlignment="1">
      <alignment vertical="center" wrapText="1"/>
    </xf>
    <xf numFmtId="0" fontId="102" fillId="0" borderId="1" xfId="0" applyFont="1" applyBorder="1" applyAlignment="1">
      <alignment vertical="center" wrapText="1"/>
    </xf>
    <xf numFmtId="175" fontId="101" fillId="0" borderId="1" xfId="16" applyNumberFormat="1" applyFont="1" applyFill="1" applyBorder="1" applyAlignment="1">
      <alignment vertical="center" wrapText="1"/>
    </xf>
    <xf numFmtId="0" fontId="102" fillId="0" borderId="7" xfId="0" applyFont="1" applyBorder="1" applyAlignment="1">
      <alignment horizontal="justify" vertical="center"/>
    </xf>
    <xf numFmtId="14" fontId="102" fillId="0" borderId="1" xfId="0" applyNumberFormat="1" applyFont="1" applyBorder="1" applyAlignment="1">
      <alignment horizontal="center" vertical="center"/>
    </xf>
    <xf numFmtId="177" fontId="102" fillId="0" borderId="1" xfId="0" applyNumberFormat="1" applyFont="1" applyBorder="1" applyAlignment="1">
      <alignment horizontal="center" vertical="center"/>
    </xf>
    <xf numFmtId="0" fontId="101" fillId="0" borderId="1" xfId="0" applyFont="1" applyBorder="1" applyAlignment="1">
      <alignment horizontal="center" vertical="top" wrapText="1"/>
    </xf>
    <xf numFmtId="0" fontId="101" fillId="3" borderId="1" xfId="15" applyFont="1" applyFill="1" applyBorder="1" applyAlignment="1">
      <alignment vertical="center" wrapText="1"/>
    </xf>
    <xf numFmtId="0" fontId="101" fillId="3" borderId="7" xfId="4" applyNumberFormat="1" applyFont="1" applyFill="1" applyBorder="1" applyAlignment="1">
      <alignment horizontal="left" vertical="center"/>
    </xf>
    <xf numFmtId="175" fontId="101" fillId="3" borderId="1" xfId="16" applyNumberFormat="1" applyFont="1" applyFill="1" applyBorder="1" applyAlignment="1">
      <alignment horizontal="left" vertical="center" wrapText="1"/>
    </xf>
    <xf numFmtId="0" fontId="101" fillId="0" borderId="7" xfId="4" applyNumberFormat="1" applyFont="1" applyFill="1" applyBorder="1" applyAlignment="1">
      <alignment horizontal="left" vertical="center"/>
    </xf>
    <xf numFmtId="14" fontId="101" fillId="0" borderId="1" xfId="0" applyNumberFormat="1" applyFont="1" applyBorder="1" applyAlignment="1">
      <alignment horizontal="center" vertical="center" wrapText="1"/>
    </xf>
    <xf numFmtId="0" fontId="101" fillId="0" borderId="7" xfId="0" applyFont="1" applyBorder="1" applyAlignment="1">
      <alignment horizontal="justify" vertical="top" wrapText="1"/>
    </xf>
    <xf numFmtId="49" fontId="101" fillId="0" borderId="1" xfId="0" applyNumberFormat="1" applyFont="1" applyBorder="1" applyAlignment="1">
      <alignment horizontal="left" vertical="center" wrapText="1"/>
    </xf>
    <xf numFmtId="0" fontId="101" fillId="0" borderId="1" xfId="4" applyNumberFormat="1" applyFont="1" applyFill="1" applyBorder="1" applyAlignment="1">
      <alignment horizontal="left" vertical="center"/>
    </xf>
    <xf numFmtId="0" fontId="101" fillId="0" borderId="1" xfId="0" applyFont="1" applyBorder="1" applyAlignment="1">
      <alignment horizontal="justify" vertical="top" wrapText="1"/>
    </xf>
    <xf numFmtId="0" fontId="101" fillId="3" borderId="1" xfId="4" applyNumberFormat="1" applyFont="1" applyFill="1" applyBorder="1" applyAlignment="1">
      <alignment horizontal="left" vertical="center"/>
    </xf>
    <xf numFmtId="0" fontId="101" fillId="3" borderId="1" xfId="0" applyFont="1" applyFill="1" applyBorder="1" applyAlignment="1">
      <alignment horizontal="justify" vertical="top" wrapText="1"/>
    </xf>
    <xf numFmtId="14" fontId="101" fillId="3" borderId="1" xfId="0" applyNumberFormat="1" applyFont="1" applyFill="1" applyBorder="1" applyAlignment="1">
      <alignment horizontal="center" vertical="center" wrapText="1"/>
    </xf>
    <xf numFmtId="1" fontId="101" fillId="3" borderId="1" xfId="0" applyNumberFormat="1" applyFont="1" applyFill="1" applyBorder="1" applyAlignment="1">
      <alignment horizontal="left" vertical="center"/>
    </xf>
    <xf numFmtId="0" fontId="101" fillId="3" borderId="1" xfId="7" applyNumberFormat="1" applyFont="1" applyFill="1" applyBorder="1" applyAlignment="1">
      <alignment horizontal="center" vertical="center" wrapText="1"/>
    </xf>
    <xf numFmtId="49" fontId="101" fillId="0" borderId="1" xfId="0" applyNumberFormat="1" applyFont="1" applyBorder="1" applyAlignment="1">
      <alignment horizontal="left" vertical="center"/>
    </xf>
    <xf numFmtId="0" fontId="101" fillId="0" borderId="7" xfId="4" applyNumberFormat="1" applyFont="1" applyFill="1" applyBorder="1" applyAlignment="1">
      <alignment horizontal="left" vertical="center" wrapText="1"/>
    </xf>
    <xf numFmtId="0" fontId="101" fillId="0" borderId="7" xfId="0" applyFont="1" applyBorder="1" applyAlignment="1">
      <alignment vertical="center" wrapText="1"/>
    </xf>
    <xf numFmtId="0" fontId="101" fillId="3" borderId="7" xfId="0" applyFont="1" applyFill="1" applyBorder="1" applyAlignment="1">
      <alignment horizontal="justify" vertical="center" wrapText="1"/>
    </xf>
    <xf numFmtId="14" fontId="101" fillId="3" borderId="1" xfId="0" applyNumberFormat="1" applyFont="1" applyFill="1" applyBorder="1" applyAlignment="1">
      <alignment horizontal="center" vertical="center"/>
    </xf>
    <xf numFmtId="1" fontId="101" fillId="3" borderId="1" xfId="0" applyNumberFormat="1" applyFont="1" applyFill="1" applyBorder="1" applyAlignment="1">
      <alignment horizontal="center" vertical="center"/>
    </xf>
    <xf numFmtId="49" fontId="101" fillId="3" borderId="1" xfId="0" applyNumberFormat="1" applyFont="1" applyFill="1" applyBorder="1" applyAlignment="1">
      <alignment horizontal="left" vertical="center"/>
    </xf>
    <xf numFmtId="175" fontId="105" fillId="0" borderId="1" xfId="16" applyNumberFormat="1" applyFont="1" applyFill="1" applyBorder="1" applyAlignment="1">
      <alignment horizontal="center" vertical="center" wrapText="1"/>
    </xf>
    <xf numFmtId="175" fontId="102" fillId="0" borderId="1" xfId="16" applyNumberFormat="1" applyFont="1" applyFill="1" applyBorder="1" applyAlignment="1">
      <alignment horizontal="center" vertical="center" wrapText="1"/>
    </xf>
    <xf numFmtId="175" fontId="102" fillId="0" borderId="7" xfId="16" applyNumberFormat="1" applyFont="1" applyFill="1" applyBorder="1" applyAlignment="1">
      <alignment horizontal="center" vertical="center" wrapText="1"/>
    </xf>
    <xf numFmtId="175" fontId="105" fillId="0" borderId="0" xfId="16" applyNumberFormat="1" applyFont="1" applyFill="1" applyBorder="1" applyAlignment="1">
      <alignment horizontal="center" vertical="center" wrapText="1"/>
    </xf>
    <xf numFmtId="49" fontId="101" fillId="0" borderId="13" xfId="0" applyNumberFormat="1" applyFont="1" applyBorder="1" applyAlignment="1">
      <alignment horizontal="left" vertical="center"/>
    </xf>
    <xf numFmtId="175" fontId="101" fillId="0" borderId="13" xfId="16" applyNumberFormat="1" applyFont="1" applyFill="1" applyBorder="1" applyAlignment="1">
      <alignment horizontal="center" vertical="center" wrapText="1"/>
    </xf>
    <xf numFmtId="0" fontId="101" fillId="0" borderId="13" xfId="0" applyFont="1" applyBorder="1" applyAlignment="1">
      <alignment horizontal="left" vertical="center" wrapText="1"/>
    </xf>
    <xf numFmtId="0" fontId="101" fillId="3" borderId="1" xfId="4" applyNumberFormat="1" applyFont="1" applyFill="1" applyBorder="1" applyAlignment="1">
      <alignment horizontal="center" vertical="center"/>
    </xf>
    <xf numFmtId="0" fontId="101" fillId="3" borderId="13" xfId="0" applyFont="1" applyFill="1" applyBorder="1" applyAlignment="1">
      <alignment horizontal="left" vertical="center" wrapText="1"/>
    </xf>
    <xf numFmtId="0" fontId="101" fillId="0" borderId="1" xfId="7" applyNumberFormat="1" applyFont="1" applyFill="1" applyBorder="1" applyAlignment="1">
      <alignment horizontal="left" vertical="center"/>
    </xf>
    <xf numFmtId="37" fontId="101" fillId="0" borderId="1" xfId="0" applyNumberFormat="1" applyFont="1" applyBorder="1" applyAlignment="1">
      <alignment horizontal="left" vertical="center"/>
    </xf>
    <xf numFmtId="37" fontId="101" fillId="0" borderId="8" xfId="0" applyNumberFormat="1" applyFont="1" applyBorder="1" applyAlignment="1">
      <alignment horizontal="left" vertical="center"/>
    </xf>
    <xf numFmtId="0" fontId="101" fillId="0" borderId="52" xfId="0" applyFont="1" applyBorder="1" applyAlignment="1">
      <alignment horizontal="center" vertical="center" wrapText="1"/>
    </xf>
    <xf numFmtId="0" fontId="101" fillId="3" borderId="8" xfId="9" applyFont="1" applyFill="1" applyBorder="1" applyAlignment="1">
      <alignment horizontal="center" vertical="center"/>
    </xf>
    <xf numFmtId="0" fontId="101" fillId="3" borderId="52" xfId="0" applyFont="1" applyFill="1" applyBorder="1" applyAlignment="1">
      <alignment horizontal="center" vertical="center" wrapText="1"/>
    </xf>
    <xf numFmtId="0" fontId="101" fillId="0" borderId="13" xfId="0" applyFont="1" applyBorder="1" applyAlignment="1">
      <alignment horizontal="justify" vertical="center" wrapText="1"/>
    </xf>
    <xf numFmtId="175" fontId="101" fillId="0" borderId="1" xfId="16" applyNumberFormat="1" applyFont="1" applyFill="1" applyBorder="1" applyAlignment="1">
      <alignment horizontal="left" vertical="center" wrapText="1"/>
    </xf>
    <xf numFmtId="0" fontId="102" fillId="3" borderId="1" xfId="0" applyFont="1" applyFill="1" applyBorder="1" applyAlignment="1">
      <alignment horizontal="center" vertical="center" wrapText="1"/>
    </xf>
    <xf numFmtId="0" fontId="101" fillId="3" borderId="1" xfId="7" applyNumberFormat="1" applyFont="1" applyFill="1" applyBorder="1" applyAlignment="1">
      <alignment horizontal="center" wrapText="1"/>
    </xf>
    <xf numFmtId="49" fontId="101" fillId="3" borderId="1" xfId="0" applyNumberFormat="1" applyFont="1" applyFill="1" applyBorder="1" applyAlignment="1">
      <alignment horizontal="center" vertical="center" wrapText="1"/>
    </xf>
    <xf numFmtId="0" fontId="102" fillId="0" borderId="1" xfId="0" applyFont="1" applyBorder="1" applyAlignment="1">
      <alignment horizontal="center" vertical="center" wrapText="1"/>
    </xf>
    <xf numFmtId="175" fontId="101" fillId="0" borderId="0" xfId="16" applyNumberFormat="1" applyFont="1" applyFill="1" applyAlignment="1">
      <alignment vertical="center" wrapText="1"/>
    </xf>
    <xf numFmtId="0" fontId="102" fillId="0" borderId="1" xfId="0" applyFont="1" applyBorder="1" applyAlignment="1">
      <alignment vertical="center"/>
    </xf>
    <xf numFmtId="43" fontId="102" fillId="0" borderId="1" xfId="4" applyFont="1" applyFill="1" applyBorder="1" applyAlignment="1">
      <alignment horizontal="left" vertical="center" wrapText="1"/>
    </xf>
    <xf numFmtId="0" fontId="102" fillId="3" borderId="1" xfId="0" applyFont="1" applyFill="1" applyBorder="1" applyAlignment="1">
      <alignment horizontal="center" vertical="center"/>
    </xf>
    <xf numFmtId="0" fontId="102" fillId="3" borderId="1" xfId="0" applyFont="1" applyFill="1" applyBorder="1" applyAlignment="1">
      <alignment vertical="center"/>
    </xf>
    <xf numFmtId="0" fontId="102" fillId="3" borderId="1" xfId="0" applyFont="1" applyFill="1" applyBorder="1" applyAlignment="1">
      <alignment vertical="center" wrapText="1"/>
    </xf>
    <xf numFmtId="0" fontId="102" fillId="3" borderId="1" xfId="0" applyFont="1" applyFill="1" applyBorder="1" applyAlignment="1">
      <alignment horizontal="justify" vertical="center" wrapText="1"/>
    </xf>
    <xf numFmtId="43" fontId="102" fillId="3" borderId="1" xfId="4" applyFont="1" applyFill="1" applyBorder="1" applyAlignment="1">
      <alignment horizontal="left" vertical="center" wrapText="1"/>
    </xf>
    <xf numFmtId="14" fontId="102" fillId="0" borderId="1" xfId="0" applyNumberFormat="1" applyFont="1" applyBorder="1" applyAlignment="1">
      <alignment horizontal="center" vertical="center" wrapText="1"/>
    </xf>
    <xf numFmtId="0" fontId="101" fillId="0" borderId="0" xfId="4" applyNumberFormat="1" applyFont="1" applyFill="1" applyBorder="1" applyAlignment="1">
      <alignment horizontal="center" vertical="center" wrapText="1"/>
    </xf>
    <xf numFmtId="0" fontId="101" fillId="3" borderId="1" xfId="0" applyFont="1" applyFill="1" applyBorder="1" applyAlignment="1">
      <alignment vertical="center" wrapText="1"/>
    </xf>
    <xf numFmtId="0" fontId="102" fillId="0" borderId="1" xfId="0" applyFont="1" applyBorder="1" applyAlignment="1">
      <alignment horizontal="center" vertical="center"/>
    </xf>
    <xf numFmtId="43" fontId="102" fillId="0" borderId="1" xfId="4" applyFont="1" applyFill="1" applyBorder="1" applyAlignment="1">
      <alignment horizontal="center" vertical="center" wrapText="1"/>
    </xf>
    <xf numFmtId="0" fontId="102" fillId="0" borderId="70" xfId="0" applyFont="1" applyBorder="1" applyAlignment="1">
      <alignment horizontal="left" vertical="center"/>
    </xf>
    <xf numFmtId="14" fontId="5" fillId="0" borderId="71" xfId="9" applyNumberFormat="1" applyFont="1" applyBorder="1" applyAlignment="1">
      <alignment horizontal="center" vertical="center" wrapText="1"/>
    </xf>
    <xf numFmtId="0" fontId="101" fillId="0" borderId="7" xfId="9"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02" fillId="0" borderId="7" xfId="0" applyFont="1" applyBorder="1" applyAlignment="1">
      <alignment horizontal="justify" vertical="center" wrapText="1"/>
    </xf>
    <xf numFmtId="42" fontId="101" fillId="3" borderId="1" xfId="3" applyFont="1" applyFill="1" applyBorder="1" applyAlignment="1">
      <alignment horizontal="center" vertical="center" wrapText="1"/>
    </xf>
    <xf numFmtId="0" fontId="106" fillId="0" borderId="1" xfId="0" applyFont="1" applyBorder="1" applyAlignment="1">
      <alignment horizontal="center" vertical="center"/>
    </xf>
    <xf numFmtId="0" fontId="102" fillId="3" borderId="1" xfId="0" applyFont="1" applyFill="1" applyBorder="1" applyAlignment="1">
      <alignment horizontal="center" wrapText="1"/>
    </xf>
    <xf numFmtId="0" fontId="102"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5" fontId="102" fillId="0" borderId="0" xfId="16" applyNumberFormat="1" applyFont="1" applyFill="1"/>
    <xf numFmtId="176" fontId="1" fillId="3" borderId="1" xfId="4" applyNumberFormat="1" applyFont="1" applyFill="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xf>
    <xf numFmtId="0" fontId="102" fillId="0" borderId="0" xfId="0" applyFont="1" applyAlignment="1">
      <alignment horizontal="center" wrapText="1"/>
    </xf>
    <xf numFmtId="0" fontId="101" fillId="36" borderId="1" xfId="4" applyNumberFormat="1" applyFont="1" applyFill="1" applyBorder="1" applyAlignment="1">
      <alignment horizontal="center" vertical="center" wrapText="1"/>
    </xf>
    <xf numFmtId="0" fontId="101" fillId="36" borderId="1" xfId="15" applyFont="1" applyFill="1" applyBorder="1" applyAlignment="1">
      <alignment vertical="center" wrapText="1"/>
    </xf>
    <xf numFmtId="0" fontId="101" fillId="36" borderId="7" xfId="4" applyNumberFormat="1" applyFont="1" applyFill="1" applyBorder="1" applyAlignment="1">
      <alignment horizontal="left" vertical="center"/>
    </xf>
    <xf numFmtId="0" fontId="101" fillId="36" borderId="7" xfId="0" applyFont="1" applyFill="1" applyBorder="1" applyAlignment="1">
      <alignment horizontal="justify" vertical="center" wrapText="1"/>
    </xf>
    <xf numFmtId="14"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left" vertical="center"/>
    </xf>
    <xf numFmtId="0" fontId="101" fillId="36" borderId="1" xfId="7" applyNumberFormat="1" applyFont="1" applyFill="1" applyBorder="1" applyAlignment="1">
      <alignment horizontal="center" vertical="center" wrapText="1"/>
    </xf>
    <xf numFmtId="0" fontId="101" fillId="36" borderId="1" xfId="0" applyFont="1" applyFill="1" applyBorder="1" applyAlignment="1">
      <alignment horizontal="center" vertical="center" wrapText="1"/>
    </xf>
    <xf numFmtId="0" fontId="101" fillId="36" borderId="1" xfId="0" applyFont="1" applyFill="1" applyBorder="1" applyAlignment="1">
      <alignment horizontal="left" vertical="center" wrapText="1"/>
    </xf>
    <xf numFmtId="175" fontId="101" fillId="36" borderId="7" xfId="16" applyNumberFormat="1" applyFont="1" applyFill="1" applyBorder="1" applyAlignment="1">
      <alignment horizontal="center" vertical="center" wrapText="1"/>
    </xf>
    <xf numFmtId="0" fontId="101" fillId="36" borderId="1" xfId="0" applyFont="1" applyFill="1" applyBorder="1" applyAlignment="1">
      <alignment horizontal="justify" vertical="center" wrapText="1"/>
    </xf>
    <xf numFmtId="0" fontId="101" fillId="36" borderId="0" xfId="0" applyFont="1" applyFill="1" applyAlignment="1">
      <alignment vertical="center" wrapText="1"/>
    </xf>
    <xf numFmtId="0" fontId="101" fillId="2" borderId="0" xfId="0" applyFont="1" applyFill="1" applyAlignment="1">
      <alignment vertical="center" wrapText="1"/>
    </xf>
    <xf numFmtId="179" fontId="101" fillId="0" borderId="0" xfId="0" applyNumberFormat="1" applyFont="1" applyAlignment="1">
      <alignment vertical="center" wrapText="1"/>
    </xf>
    <xf numFmtId="0" fontId="102" fillId="2" borderId="0" xfId="0" applyFont="1" applyFill="1" applyAlignment="1">
      <alignment vertical="center" wrapText="1"/>
    </xf>
    <xf numFmtId="0" fontId="102" fillId="2" borderId="0" xfId="0" applyFont="1" applyFill="1"/>
    <xf numFmtId="0" fontId="102" fillId="2" borderId="0" xfId="0" applyFont="1" applyFill="1" applyAlignment="1">
      <alignment vertical="center"/>
    </xf>
    <xf numFmtId="0" fontId="101" fillId="0" borderId="0" xfId="0" applyFont="1" applyAlignment="1">
      <alignment horizontal="left" vertical="center"/>
    </xf>
    <xf numFmtId="179" fontId="102" fillId="0" borderId="0" xfId="0" applyNumberFormat="1" applyFont="1"/>
    <xf numFmtId="0" fontId="102" fillId="0" borderId="0" xfId="0" applyFont="1" applyAlignment="1">
      <alignment horizontal="center"/>
    </xf>
    <xf numFmtId="0" fontId="101" fillId="2" borderId="52" xfId="4"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1" fontId="101" fillId="2" borderId="1" xfId="0" applyNumberFormat="1" applyFont="1" applyFill="1" applyBorder="1" applyAlignment="1">
      <alignment horizontal="center" vertical="center" wrapText="1"/>
    </xf>
    <xf numFmtId="0" fontId="101" fillId="2" borderId="1" xfId="0" applyFont="1" applyFill="1" applyBorder="1" applyAlignment="1">
      <alignment horizontal="left" vertical="center" wrapText="1"/>
    </xf>
    <xf numFmtId="179" fontId="101" fillId="2" borderId="1" xfId="0" applyNumberFormat="1" applyFont="1" applyFill="1" applyBorder="1" applyAlignment="1">
      <alignment horizontal="center" vertical="center" wrapText="1"/>
    </xf>
    <xf numFmtId="179" fontId="101" fillId="2" borderId="1" xfId="0" applyNumberFormat="1" applyFont="1" applyFill="1" applyBorder="1" applyAlignment="1" applyProtection="1">
      <alignment horizontal="center" vertical="center" wrapText="1"/>
      <protection locked="0"/>
    </xf>
    <xf numFmtId="0" fontId="101" fillId="2" borderId="3" xfId="4" applyNumberFormat="1" applyFont="1" applyFill="1" applyBorder="1" applyAlignment="1">
      <alignment horizontal="center" vertical="center" wrapText="1"/>
    </xf>
    <xf numFmtId="0" fontId="101" fillId="2" borderId="7" xfId="9" applyFont="1" applyFill="1" applyBorder="1" applyAlignment="1">
      <alignment horizontal="center" vertical="center" wrapText="1"/>
    </xf>
    <xf numFmtId="179" fontId="101" fillId="2" borderId="7" xfId="0" applyNumberFormat="1" applyFont="1" applyFill="1" applyBorder="1" applyAlignment="1">
      <alignment horizontal="center" vertical="center" wrapText="1"/>
    </xf>
    <xf numFmtId="0" fontId="101" fillId="2" borderId="7" xfId="0" applyFont="1" applyFill="1" applyBorder="1" applyAlignment="1">
      <alignment horizontal="center" vertical="center" wrapText="1"/>
    </xf>
    <xf numFmtId="1" fontId="101" fillId="2" borderId="7" xfId="0" applyNumberFormat="1" applyFont="1" applyFill="1" applyBorder="1" applyAlignment="1">
      <alignment horizontal="center" vertical="center" wrapText="1"/>
    </xf>
    <xf numFmtId="0" fontId="101" fillId="2" borderId="7" xfId="0" applyFont="1" applyFill="1" applyBorder="1" applyAlignment="1">
      <alignment horizontal="left" vertical="center" wrapText="1"/>
    </xf>
    <xf numFmtId="0" fontId="101" fillId="2" borderId="1" xfId="15" applyFont="1" applyFill="1" applyBorder="1" applyAlignment="1">
      <alignment vertical="center" wrapText="1"/>
    </xf>
    <xf numFmtId="0" fontId="101" fillId="2" borderId="1" xfId="9" applyFont="1" applyFill="1" applyBorder="1" applyAlignment="1">
      <alignment horizontal="center" vertical="center" wrapText="1"/>
    </xf>
    <xf numFmtId="175" fontId="101" fillId="2" borderId="1" xfId="16" applyNumberFormat="1" applyFont="1" applyFill="1" applyBorder="1" applyAlignment="1">
      <alignment horizontal="center" vertical="center" wrapText="1"/>
    </xf>
    <xf numFmtId="0" fontId="100" fillId="34" borderId="24" xfId="0" applyFont="1" applyFill="1" applyBorder="1" applyAlignment="1">
      <alignment horizontal="center" vertical="center" wrapText="1"/>
    </xf>
    <xf numFmtId="0" fontId="102" fillId="2" borderId="1" xfId="9" applyFont="1" applyFill="1" applyBorder="1" applyAlignment="1">
      <alignment horizontal="justify" vertical="center" wrapText="1"/>
    </xf>
    <xf numFmtId="0" fontId="100" fillId="2" borderId="1" xfId="4" applyNumberFormat="1" applyFont="1" applyFill="1" applyBorder="1" applyAlignment="1">
      <alignment horizontal="center" vertical="center" wrapText="1"/>
    </xf>
    <xf numFmtId="0" fontId="100" fillId="2" borderId="7" xfId="4" applyNumberFormat="1" applyFont="1" applyFill="1" applyBorder="1" applyAlignment="1">
      <alignment horizontal="center" vertical="center" wrapText="1"/>
    </xf>
    <xf numFmtId="0" fontId="101" fillId="2" borderId="7" xfId="15" applyFont="1" applyFill="1" applyBorder="1" applyAlignment="1">
      <alignment vertical="center" wrapText="1"/>
    </xf>
    <xf numFmtId="0" fontId="102" fillId="2" borderId="7" xfId="9" applyFont="1" applyFill="1" applyBorder="1" applyAlignment="1">
      <alignment horizontal="justify" vertical="center" wrapText="1"/>
    </xf>
    <xf numFmtId="175" fontId="0" fillId="0" borderId="0" xfId="16" applyNumberFormat="1" applyFont="1" applyFill="1" applyBorder="1" applyAlignment="1">
      <alignment horizontal="center" vertical="center" wrapText="1"/>
    </xf>
    <xf numFmtId="175" fontId="101" fillId="2" borderId="7" xfId="16" applyNumberFormat="1" applyFont="1" applyFill="1" applyBorder="1" applyAlignment="1">
      <alignment horizontal="center" vertical="center" wrapText="1"/>
    </xf>
    <xf numFmtId="44" fontId="101" fillId="2" borderId="1" xfId="16" applyFont="1" applyFill="1" applyBorder="1" applyAlignment="1">
      <alignment horizontal="center" vertical="center" wrapText="1"/>
    </xf>
    <xf numFmtId="44" fontId="101" fillId="2" borderId="7" xfId="16" applyFont="1" applyFill="1" applyBorder="1" applyAlignment="1">
      <alignment horizontal="center" vertical="center" wrapText="1"/>
    </xf>
    <xf numFmtId="41" fontId="102" fillId="0" borderId="0" xfId="2" applyFont="1"/>
    <xf numFmtId="175" fontId="102" fillId="0" borderId="0" xfId="0" applyNumberFormat="1" applyFont="1"/>
    <xf numFmtId="175" fontId="101" fillId="2" borderId="0" xfId="16" applyNumberFormat="1" applyFont="1" applyFill="1" applyAlignment="1">
      <alignment vertical="center" wrapText="1"/>
    </xf>
    <xf numFmtId="175" fontId="102" fillId="2" borderId="0" xfId="16" applyNumberFormat="1" applyFont="1" applyFill="1"/>
    <xf numFmtId="175" fontId="100" fillId="34" borderId="24" xfId="16" applyNumberFormat="1" applyFont="1" applyFill="1" applyBorder="1" applyAlignment="1">
      <alignment horizontal="center" vertical="center" wrapText="1"/>
    </xf>
    <xf numFmtId="175" fontId="102" fillId="2" borderId="0" xfId="16" applyNumberFormat="1" applyFont="1" applyFill="1" applyAlignment="1">
      <alignment vertical="center"/>
    </xf>
    <xf numFmtId="41" fontId="101" fillId="0" borderId="0" xfId="2" applyFont="1" applyAlignment="1">
      <alignment horizontal="right" vertical="center" wrapText="1"/>
    </xf>
    <xf numFmtId="175" fontId="101" fillId="2" borderId="0" xfId="0" applyNumberFormat="1" applyFont="1" applyFill="1" applyAlignment="1">
      <alignment vertical="center" wrapText="1"/>
    </xf>
    <xf numFmtId="0" fontId="101" fillId="0" borderId="52" xfId="4" applyNumberFormat="1" applyFont="1" applyFill="1" applyBorder="1" applyAlignment="1">
      <alignment horizontal="center" vertical="center" wrapText="1"/>
    </xf>
    <xf numFmtId="44" fontId="101" fillId="0" borderId="1" xfId="16" applyFont="1" applyFill="1" applyBorder="1" applyAlignment="1">
      <alignment horizontal="center" vertical="center" wrapText="1"/>
    </xf>
    <xf numFmtId="175" fontId="102" fillId="0" borderId="0" xfId="16" applyNumberFormat="1" applyFont="1" applyFill="1" applyAlignment="1">
      <alignment vertical="center"/>
    </xf>
    <xf numFmtId="0" fontId="102" fillId="0" borderId="52" xfId="4" applyNumberFormat="1" applyFont="1" applyFill="1" applyBorder="1" applyAlignment="1">
      <alignment horizontal="center" vertical="center" wrapText="1"/>
    </xf>
    <xf numFmtId="0" fontId="102" fillId="0" borderId="1" xfId="4" applyNumberFormat="1" applyFont="1" applyFill="1" applyBorder="1" applyAlignment="1">
      <alignment horizontal="center" vertical="center" wrapText="1"/>
    </xf>
    <xf numFmtId="44" fontId="102" fillId="0" borderId="1" xfId="16" applyFont="1" applyFill="1" applyBorder="1" applyAlignment="1">
      <alignment horizontal="center" vertical="center" wrapText="1"/>
    </xf>
    <xf numFmtId="175" fontId="105" fillId="0" borderId="0" xfId="16" applyNumberFormat="1" applyFont="1" applyFill="1" applyAlignment="1">
      <alignment vertical="center"/>
    </xf>
    <xf numFmtId="175" fontId="0" fillId="0" borderId="0" xfId="0" applyNumberFormat="1"/>
    <xf numFmtId="0" fontId="101" fillId="0" borderId="3" xfId="4" applyNumberFormat="1" applyFont="1" applyFill="1" applyBorder="1" applyAlignment="1">
      <alignment horizontal="center" vertical="center" wrapText="1"/>
    </xf>
    <xf numFmtId="44" fontId="101" fillId="0" borderId="7" xfId="16" applyFont="1" applyFill="1" applyBorder="1" applyAlignment="1">
      <alignment horizontal="center" vertical="center" wrapText="1"/>
    </xf>
    <xf numFmtId="43" fontId="102" fillId="0" borderId="0" xfId="4" applyFont="1" applyAlignment="1">
      <alignment horizontal="center" wrapText="1"/>
    </xf>
    <xf numFmtId="0" fontId="101" fillId="2" borderId="3" xfId="0" applyFont="1" applyFill="1" applyBorder="1" applyAlignment="1">
      <alignment horizontal="center" vertical="center" wrapText="1"/>
    </xf>
    <xf numFmtId="0" fontId="100" fillId="2" borderId="3" xfId="0" applyFont="1" applyFill="1" applyBorder="1" applyAlignment="1">
      <alignment horizontal="center" vertical="center" wrapText="1"/>
    </xf>
    <xf numFmtId="0" fontId="101" fillId="2" borderId="7" xfId="0" applyFont="1" applyFill="1" applyBorder="1" applyAlignment="1">
      <alignment vertical="center" wrapText="1"/>
    </xf>
    <xf numFmtId="0" fontId="102" fillId="2" borderId="4" xfId="0" applyFont="1" applyFill="1" applyBorder="1" applyAlignment="1">
      <alignment horizontal="center" wrapText="1"/>
    </xf>
    <xf numFmtId="179" fontId="102" fillId="2" borderId="24" xfId="0" applyNumberFormat="1" applyFont="1" applyFill="1" applyBorder="1"/>
    <xf numFmtId="0" fontId="102" fillId="2" borderId="9" xfId="0" applyFont="1" applyFill="1" applyBorder="1" applyAlignment="1">
      <alignment horizontal="center"/>
    </xf>
    <xf numFmtId="0" fontId="102" fillId="0" borderId="24" xfId="0" applyFont="1" applyBorder="1"/>
    <xf numFmtId="0" fontId="102" fillId="2" borderId="24" xfId="0" applyFont="1" applyFill="1" applyBorder="1" applyAlignment="1">
      <alignment horizontal="center" wrapText="1"/>
    </xf>
    <xf numFmtId="175" fontId="101" fillId="2" borderId="7" xfId="0" applyNumberFormat="1" applyFont="1" applyFill="1" applyBorder="1" applyAlignment="1">
      <alignment horizontal="center" vertical="center" wrapText="1"/>
    </xf>
    <xf numFmtId="175" fontId="102" fillId="0" borderId="0" xfId="16" applyNumberFormat="1" applyFont="1" applyFill="1" applyAlignment="1">
      <alignment vertical="center" wrapText="1"/>
    </xf>
    <xf numFmtId="0" fontId="102" fillId="0" borderId="1" xfId="9" applyFont="1" applyBorder="1" applyAlignment="1">
      <alignment horizontal="justify" vertical="center" wrapText="1"/>
    </xf>
    <xf numFmtId="179" fontId="101" fillId="0" borderId="1" xfId="0" applyNumberFormat="1" applyFont="1" applyBorder="1" applyAlignment="1">
      <alignment horizontal="center" vertical="center" wrapText="1"/>
    </xf>
    <xf numFmtId="0" fontId="101" fillId="0" borderId="1" xfId="15" applyFont="1" applyBorder="1" applyAlignment="1">
      <alignment horizontal="left" vertical="center" wrapText="1"/>
    </xf>
    <xf numFmtId="0" fontId="101" fillId="0" borderId="1" xfId="9" applyFont="1" applyBorder="1" applyAlignment="1">
      <alignment vertical="center" wrapText="1"/>
    </xf>
    <xf numFmtId="179" fontId="101" fillId="0" borderId="1" xfId="0" applyNumberFormat="1" applyFont="1" applyBorder="1" applyAlignment="1" applyProtection="1">
      <alignment horizontal="center" vertical="center" wrapText="1"/>
      <protection locked="0"/>
    </xf>
    <xf numFmtId="0" fontId="102" fillId="0" borderId="1" xfId="15" applyFont="1" applyBorder="1" applyAlignment="1">
      <alignment vertical="center" wrapText="1"/>
    </xf>
    <xf numFmtId="0" fontId="102" fillId="0" borderId="1" xfId="9" applyFont="1" applyBorder="1" applyAlignment="1">
      <alignment horizontal="center" vertical="center" wrapText="1"/>
    </xf>
    <xf numFmtId="0" fontId="102" fillId="0" borderId="1" xfId="9" applyFont="1" applyBorder="1" applyAlignment="1">
      <alignment vertical="center" wrapText="1"/>
    </xf>
    <xf numFmtId="179" fontId="102" fillId="0" borderId="1" xfId="0" applyNumberFormat="1" applyFont="1" applyBorder="1" applyAlignment="1" applyProtection="1">
      <alignment horizontal="center" vertical="center" wrapText="1"/>
      <protection locked="0"/>
    </xf>
    <xf numFmtId="1" fontId="102" fillId="0" borderId="1" xfId="0" applyNumberFormat="1" applyFont="1" applyBorder="1" applyAlignment="1">
      <alignment horizontal="center" vertical="center" wrapText="1"/>
    </xf>
    <xf numFmtId="175" fontId="101" fillId="0" borderId="1" xfId="16" quotePrefix="1" applyNumberFormat="1" applyFont="1" applyFill="1" applyBorder="1" applyAlignment="1">
      <alignment horizontal="center" vertical="center" wrapText="1"/>
    </xf>
    <xf numFmtId="0" fontId="105" fillId="0" borderId="0" xfId="0" applyFont="1"/>
    <xf numFmtId="0" fontId="101" fillId="0" borderId="1" xfId="9" applyFont="1" applyBorder="1" applyAlignment="1">
      <alignment horizontal="center" vertical="center"/>
    </xf>
    <xf numFmtId="0" fontId="102" fillId="0" borderId="0" xfId="0" applyFont="1" applyAlignment="1">
      <alignment horizontal="left" vertical="center"/>
    </xf>
    <xf numFmtId="14" fontId="104" fillId="0" borderId="1" xfId="0" applyNumberFormat="1" applyFont="1" applyBorder="1" applyAlignment="1">
      <alignment horizontal="center" vertical="center" wrapText="1"/>
    </xf>
    <xf numFmtId="0" fontId="102" fillId="0" borderId="1" xfId="15" applyFont="1" applyBorder="1" applyAlignment="1">
      <alignment horizontal="justify" vertical="center" wrapText="1"/>
    </xf>
    <xf numFmtId="0" fontId="101" fillId="0" borderId="7" xfId="15" applyFont="1" applyBorder="1" applyAlignment="1">
      <alignment vertical="center" wrapText="1"/>
    </xf>
    <xf numFmtId="179" fontId="101" fillId="0" borderId="7" xfId="0" applyNumberFormat="1" applyFont="1" applyBorder="1" applyAlignment="1" applyProtection="1">
      <alignment horizontal="center" vertical="center" wrapText="1"/>
      <protection locked="0"/>
    </xf>
    <xf numFmtId="1" fontId="101" fillId="0" borderId="7" xfId="0" applyNumberFormat="1" applyFont="1" applyBorder="1" applyAlignment="1">
      <alignment horizontal="center" vertical="center" wrapText="1"/>
    </xf>
    <xf numFmtId="0" fontId="102" fillId="0" borderId="7" xfId="9" applyFont="1" applyBorder="1" applyAlignment="1">
      <alignment horizontal="justify" vertical="center" wrapText="1"/>
    </xf>
    <xf numFmtId="175" fontId="101" fillId="0" borderId="0" xfId="16" applyNumberFormat="1" applyFont="1" applyFill="1" applyAlignment="1">
      <alignment vertical="center"/>
    </xf>
    <xf numFmtId="176" fontId="102" fillId="2" borderId="0" xfId="4" applyNumberFormat="1" applyFont="1" applyFill="1"/>
    <xf numFmtId="0" fontId="101" fillId="37" borderId="52" xfId="4" applyNumberFormat="1" applyFont="1" applyFill="1" applyBorder="1" applyAlignment="1">
      <alignment horizontal="center" vertical="center" wrapText="1"/>
    </xf>
    <xf numFmtId="0" fontId="101" fillId="37" borderId="1" xfId="4" applyNumberFormat="1" applyFont="1" applyFill="1" applyBorder="1" applyAlignment="1">
      <alignment horizontal="center" vertical="center" wrapText="1"/>
    </xf>
    <xf numFmtId="44" fontId="101" fillId="37" borderId="1" xfId="16" applyFont="1" applyFill="1" applyBorder="1" applyAlignment="1">
      <alignment horizontal="center" vertical="center" wrapText="1"/>
    </xf>
    <xf numFmtId="0" fontId="101" fillId="37" borderId="1" xfId="15" applyFont="1" applyFill="1" applyBorder="1" applyAlignment="1">
      <alignment vertical="center" wrapText="1"/>
    </xf>
    <xf numFmtId="0" fontId="101" fillId="37" borderId="1" xfId="9" applyFont="1" applyFill="1" applyBorder="1" applyAlignment="1">
      <alignment horizontal="center" vertical="center" wrapText="1"/>
    </xf>
    <xf numFmtId="0" fontId="101" fillId="37" borderId="1" xfId="9" applyFont="1" applyFill="1" applyBorder="1" applyAlignment="1">
      <alignment vertical="center" wrapText="1"/>
    </xf>
    <xf numFmtId="179" fontId="101" fillId="37" borderId="1" xfId="0" applyNumberFormat="1" applyFont="1" applyFill="1" applyBorder="1" applyAlignment="1" applyProtection="1">
      <alignment horizontal="center" vertical="center" wrapText="1"/>
      <protection locked="0"/>
    </xf>
    <xf numFmtId="0" fontId="101" fillId="37" borderId="1" xfId="0" applyFont="1" applyFill="1" applyBorder="1" applyAlignment="1">
      <alignment horizontal="center" vertical="center" wrapText="1"/>
    </xf>
    <xf numFmtId="1" fontId="101" fillId="37" borderId="1" xfId="0" applyNumberFormat="1" applyFont="1" applyFill="1" applyBorder="1" applyAlignment="1">
      <alignment horizontal="center" vertical="center" wrapText="1"/>
    </xf>
    <xf numFmtId="0" fontId="101" fillId="37" borderId="1" xfId="0" applyFont="1" applyFill="1" applyBorder="1" applyAlignment="1">
      <alignment horizontal="left" vertical="center" wrapText="1"/>
    </xf>
    <xf numFmtId="175" fontId="101" fillId="37" borderId="1" xfId="16" applyNumberFormat="1" applyFont="1" applyFill="1" applyBorder="1" applyAlignment="1">
      <alignment horizontal="center" vertical="center" wrapText="1"/>
    </xf>
    <xf numFmtId="0" fontId="102" fillId="37" borderId="1" xfId="9" applyFont="1" applyFill="1" applyBorder="1" applyAlignment="1">
      <alignment horizontal="justify" vertical="center" wrapText="1"/>
    </xf>
    <xf numFmtId="0" fontId="102" fillId="37" borderId="0" xfId="0" applyFont="1" applyFill="1"/>
    <xf numFmtId="0" fontId="102" fillId="37" borderId="0" xfId="0" applyFont="1" applyFill="1" applyAlignment="1">
      <alignment vertical="center" wrapText="1"/>
    </xf>
    <xf numFmtId="0" fontId="101" fillId="2" borderId="4" xfId="9" applyFont="1" applyFill="1" applyBorder="1" applyAlignment="1">
      <alignment horizontal="center" vertical="center" wrapText="1"/>
    </xf>
    <xf numFmtId="0" fontId="101" fillId="2" borderId="9" xfId="0" applyFont="1" applyFill="1" applyBorder="1" applyAlignment="1">
      <alignment horizontal="center" vertical="center" wrapText="1"/>
    </xf>
    <xf numFmtId="0" fontId="101" fillId="2" borderId="24" xfId="0" applyFont="1" applyFill="1" applyBorder="1" applyAlignment="1">
      <alignment horizontal="center" vertical="center" wrapText="1"/>
    </xf>
    <xf numFmtId="0" fontId="101" fillId="2" borderId="24" xfId="0" applyFont="1" applyFill="1" applyBorder="1" applyAlignment="1">
      <alignment horizontal="left" vertical="center" wrapText="1"/>
    </xf>
    <xf numFmtId="0" fontId="101" fillId="2" borderId="0" xfId="9" applyFont="1" applyFill="1" applyAlignment="1">
      <alignment horizontal="center" vertical="center" wrapText="1"/>
    </xf>
    <xf numFmtId="0" fontId="100" fillId="2" borderId="52" xfId="4" applyNumberFormat="1" applyFont="1" applyFill="1" applyBorder="1" applyAlignment="1">
      <alignment horizontal="center" vertical="center" wrapText="1"/>
    </xf>
    <xf numFmtId="179" fontId="101" fillId="2" borderId="24" xfId="0" applyNumberFormat="1" applyFont="1" applyFill="1" applyBorder="1" applyAlignment="1">
      <alignment horizontal="center" vertical="center" wrapText="1"/>
    </xf>
    <xf numFmtId="0" fontId="101" fillId="37" borderId="1" xfId="9" applyFont="1" applyFill="1" applyBorder="1" applyAlignment="1">
      <alignment horizontal="left" vertical="center" wrapText="1"/>
    </xf>
    <xf numFmtId="0" fontId="102" fillId="37" borderId="0" xfId="0" applyFont="1" applyFill="1" applyAlignment="1">
      <alignment vertical="center"/>
    </xf>
    <xf numFmtId="179" fontId="101" fillId="37" borderId="1" xfId="0" applyNumberFormat="1" applyFont="1" applyFill="1" applyBorder="1" applyAlignment="1">
      <alignment horizontal="center" vertical="center" wrapText="1"/>
    </xf>
    <xf numFmtId="0" fontId="101" fillId="37" borderId="1" xfId="15" applyFont="1" applyFill="1" applyBorder="1" applyAlignment="1">
      <alignment horizontal="center" vertical="center" wrapText="1"/>
    </xf>
    <xf numFmtId="0" fontId="101" fillId="37" borderId="1" xfId="0" applyFont="1" applyFill="1" applyBorder="1" applyAlignment="1">
      <alignment vertical="center" wrapText="1"/>
    </xf>
    <xf numFmtId="0" fontId="101" fillId="37" borderId="1" xfId="0" applyFont="1" applyFill="1" applyBorder="1" applyAlignment="1">
      <alignment horizontal="justify" vertical="center" wrapText="1"/>
    </xf>
    <xf numFmtId="14" fontId="101" fillId="37" borderId="1" xfId="0" applyNumberFormat="1" applyFont="1" applyFill="1" applyBorder="1" applyAlignment="1">
      <alignment horizontal="center" vertical="center" wrapText="1"/>
    </xf>
    <xf numFmtId="0" fontId="101" fillId="37" borderId="1" xfId="15" applyFont="1" applyFill="1" applyBorder="1" applyAlignment="1">
      <alignment horizontal="left" vertical="center" wrapText="1"/>
    </xf>
    <xf numFmtId="0" fontId="101" fillId="0" borderId="1" xfId="9" applyFont="1" applyBorder="1" applyAlignment="1">
      <alignment horizontal="justify" vertical="center" wrapText="1"/>
    </xf>
    <xf numFmtId="0" fontId="101" fillId="0" borderId="0" xfId="0" applyFont="1"/>
    <xf numFmtId="0" fontId="101" fillId="0" borderId="1" xfId="9" applyFont="1" applyBorder="1" applyAlignment="1">
      <alignment vertical="top" wrapText="1"/>
    </xf>
    <xf numFmtId="0" fontId="101" fillId="0" borderId="1" xfId="15" applyFont="1" applyBorder="1" applyAlignment="1">
      <alignment vertical="center"/>
    </xf>
    <xf numFmtId="0" fontId="101" fillId="37" borderId="1" xfId="9" applyFont="1" applyFill="1" applyBorder="1" applyAlignment="1">
      <alignment horizontal="left" vertical="top" wrapText="1"/>
    </xf>
    <xf numFmtId="0" fontId="101" fillId="37" borderId="0" xfId="0" applyFont="1" applyFill="1" applyAlignment="1">
      <alignment vertical="center" wrapText="1"/>
    </xf>
    <xf numFmtId="0" fontId="102" fillId="37" borderId="52" xfId="4" applyNumberFormat="1" applyFont="1" applyFill="1" applyBorder="1" applyAlignment="1">
      <alignment horizontal="center" vertical="center" wrapText="1"/>
    </xf>
    <xf numFmtId="0" fontId="102" fillId="37" borderId="1" xfId="4" applyNumberFormat="1" applyFont="1" applyFill="1" applyBorder="1" applyAlignment="1">
      <alignment horizontal="center" vertical="center" wrapText="1"/>
    </xf>
    <xf numFmtId="44" fontId="102" fillId="37" borderId="1" xfId="16" applyFont="1" applyFill="1" applyBorder="1" applyAlignment="1">
      <alignment horizontal="center" vertical="center" wrapText="1"/>
    </xf>
    <xf numFmtId="0" fontId="102" fillId="37" borderId="1" xfId="15" applyFont="1" applyFill="1" applyBorder="1" applyAlignment="1">
      <alignment vertical="center" wrapText="1"/>
    </xf>
    <xf numFmtId="0" fontId="102" fillId="37" borderId="1" xfId="9" applyFont="1" applyFill="1" applyBorder="1" applyAlignment="1">
      <alignment horizontal="center" vertical="center" wrapText="1"/>
    </xf>
    <xf numFmtId="0" fontId="102" fillId="37" borderId="1" xfId="9" applyFont="1" applyFill="1" applyBorder="1" applyAlignment="1">
      <alignment vertical="center" wrapText="1"/>
    </xf>
    <xf numFmtId="179" fontId="102" fillId="37" borderId="1" xfId="0" applyNumberFormat="1" applyFont="1" applyFill="1" applyBorder="1" applyAlignment="1" applyProtection="1">
      <alignment horizontal="center" vertical="center" wrapText="1"/>
      <protection locked="0"/>
    </xf>
    <xf numFmtId="0" fontId="102" fillId="37" borderId="1" xfId="0" applyFont="1" applyFill="1" applyBorder="1" applyAlignment="1">
      <alignment horizontal="center" vertical="center" wrapText="1"/>
    </xf>
    <xf numFmtId="1" fontId="102" fillId="37" borderId="1" xfId="0" applyNumberFormat="1" applyFont="1" applyFill="1" applyBorder="1" applyAlignment="1">
      <alignment horizontal="center" vertical="center" wrapText="1"/>
    </xf>
    <xf numFmtId="175" fontId="102" fillId="37" borderId="1" xfId="16" applyNumberFormat="1" applyFont="1" applyFill="1" applyBorder="1" applyAlignment="1">
      <alignment horizontal="center" vertical="center" wrapText="1"/>
    </xf>
    <xf numFmtId="0" fontId="101" fillId="37" borderId="1" xfId="9" applyFont="1" applyFill="1" applyBorder="1" applyAlignment="1">
      <alignment horizontal="justify" vertical="center" wrapText="1"/>
    </xf>
    <xf numFmtId="0" fontId="101" fillId="0" borderId="7" xfId="9" applyFont="1" applyBorder="1" applyAlignment="1">
      <alignment vertical="center" wrapText="1"/>
    </xf>
    <xf numFmtId="0" fontId="101" fillId="0" borderId="13" xfId="0" applyFont="1" applyBorder="1" applyAlignment="1">
      <alignment horizontal="center" vertical="center" wrapText="1"/>
    </xf>
    <xf numFmtId="0" fontId="5" fillId="2" borderId="1" xfId="0" applyFont="1" applyFill="1" applyBorder="1" applyAlignment="1">
      <alignment horizontal="center" vertical="center"/>
    </xf>
    <xf numFmtId="0" fontId="89" fillId="32" borderId="0" xfId="0" applyFont="1" applyFill="1" applyAlignment="1">
      <alignment horizontal="center"/>
    </xf>
    <xf numFmtId="37" fontId="100" fillId="0" borderId="0" xfId="0" applyNumberFormat="1" applyFont="1" applyAlignment="1">
      <alignment horizontal="center" vertical="center" wrapText="1"/>
    </xf>
    <xf numFmtId="15" fontId="100" fillId="0" borderId="0" xfId="0" applyNumberFormat="1" applyFont="1" applyAlignment="1">
      <alignment horizontal="center" vertical="center" wrapText="1"/>
    </xf>
    <xf numFmtId="37" fontId="95" fillId="0" borderId="0" xfId="0" applyNumberFormat="1" applyFont="1" applyAlignment="1">
      <alignment horizontal="left" vertical="center" wrapText="1"/>
    </xf>
    <xf numFmtId="15" fontId="94" fillId="0" borderId="0" xfId="0" applyNumberFormat="1" applyFont="1" applyAlignment="1">
      <alignment horizontal="center" vertical="center" wrapText="1"/>
    </xf>
    <xf numFmtId="37" fontId="99" fillId="0" borderId="0" xfId="0" applyNumberFormat="1" applyFont="1" applyAlignment="1">
      <alignment horizontal="center" vertical="center" wrapText="1"/>
    </xf>
    <xf numFmtId="15" fontId="101" fillId="0" borderId="0" xfId="0" applyNumberFormat="1" applyFont="1" applyAlignment="1">
      <alignment horizontal="center" vertical="center" wrapText="1"/>
    </xf>
    <xf numFmtId="0" fontId="32" fillId="0" borderId="32" xfId="9" applyFont="1" applyBorder="1" applyAlignment="1">
      <alignment horizontal="center" vertical="center" wrapText="1"/>
    </xf>
    <xf numFmtId="0" fontId="25" fillId="0" borderId="26" xfId="9" applyFont="1" applyBorder="1" applyAlignment="1">
      <alignment horizontal="left" vertical="center" wrapText="1"/>
    </xf>
    <xf numFmtId="0" fontId="25" fillId="0" borderId="17" xfId="9" applyFont="1" applyBorder="1" applyAlignment="1">
      <alignment horizontal="left" vertical="center" wrapText="1"/>
    </xf>
    <xf numFmtId="0" fontId="25" fillId="0" borderId="13" xfId="9" applyFont="1" applyBorder="1" applyAlignment="1">
      <alignment horizontal="center"/>
    </xf>
    <xf numFmtId="0" fontId="25" fillId="0" borderId="1" xfId="9" applyFont="1" applyBorder="1" applyAlignment="1">
      <alignment horizontal="center"/>
    </xf>
    <xf numFmtId="0" fontId="25" fillId="0" borderId="13" xfId="9" applyFont="1" applyBorder="1" applyAlignment="1">
      <alignment horizontal="left" vertical="center" wrapText="1"/>
    </xf>
    <xf numFmtId="0" fontId="25" fillId="0" borderId="1" xfId="9" applyFont="1" applyBorder="1" applyAlignment="1">
      <alignment horizontal="left" vertical="center" wrapText="1"/>
    </xf>
    <xf numFmtId="0" fontId="25" fillId="0" borderId="13" xfId="9" applyFont="1" applyBorder="1" applyAlignment="1">
      <alignment horizontal="left" vertical="center"/>
    </xf>
    <xf numFmtId="0" fontId="25" fillId="0" borderId="1" xfId="9" applyFont="1" applyBorder="1" applyAlignment="1">
      <alignment horizontal="left" vertical="center"/>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4"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32" fillId="3" borderId="32" xfId="9" applyFont="1" applyFill="1" applyBorder="1" applyAlignment="1">
      <alignment horizontal="center"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xf>
    <xf numFmtId="0" fontId="26" fillId="0" borderId="42" xfId="9" applyFont="1" applyBorder="1" applyAlignment="1">
      <alignment horizontal="center" vertical="center"/>
    </xf>
    <xf numFmtId="0" fontId="26" fillId="0" borderId="13" xfId="9" applyFont="1" applyBorder="1" applyAlignment="1">
      <alignment horizontal="center" vertical="center"/>
    </xf>
    <xf numFmtId="0" fontId="26" fillId="0" borderId="42"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7" xfId="9" applyFont="1" applyBorder="1" applyAlignment="1">
      <alignment horizontal="left" vertical="center"/>
    </xf>
    <xf numFmtId="0" fontId="26" fillId="0" borderId="24"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7" fillId="2" borderId="30" xfId="0" applyFont="1" applyFill="1" applyBorder="1" applyAlignment="1">
      <alignment horizontal="left"/>
    </xf>
    <xf numFmtId="0" fontId="27" fillId="2" borderId="0" xfId="0" applyFont="1" applyFill="1" applyAlignment="1">
      <alignment horizontal="left"/>
    </xf>
  </cellXfs>
  <cellStyles count="17">
    <cellStyle name="BodyStyle" xfId="8" xr:uid="{00000000-0005-0000-0000-000000000000}"/>
    <cellStyle name="Currency" xfId="16" xr:uid="{00000000-0005-0000-0000-000001000000}"/>
    <cellStyle name="HeaderStyle" xfId="13" xr:uid="{00000000-0005-0000-0000-000002000000}"/>
    <cellStyle name="MainTitle" xfId="12" xr:uid="{00000000-0005-0000-0000-000003000000}"/>
    <cellStyle name="Millares" xfId="4" builtinId="3"/>
    <cellStyle name="Millares [0]" xfId="2" builtinId="6"/>
    <cellStyle name="Millares [0] 2" xfId="10" xr:uid="{00000000-0005-0000-0000-000006000000}"/>
    <cellStyle name="Millares 2" xfId="7" xr:uid="{00000000-0005-0000-0000-000007000000}"/>
    <cellStyle name="Millares 3" xfId="5" xr:uid="{00000000-0005-0000-0000-000008000000}"/>
    <cellStyle name="Moneda [0]" xfId="3" builtinId="7"/>
    <cellStyle name="Moneda [0] 2" xfId="11" xr:uid="{00000000-0005-0000-0000-00000A000000}"/>
    <cellStyle name="Moneda 2" xfId="6" xr:uid="{00000000-0005-0000-0000-00000B000000}"/>
    <cellStyle name="Normal" xfId="0" builtinId="0"/>
    <cellStyle name="Normal 2" xfId="9" xr:uid="{00000000-0005-0000-0000-00000D000000}"/>
    <cellStyle name="Normal 2 10" xfId="15" xr:uid="{00000000-0005-0000-0000-00000E000000}"/>
    <cellStyle name="Normal 4 2" xfId="14" xr:uid="{00000000-0005-0000-0000-00000F000000}"/>
    <cellStyle name="Porcentaje" xfId="1" builtinId="5"/>
  </cellStyles>
  <dxfs count="45">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fill>
        <patternFill patternType="none">
          <fgColor indexed="64"/>
          <bgColor theme="0"/>
        </patternFill>
      </fill>
    </dxf>
    <dxf>
      <font>
        <b val="0"/>
        <i val="0"/>
        <strike val="0"/>
        <condense val="0"/>
        <extend val="0"/>
        <outline val="0"/>
        <shadow val="0"/>
        <u val="none"/>
        <vertAlign val="baseline"/>
        <sz val="12"/>
        <color theme="1"/>
        <name val="Tahoma"/>
        <scheme val="none"/>
      </font>
    </dxf>
    <dxf>
      <fill>
        <patternFill>
          <fgColor indexed="64"/>
          <bgColor theme="0"/>
        </patternFill>
      </fill>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center"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border diagonalUp="0" diagonalDown="0" outline="0">
        <left style="thin">
          <color indexed="64"/>
        </left>
        <right style="thin">
          <color indexed="64"/>
        </right>
        <top/>
        <bottom/>
      </border>
    </dxf>
    <dxf>
      <fill>
        <patternFill>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center" vertical="bottom" textRotation="0" wrapText="0" indent="0" justifyLastLine="0" shrinkToFit="0" readingOrder="0"/>
      <border diagonalUp="0" diagonalDown="0" outline="0">
        <left style="thin">
          <color indexed="64"/>
        </left>
        <right/>
        <top/>
        <bottom/>
      </border>
    </dxf>
    <dxf>
      <fill>
        <patternFill patternType="solid">
          <fgColor indexed="64"/>
          <bgColor theme="0"/>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scheme val="none"/>
      </font>
      <numFmt numFmtId="179" formatCode="d/mm/yyyy;@"/>
      <fill>
        <patternFill patternType="solid">
          <fgColor indexed="64"/>
          <bgColor theme="0"/>
        </patternFill>
      </fill>
      <border diagonalUp="0" diagonalDown="0" outline="0">
        <left style="thin">
          <color indexed="64"/>
        </left>
        <right style="thin">
          <color indexed="64"/>
        </right>
        <top/>
        <bottom/>
      </border>
    </dxf>
    <dxf>
      <numFmt numFmtId="179" formatCode="d/mm/yyyy;@"/>
      <fill>
        <patternFill patternType="solid">
          <fgColor indexed="64"/>
          <bgColor theme="0"/>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center"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ill>
        <patternFill patternType="solid">
          <fgColor rgb="FFF4B084"/>
          <bgColor rgb="FF000000"/>
        </patternFill>
      </fill>
    </dxf>
    <dxf>
      <border outline="0">
        <left style="thin">
          <color rgb="FF000000"/>
        </left>
      </border>
    </dxf>
    <dxf>
      <fill>
        <patternFill>
          <fgColor indexed="64"/>
          <bgColor theme="0"/>
        </patternFill>
      </fill>
    </dxf>
    <dxf>
      <font>
        <b/>
        <i val="0"/>
        <strike val="0"/>
        <condense val="0"/>
        <extend val="0"/>
        <outline val="0"/>
        <shadow val="0"/>
        <u val="none"/>
        <vertAlign val="baseline"/>
        <sz val="12"/>
        <color auto="1"/>
        <name val="Tahoma"/>
        <scheme val="none"/>
      </font>
      <numFmt numFmtId="0" formatCode="General"/>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se alberto Abril Benal" id="{A9171924-3C36-453C-8C19-B68B6C89FD45}" userId="S::joabril@bomberosbogota.gov.co::81cdeaac-10cc-4eb5-a5ad-c1a39a02d372"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y Marcela Bonilla Rico" refreshedDate="44319.805660532409" createdVersion="7" refreshedVersion="7" minRefreshableVersion="3" recordCount="909" xr:uid="{00000000-000A-0000-FFFF-FFFF04000000}">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42">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42">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 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6" displayName="Tabla16" ref="A6:W1133" totalsRowCount="1" headerRowDxfId="44" dataDxfId="43" tableBorderDxfId="42">
  <autoFilter ref="A6:W1132" xr:uid="{00000000-0009-0000-0100-000003000000}">
    <filterColumn colId="1">
      <colorFilter dxfId="41"/>
    </filterColumn>
  </autoFilter>
  <sortState xmlns:xlrd2="http://schemas.microsoft.com/office/spreadsheetml/2017/richdata2" ref="A7:W1132">
    <sortCondition ref="A6:A1132"/>
  </sortState>
  <tableColumns count="23">
    <tableColumn id="1" xr3:uid="{00000000-0010-0000-0000-000001000000}" name="ID" dataDxfId="40" totalsRowDxfId="39"/>
    <tableColumn id="2" xr3:uid="{00000000-0010-0000-0000-000002000000}" name="Rubro" dataDxfId="38" totalsRowDxfId="37"/>
    <tableColumn id="3" xr3:uid="{00000000-0010-0000-0000-000003000000}" name="Código y Nombre del Rubro" dataDxfId="36" totalsRowDxfId="35"/>
    <tableColumn id="4" xr3:uid="{00000000-0010-0000-0000-000004000000}" name="Dependencia" dataDxfId="34" totalsRowDxfId="33" dataCellStyle="Normal 2 10"/>
    <tableColumn id="5" xr3:uid="{00000000-0010-0000-0000-000005000000}" name="Código UNSPSC (cada código separado por ;)" dataDxfId="32" totalsRowDxfId="31"/>
    <tableColumn id="6" xr3:uid="{00000000-0010-0000-0000-000006000000}" name="Descripción- Objeto" dataDxfId="30" totalsRowDxfId="29" dataCellStyle="Normal 2"/>
    <tableColumn id="7" xr3:uid="{00000000-0010-0000-0000-000007000000}" name="Fecha estimada de inicio de proceso de selección (día/mes/año)" dataDxfId="28" totalsRowDxfId="27"/>
    <tableColumn id="8" xr3:uid="{00000000-0010-0000-0000-000008000000}" name="Fecha estimada de presentación de ofertas (día/mes/año)" dataDxfId="26" totalsRowDxfId="25"/>
    <tableColumn id="9" xr3:uid="{00000000-0010-0000-0000-000009000000}" name="Duración estimada del contrato  (Meses)" dataDxfId="24" totalsRowDxfId="23"/>
    <tableColumn id="10" xr3:uid="{00000000-0010-0000-0000-00000A000000}" name="Modalidad de selección " dataDxfId="22" totalsRowDxfId="21"/>
    <tableColumn id="11" xr3:uid="{00000000-0010-0000-0000-00000B000000}" name="Fuente de los recursos" dataDxfId="20" totalsRowDxfId="19"/>
    <tableColumn id="12" xr3:uid="{00000000-0010-0000-0000-00000C000000}" name="Concepto del Gasto -POSPRE(SDH)" dataDxfId="18" totalsRowDxfId="17"/>
    <tableColumn id="13" xr3:uid="{00000000-0010-0000-0000-00000D000000}" name="Valor total estimado" dataDxfId="16" totalsRowDxfId="15"/>
    <tableColumn id="14" xr3:uid="{00000000-0010-0000-0000-00000E000000}" name="Meta Proyecto de Inversión" dataDxfId="14" totalsRowDxfId="13" dataCellStyle="Normal 2"/>
    <tableColumn id="15" xr3:uid="{00000000-0010-0000-0000-00000F000000}" name="Meta Producto/Meta producto " dataDxfId="12" totalsRowDxfId="11"/>
    <tableColumn id="16" xr3:uid="{00000000-0010-0000-0000-000010000000}" name="SI SECOP/NO SECOP " dataDxfId="10" totalsRowDxfId="9"/>
    <tableColumn id="17" xr3:uid="{00000000-0010-0000-0000-000011000000}" name="Columna2" dataDxfId="8"/>
    <tableColumn id="18" xr3:uid="{00000000-0010-0000-0000-000012000000}" name="CDPS A 31 JULIO 2022" dataDxfId="7" dataCellStyle="Currency"/>
    <tableColumn id="19" xr3:uid="{00000000-0010-0000-0000-000013000000}" name="CDP" dataDxfId="6" dataCellStyle="Currency"/>
    <tableColumn id="23" xr3:uid="{00000000-0010-0000-0000-000017000000}" name="Columna1" dataDxfId="5" dataCellStyle="Currency">
      <calculatedColumnFormula>+Tabla16[[#This Row],[CDPS A 31 JULIO 2022]]-Tabla16[[#This Row],[CDP]]</calculatedColumnFormula>
    </tableColumn>
    <tableColumn id="20" xr3:uid="{00000000-0010-0000-0000-000014000000}" name="RP" dataDxfId="4" totalsRowDxfId="3" dataCellStyle="Currency"/>
    <tableColumn id="21" xr3:uid="{00000000-0010-0000-0000-000015000000}" name="GIROS" dataDxfId="2" totalsRowDxfId="1" dataCellStyle="Currency"/>
    <tableColumn id="22" xr3:uid="{00000000-0010-0000-0000-000016000000}" name="viabilidad" dataDxfId="0" dataCellStyle="Currency"/>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426" dT="2022-08-08T16:53:12.33" personId="{A9171924-3C36-453C-8C19-B68B6C89FD45}" id="{92533C56-294F-49A0-B8C2-F7C065AE26D7}">
    <text>ANULACION</text>
  </threadedComment>
  <threadedComment ref="T483" dT="2022-08-08T16:54:00.39" personId="{A9171924-3C36-453C-8C19-B68B6C89FD45}" id="{4B80BF80-1ED0-4CEB-8083-AF187859AC49}">
    <text>ANULACION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S132"/>
  <sheetViews>
    <sheetView zoomScale="70" zoomScaleNormal="70" workbookViewId="0">
      <selection activeCell="U8" sqref="U8:W96"/>
    </sheetView>
  </sheetViews>
  <sheetFormatPr baseColWidth="10" defaultColWidth="11.54296875" defaultRowHeight="14.5" x14ac:dyDescent="0.35"/>
  <cols>
    <col min="1" max="1" width="30.453125" bestFit="1" customWidth="1"/>
    <col min="2" max="2" width="27.7265625" bestFit="1" customWidth="1"/>
    <col min="3" max="3" width="20.7265625" bestFit="1" customWidth="1"/>
    <col min="4" max="4" width="39.1796875" customWidth="1"/>
    <col min="5" max="5" width="44.453125" customWidth="1"/>
    <col min="6" max="6" width="42.1796875" customWidth="1"/>
    <col min="7" max="7" width="24.54296875" customWidth="1"/>
    <col min="8" max="8" width="19.26953125" customWidth="1"/>
    <col min="9" max="9" width="19.7265625" customWidth="1"/>
    <col min="10" max="13" width="20.26953125" customWidth="1"/>
    <col min="14" max="14" width="35.54296875" customWidth="1"/>
    <col min="15" max="15" width="33.7265625" style="1" customWidth="1"/>
    <col min="16" max="19" width="42.453125" customWidth="1"/>
    <col min="20" max="20" width="30.453125" customWidth="1"/>
    <col min="21" max="21" width="21.7265625" customWidth="1"/>
    <col min="22" max="22" width="22.26953125" bestFit="1" customWidth="1"/>
    <col min="23" max="23" width="23.54296875" customWidth="1"/>
    <col min="24" max="24" width="23" style="127" customWidth="1"/>
    <col min="25" max="25" width="27.1796875" style="127" bestFit="1" customWidth="1"/>
    <col min="26" max="26" width="24.1796875" style="129" customWidth="1"/>
    <col min="27" max="27" width="11.54296875" style="128" bestFit="1" customWidth="1"/>
    <col min="28" max="28" width="28" bestFit="1" customWidth="1"/>
    <col min="29" max="29" width="21.453125" style="130" customWidth="1"/>
    <col min="43" max="43" width="19.81640625" bestFit="1" customWidth="1"/>
    <col min="44" max="44" width="18.54296875" bestFit="1" customWidth="1"/>
    <col min="45" max="45" width="11.54296875" bestFit="1" customWidth="1"/>
  </cols>
  <sheetData>
    <row r="3" spans="1:29" s="1" customFormat="1" ht="35.25" customHeight="1" x14ac:dyDescent="0.45">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x14ac:dyDescent="0.35">
      <c r="F4" s="8"/>
      <c r="G4" s="8"/>
      <c r="H4" s="8"/>
      <c r="I4" s="8"/>
      <c r="J4" s="14"/>
      <c r="K4" s="8"/>
      <c r="L4" s="9"/>
      <c r="M4" s="9"/>
      <c r="N4" s="9"/>
      <c r="O4" s="10"/>
      <c r="P4" s="11"/>
      <c r="Q4" s="11"/>
      <c r="R4" s="11"/>
      <c r="S4" s="547" t="s">
        <v>2</v>
      </c>
      <c r="T4" s="10"/>
      <c r="X4" s="12"/>
      <c r="Y4" s="12"/>
      <c r="Z4" s="12"/>
      <c r="AA4" s="13"/>
    </row>
    <row r="5" spans="1:29" s="1" customFormat="1" ht="20.25" customHeight="1" x14ac:dyDescent="0.35">
      <c r="F5" s="15"/>
      <c r="G5" s="1446" t="s">
        <v>3</v>
      </c>
      <c r="H5" s="1446"/>
      <c r="I5" s="1446"/>
      <c r="J5" s="16"/>
      <c r="K5" s="16"/>
      <c r="L5" s="1446" t="s">
        <v>4</v>
      </c>
      <c r="M5" s="1446"/>
      <c r="N5" s="1446"/>
      <c r="O5" s="17"/>
      <c r="P5" s="18" t="s">
        <v>5</v>
      </c>
      <c r="Q5" s="548"/>
      <c r="R5" s="548"/>
      <c r="S5" s="329" t="s">
        <v>6</v>
      </c>
      <c r="T5" s="549" t="s">
        <v>7</v>
      </c>
      <c r="X5" s="12"/>
      <c r="Y5" s="12"/>
      <c r="Z5" s="12"/>
      <c r="AA5" s="13"/>
    </row>
    <row r="6" spans="1:29" s="1" customFormat="1" x14ac:dyDescent="0.35">
      <c r="F6" s="15"/>
      <c r="G6" s="436"/>
      <c r="H6" s="436"/>
      <c r="I6" s="436"/>
      <c r="J6" s="15"/>
      <c r="K6" s="15"/>
      <c r="L6" s="436"/>
      <c r="M6" s="436"/>
      <c r="N6" s="436"/>
      <c r="O6" s="303"/>
      <c r="P6" s="304"/>
      <c r="Q6" s="548"/>
      <c r="R6" s="548"/>
      <c r="S6" s="550" t="s">
        <v>8</v>
      </c>
      <c r="T6" s="549"/>
      <c r="X6" s="12"/>
      <c r="Y6" s="12"/>
      <c r="Z6" s="12"/>
      <c r="AA6" s="13"/>
    </row>
    <row r="7" spans="1:29" s="29" customFormat="1" ht="45" customHeight="1" x14ac:dyDescent="0.35">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x14ac:dyDescent="0.35">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x14ac:dyDescent="0.35">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x14ac:dyDescent="0.35">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x14ac:dyDescent="0.35">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x14ac:dyDescent="0.35">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x14ac:dyDescent="0.35">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x14ac:dyDescent="0.35">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x14ac:dyDescent="0.3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x14ac:dyDescent="0.35">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x14ac:dyDescent="0.35">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x14ac:dyDescent="0.35">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x14ac:dyDescent="0.35">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x14ac:dyDescent="0.35">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x14ac:dyDescent="0.35">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x14ac:dyDescent="0.35">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x14ac:dyDescent="0.35">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x14ac:dyDescent="0.4">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400000000000006" customHeight="1" thickBot="1" x14ac:dyDescent="0.4">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400000000000006" customHeight="1" thickBot="1" x14ac:dyDescent="0.4">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62.5" thickBot="1" x14ac:dyDescent="0.4">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400000000000006" customHeight="1" thickBot="1" x14ac:dyDescent="0.4">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400000000000006" customHeight="1" thickBot="1" x14ac:dyDescent="0.4">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x14ac:dyDescent="0.4">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x14ac:dyDescent="0.4">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400000000000006" customHeight="1" thickBot="1" x14ac:dyDescent="0.4">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x14ac:dyDescent="0.4">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x14ac:dyDescent="0.4">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x14ac:dyDescent="0.4">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400000000000006" customHeight="1" thickBot="1" x14ac:dyDescent="0.4">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x14ac:dyDescent="0.4">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x14ac:dyDescent="0.4">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400000000000006" customHeight="1" thickBot="1" x14ac:dyDescent="0.4">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x14ac:dyDescent="0.35">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x14ac:dyDescent="0.35">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x14ac:dyDescent="0.35">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x14ac:dyDescent="0.35">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400000000000006" customHeight="1" x14ac:dyDescent="0.35">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400000000000006" customHeight="1" x14ac:dyDescent="0.35">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400000000000006" customHeight="1" x14ac:dyDescent="0.35">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x14ac:dyDescent="0.35">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x14ac:dyDescent="0.35">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400000000000006" customHeight="1" x14ac:dyDescent="0.35">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400000000000006" customHeight="1" x14ac:dyDescent="0.35">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400000000000006" customHeight="1" x14ac:dyDescent="0.35">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x14ac:dyDescent="0.35">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08.5" x14ac:dyDescent="0.3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08.5" x14ac:dyDescent="0.3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x14ac:dyDescent="0.35">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4" x14ac:dyDescent="0.35">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400000000000006" customHeight="1" x14ac:dyDescent="0.35">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400000000000006" customHeight="1" x14ac:dyDescent="0.35">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400000000000006" customHeight="1" x14ac:dyDescent="0.35">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400000000000006" customHeight="1" x14ac:dyDescent="0.35">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400000000000006" customHeight="1" x14ac:dyDescent="0.35">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400000000000006" customHeight="1" x14ac:dyDescent="0.35">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x14ac:dyDescent="0.35">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x14ac:dyDescent="0.35">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400000000000006" customHeight="1" x14ac:dyDescent="0.35">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400000000000006" customHeight="1" x14ac:dyDescent="0.35">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400000000000006" customHeight="1" x14ac:dyDescent="0.35">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400000000000006" customHeight="1" x14ac:dyDescent="0.35">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400000000000006" customHeight="1" x14ac:dyDescent="0.35">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x14ac:dyDescent="0.35">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x14ac:dyDescent="0.35">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400000000000006" customHeight="1" x14ac:dyDescent="0.35">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400000000000006" customHeight="1" x14ac:dyDescent="0.35">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x14ac:dyDescent="0.35">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400000000000006" customHeight="1" x14ac:dyDescent="0.35">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400000000000006" customHeight="1" x14ac:dyDescent="0.35">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400000000000006" customHeight="1" x14ac:dyDescent="0.35">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400000000000006" customHeight="1" x14ac:dyDescent="0.35">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69" x14ac:dyDescent="0.3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x14ac:dyDescent="0.35">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400000000000006" customHeight="1" x14ac:dyDescent="0.35">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400000000000006" customHeight="1" x14ac:dyDescent="0.35">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400000000000006" customHeight="1" x14ac:dyDescent="0.35">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x14ac:dyDescent="0.35">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400000000000006" customHeight="1" x14ac:dyDescent="0.35">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400000000000006" customHeight="1" x14ac:dyDescent="0.35">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400000000000006" customHeight="1" x14ac:dyDescent="0.35">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400000000000006" customHeight="1" x14ac:dyDescent="0.35">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400000000000006" customHeight="1" x14ac:dyDescent="0.35">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400000000000006" customHeight="1" x14ac:dyDescent="0.35">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400000000000006" customHeight="1" x14ac:dyDescent="0.35">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400000000000006" customHeight="1" x14ac:dyDescent="0.35">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x14ac:dyDescent="0.35">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400000000000006" customHeight="1" x14ac:dyDescent="0.35">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400000000000006" customHeight="1" x14ac:dyDescent="0.35">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400000000000006" customHeight="1" x14ac:dyDescent="0.35">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5" x14ac:dyDescent="0.35">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400000000000006" customHeight="1" x14ac:dyDescent="0.35">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x14ac:dyDescent="0.35">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x14ac:dyDescent="0.35">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x14ac:dyDescent="0.35">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x14ac:dyDescent="0.35">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x14ac:dyDescent="0.35">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x14ac:dyDescent="0.35">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x14ac:dyDescent="0.35">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x14ac:dyDescent="0.35">
      <c r="R106" s="3"/>
      <c r="X106" s="442"/>
      <c r="Z106" s="443"/>
      <c r="AB106" s="3"/>
    </row>
    <row r="107" spans="1:45" x14ac:dyDescent="0.35">
      <c r="R107" s="3"/>
      <c r="T107" s="4"/>
      <c r="X107" s="442"/>
      <c r="Z107" s="443"/>
      <c r="AB107" s="3"/>
    </row>
    <row r="108" spans="1:45" s="127" customFormat="1" x14ac:dyDescent="0.35">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x14ac:dyDescent="0.35">
      <c r="R109" s="3"/>
      <c r="X109" s="442"/>
      <c r="Z109" s="443"/>
    </row>
    <row r="110" spans="1:45" x14ac:dyDescent="0.35">
      <c r="R110" s="3"/>
      <c r="X110" s="442"/>
      <c r="Z110" s="443"/>
    </row>
    <row r="111" spans="1:45" x14ac:dyDescent="0.35">
      <c r="R111" s="3"/>
      <c r="X111" s="442"/>
      <c r="Z111" s="443"/>
    </row>
    <row r="112" spans="1:45" x14ac:dyDescent="0.35">
      <c r="R112" s="3"/>
      <c r="X112" s="442"/>
      <c r="Z112" s="443"/>
    </row>
    <row r="113" spans="1:45" x14ac:dyDescent="0.35">
      <c r="X113" s="442"/>
      <c r="Z113" s="443"/>
    </row>
    <row r="114" spans="1:45" x14ac:dyDescent="0.35">
      <c r="X114" s="442"/>
      <c r="Z114" s="443"/>
    </row>
    <row r="115" spans="1:45" x14ac:dyDescent="0.35">
      <c r="X115" s="442"/>
      <c r="Z115" s="443"/>
    </row>
    <row r="116" spans="1:45" s="128" customFormat="1" x14ac:dyDescent="0.35">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x14ac:dyDescent="0.35">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x14ac:dyDescent="0.35">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x14ac:dyDescent="0.35">
      <c r="X130" s="127">
        <v>32981688529</v>
      </c>
    </row>
    <row r="131" spans="24:24" x14ac:dyDescent="0.35">
      <c r="X131" s="127">
        <v>60460372</v>
      </c>
    </row>
    <row r="132" spans="24:24" x14ac:dyDescent="0.35">
      <c r="X132" s="127">
        <f>+X130+X131</f>
        <v>33042148901</v>
      </c>
    </row>
  </sheetData>
  <mergeCells count="2">
    <mergeCell ref="G5:I5"/>
    <mergeCell ref="L5:N5"/>
  </mergeCells>
  <dataValidations count="8">
    <dataValidation type="list" allowBlank="1" showInputMessage="1" showErrorMessage="1" sqref="D79 D85:D88" xr:uid="{00000000-0002-0000-0000-000000000000}">
      <formula1>$E$360:$E$371</formula1>
    </dataValidation>
    <dataValidation type="list" allowBlank="1" showInputMessage="1" showErrorMessage="1" sqref="D89 D93:D94" xr:uid="{00000000-0002-0000-0000-000001000000}">
      <formula1>$E$369:$E$380</formula1>
    </dataValidation>
    <dataValidation type="list" allowBlank="1" showInputMessage="1" showErrorMessage="1" sqref="D68:D73 D96 D76:D78 D91:D92 D81:D84" xr:uid="{00000000-0002-0000-0000-000002000000}">
      <formula1>$E$374:$E$385</formula1>
    </dataValidation>
    <dataValidation showDropDown="1" showInputMessage="1" showErrorMessage="1" sqref="D80" xr:uid="{00000000-0002-0000-0000-000003000000}"/>
    <dataValidation showInputMessage="1" showErrorMessage="1" sqref="D74:D75" xr:uid="{00000000-0002-0000-0000-000004000000}"/>
    <dataValidation type="list" allowBlank="1" showInputMessage="1" showErrorMessage="1" sqref="C40:C96" xr:uid="{00000000-0002-0000-0000-000005000000}">
      <formula1>$C$339:$C$343</formula1>
    </dataValidation>
    <dataValidation type="list" allowBlank="1" showInputMessage="1" showErrorMessage="1" sqref="B40:B96" xr:uid="{00000000-0002-0000-0000-000006000000}">
      <formula1>$B$339:$B$343</formula1>
    </dataValidation>
    <dataValidation type="list" allowBlank="1" showInputMessage="1" showErrorMessage="1" sqref="A40:A96" xr:uid="{00000000-0002-0000-0000-000007000000}">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626"/>
  <sheetViews>
    <sheetView zoomScale="70" zoomScaleNormal="70" workbookViewId="0">
      <pane ySplit="6" topLeftCell="A403" activePane="bottomLeft" state="frozen"/>
      <selection pane="bottomLeft" activeCell="D406" sqref="D406"/>
    </sheetView>
  </sheetViews>
  <sheetFormatPr baseColWidth="10" defaultColWidth="11.453125" defaultRowHeight="15" x14ac:dyDescent="0.3"/>
  <cols>
    <col min="1" max="1" width="25.81640625" style="1298" customWidth="1"/>
    <col min="2" max="2" width="19.81640625" style="1299" bestFit="1" customWidth="1"/>
    <col min="3" max="3" width="29.453125" style="1298" customWidth="1"/>
    <col min="4" max="4" width="18.453125" style="1207" customWidth="1"/>
    <col min="5" max="5" width="24.7265625" style="1300" customWidth="1"/>
    <col min="6" max="6" width="67.81640625" style="1298" customWidth="1"/>
    <col min="7" max="8" width="24.54296875" style="1207" customWidth="1"/>
    <col min="9" max="9" width="19.26953125" style="1207" customWidth="1"/>
    <col min="10" max="10" width="25.54296875" style="1207" customWidth="1"/>
    <col min="11" max="11" width="22.7265625" style="1207" customWidth="1"/>
    <col min="12" max="12" width="35.81640625" style="1300" customWidth="1"/>
    <col min="13" max="13" width="21.7265625" style="1207" customWidth="1"/>
    <col min="14" max="14" width="47.26953125" style="1207" customWidth="1"/>
    <col min="15" max="15" width="49.81640625" style="1207" customWidth="1"/>
    <col min="16" max="16" width="19.453125" style="1207" bestFit="1" customWidth="1"/>
    <col min="17" max="17" width="17.81640625" style="1207" bestFit="1" customWidth="1"/>
    <col min="18" max="18" width="14.81640625" style="1207" bestFit="1" customWidth="1"/>
    <col min="19" max="16384" width="11.453125" style="1207"/>
  </cols>
  <sheetData>
    <row r="1" spans="1:18" s="1159" customFormat="1" x14ac:dyDescent="0.35">
      <c r="A1" s="1452" t="s">
        <v>641</v>
      </c>
      <c r="B1" s="1452"/>
      <c r="C1" s="1452"/>
      <c r="D1" s="1452"/>
      <c r="E1" s="1452"/>
      <c r="F1" s="1452"/>
      <c r="G1" s="1452"/>
      <c r="H1" s="1452"/>
      <c r="I1" s="1452"/>
      <c r="J1" s="1452"/>
      <c r="K1" s="1452"/>
      <c r="L1" s="1452"/>
      <c r="M1" s="1158"/>
      <c r="N1" s="1158"/>
      <c r="O1" s="1158"/>
    </row>
    <row r="2" spans="1:18" s="1159" customFormat="1" x14ac:dyDescent="0.35">
      <c r="A2" s="1448"/>
      <c r="B2" s="1448"/>
      <c r="C2" s="1448"/>
      <c r="D2" s="1448"/>
      <c r="E2" s="1448"/>
      <c r="F2" s="1448"/>
      <c r="G2" s="1448"/>
      <c r="H2" s="1448"/>
      <c r="I2" s="1448"/>
      <c r="J2" s="1448"/>
      <c r="K2" s="1448"/>
      <c r="L2" s="1448"/>
      <c r="M2" s="1158"/>
      <c r="N2" s="1158"/>
      <c r="O2" s="1158"/>
    </row>
    <row r="3" spans="1:18" s="1159" customFormat="1" x14ac:dyDescent="0.35">
      <c r="A3" s="1448" t="s">
        <v>1595</v>
      </c>
      <c r="B3" s="1448"/>
      <c r="C3" s="1448"/>
      <c r="D3" s="1448"/>
      <c r="E3" s="1448"/>
      <c r="F3" s="1448"/>
      <c r="G3" s="1448"/>
      <c r="H3" s="1448"/>
      <c r="I3" s="1448"/>
      <c r="J3" s="1448"/>
      <c r="K3" s="1448"/>
      <c r="L3" s="1448"/>
      <c r="M3" s="1448"/>
      <c r="N3" s="1448"/>
      <c r="O3" s="1448"/>
    </row>
    <row r="4" spans="1:18" s="1159" customFormat="1" x14ac:dyDescent="0.35">
      <c r="B4" s="1160"/>
      <c r="D4" s="1161"/>
      <c r="E4" s="1160"/>
      <c r="G4" s="1161"/>
      <c r="H4" s="1161"/>
      <c r="I4" s="1161"/>
      <c r="J4" s="1161"/>
      <c r="K4" s="1161"/>
      <c r="L4" s="1162"/>
      <c r="M4" s="1453" t="s">
        <v>1596</v>
      </c>
      <c r="N4" s="1453"/>
    </row>
    <row r="5" spans="1:18" s="1159" customFormat="1" x14ac:dyDescent="0.35">
      <c r="A5" s="1163"/>
      <c r="B5" s="1164"/>
      <c r="C5" s="1163"/>
      <c r="D5" s="1163"/>
      <c r="E5" s="1160"/>
      <c r="K5" s="1165"/>
      <c r="L5" s="1166"/>
      <c r="M5" s="1167">
        <f>+SUBTOTAL(9,M7:M625)</f>
        <v>67240064999.699997</v>
      </c>
      <c r="N5" s="1168"/>
    </row>
    <row r="6" spans="1:18" s="1159" customFormat="1" ht="75" x14ac:dyDescent="0.35">
      <c r="A6" s="1169" t="s">
        <v>646</v>
      </c>
      <c r="B6" s="1169" t="s">
        <v>642</v>
      </c>
      <c r="C6" s="1169" t="s">
        <v>647</v>
      </c>
      <c r="D6" s="1169" t="s">
        <v>648</v>
      </c>
      <c r="E6" s="1169" t="s">
        <v>649</v>
      </c>
      <c r="F6" s="1170" t="s">
        <v>1597</v>
      </c>
      <c r="G6" s="1170" t="s">
        <v>1598</v>
      </c>
      <c r="H6" s="1170" t="s">
        <v>1599</v>
      </c>
      <c r="I6" s="1169" t="s">
        <v>1600</v>
      </c>
      <c r="J6" s="1169" t="s">
        <v>654</v>
      </c>
      <c r="K6" s="1169" t="s">
        <v>655</v>
      </c>
      <c r="L6" s="1171" t="s">
        <v>656</v>
      </c>
      <c r="M6" s="1169" t="s">
        <v>657</v>
      </c>
      <c r="N6" s="1169" t="s">
        <v>658</v>
      </c>
      <c r="O6" s="1169" t="s">
        <v>1411</v>
      </c>
    </row>
    <row r="7" spans="1:18" s="1159" customFormat="1" ht="105" x14ac:dyDescent="0.35">
      <c r="A7" s="1172">
        <v>2022001</v>
      </c>
      <c r="B7" s="1172">
        <v>7637</v>
      </c>
      <c r="C7" s="1172" t="s">
        <v>643</v>
      </c>
      <c r="D7" s="1173" t="s">
        <v>671</v>
      </c>
      <c r="E7" s="1174">
        <v>80111600</v>
      </c>
      <c r="F7" s="1175" t="s">
        <v>672</v>
      </c>
      <c r="G7" s="1176" t="s">
        <v>1414</v>
      </c>
      <c r="H7" s="1176" t="s">
        <v>1414</v>
      </c>
      <c r="I7" s="1176">
        <v>11</v>
      </c>
      <c r="J7" s="1176" t="s">
        <v>1415</v>
      </c>
      <c r="K7" s="1177" t="s">
        <v>674</v>
      </c>
      <c r="L7" s="1178" t="s">
        <v>675</v>
      </c>
      <c r="M7" s="1179">
        <f>93500000-23400000</f>
        <v>70100000</v>
      </c>
      <c r="N7" s="1174" t="s">
        <v>732</v>
      </c>
      <c r="O7" s="1174" t="s">
        <v>1416</v>
      </c>
    </row>
    <row r="8" spans="1:18" s="1159" customFormat="1" ht="105" x14ac:dyDescent="0.35">
      <c r="A8" s="1172">
        <v>2022002</v>
      </c>
      <c r="B8" s="1172">
        <v>7637</v>
      </c>
      <c r="C8" s="1172" t="s">
        <v>643</v>
      </c>
      <c r="D8" s="1173" t="s">
        <v>671</v>
      </c>
      <c r="E8" s="1174">
        <v>80111600</v>
      </c>
      <c r="F8" s="1175" t="s">
        <v>681</v>
      </c>
      <c r="G8" s="1176" t="s">
        <v>1414</v>
      </c>
      <c r="H8" s="1176" t="s">
        <v>1414</v>
      </c>
      <c r="I8" s="1176">
        <v>11</v>
      </c>
      <c r="J8" s="1176" t="s">
        <v>1415</v>
      </c>
      <c r="K8" s="1177" t="s">
        <v>674</v>
      </c>
      <c r="L8" s="1178" t="s">
        <v>675</v>
      </c>
      <c r="M8" s="1179">
        <v>77000000</v>
      </c>
      <c r="N8" s="1174" t="s">
        <v>732</v>
      </c>
      <c r="O8" s="1174" t="s">
        <v>1416</v>
      </c>
    </row>
    <row r="9" spans="1:18" s="1159" customFormat="1" ht="105" x14ac:dyDescent="0.35">
      <c r="A9" s="1172">
        <v>2022003</v>
      </c>
      <c r="B9" s="1172">
        <v>7637</v>
      </c>
      <c r="C9" s="1172" t="s">
        <v>643</v>
      </c>
      <c r="D9" s="1173" t="s">
        <v>671</v>
      </c>
      <c r="E9" s="1174">
        <v>80111600</v>
      </c>
      <c r="F9" s="1175" t="s">
        <v>684</v>
      </c>
      <c r="G9" s="1176" t="s">
        <v>1414</v>
      </c>
      <c r="H9" s="1176" t="s">
        <v>1414</v>
      </c>
      <c r="I9" s="1176">
        <v>11</v>
      </c>
      <c r="J9" s="1176" t="s">
        <v>1415</v>
      </c>
      <c r="K9" s="1177" t="s">
        <v>674</v>
      </c>
      <c r="L9" s="1178" t="s">
        <v>675</v>
      </c>
      <c r="M9" s="1179">
        <v>77000000</v>
      </c>
      <c r="N9" s="1174" t="s">
        <v>738</v>
      </c>
      <c r="O9" s="1174" t="s">
        <v>1416</v>
      </c>
    </row>
    <row r="10" spans="1:18" s="1159" customFormat="1" ht="105" x14ac:dyDescent="0.35">
      <c r="A10" s="1172">
        <v>2022004</v>
      </c>
      <c r="B10" s="1172">
        <v>7637</v>
      </c>
      <c r="C10" s="1172" t="s">
        <v>643</v>
      </c>
      <c r="D10" s="1173" t="s">
        <v>671</v>
      </c>
      <c r="E10" s="1174">
        <v>80111600</v>
      </c>
      <c r="F10" s="1175" t="s">
        <v>688</v>
      </c>
      <c r="G10" s="1176" t="s">
        <v>1414</v>
      </c>
      <c r="H10" s="1176" t="s">
        <v>1414</v>
      </c>
      <c r="I10" s="1176">
        <v>11</v>
      </c>
      <c r="J10" s="1176" t="s">
        <v>1415</v>
      </c>
      <c r="K10" s="1177" t="s">
        <v>674</v>
      </c>
      <c r="L10" s="1178" t="s">
        <v>675</v>
      </c>
      <c r="M10" s="1179">
        <v>77000000</v>
      </c>
      <c r="N10" s="1174" t="s">
        <v>732</v>
      </c>
      <c r="O10" s="1174" t="s">
        <v>1416</v>
      </c>
    </row>
    <row r="11" spans="1:18" s="1159" customFormat="1" ht="105" x14ac:dyDescent="0.35">
      <c r="A11" s="1172">
        <v>2022005</v>
      </c>
      <c r="B11" s="1172">
        <v>7637</v>
      </c>
      <c r="C11" s="1172" t="s">
        <v>643</v>
      </c>
      <c r="D11" s="1173" t="s">
        <v>671</v>
      </c>
      <c r="E11" s="1174">
        <v>80111600</v>
      </c>
      <c r="F11" s="1175" t="s">
        <v>691</v>
      </c>
      <c r="G11" s="1176" t="s">
        <v>1414</v>
      </c>
      <c r="H11" s="1176" t="s">
        <v>1414</v>
      </c>
      <c r="I11" s="1176">
        <v>11</v>
      </c>
      <c r="J11" s="1176" t="s">
        <v>1415</v>
      </c>
      <c r="K11" s="1177" t="s">
        <v>674</v>
      </c>
      <c r="L11" s="1178" t="s">
        <v>675</v>
      </c>
      <c r="M11" s="1179">
        <v>77000000</v>
      </c>
      <c r="N11" s="1174" t="s">
        <v>732</v>
      </c>
      <c r="O11" s="1174" t="s">
        <v>1416</v>
      </c>
    </row>
    <row r="12" spans="1:18" s="1180" customFormat="1" ht="105" x14ac:dyDescent="0.35">
      <c r="A12" s="1172">
        <v>2022006</v>
      </c>
      <c r="B12" s="1172">
        <v>7637</v>
      </c>
      <c r="C12" s="1172" t="s">
        <v>643</v>
      </c>
      <c r="D12" s="1173" t="s">
        <v>671</v>
      </c>
      <c r="E12" s="1174">
        <v>80111600</v>
      </c>
      <c r="F12" s="1175" t="s">
        <v>694</v>
      </c>
      <c r="G12" s="1176" t="s">
        <v>1414</v>
      </c>
      <c r="H12" s="1176" t="s">
        <v>1414</v>
      </c>
      <c r="I12" s="1176">
        <v>11</v>
      </c>
      <c r="J12" s="1176" t="s">
        <v>1415</v>
      </c>
      <c r="K12" s="1177" t="s">
        <v>674</v>
      </c>
      <c r="L12" s="1178" t="s">
        <v>675</v>
      </c>
      <c r="M12" s="1179">
        <v>66000000</v>
      </c>
      <c r="N12" s="1174" t="s">
        <v>732</v>
      </c>
      <c r="O12" s="1174" t="s">
        <v>1416</v>
      </c>
      <c r="R12" s="1159"/>
    </row>
    <row r="13" spans="1:18" s="1159" customFormat="1" ht="105" x14ac:dyDescent="0.35">
      <c r="A13" s="1172">
        <v>2022007</v>
      </c>
      <c r="B13" s="1172">
        <v>7637</v>
      </c>
      <c r="C13" s="1172" t="s">
        <v>643</v>
      </c>
      <c r="D13" s="1173" t="s">
        <v>671</v>
      </c>
      <c r="E13" s="1174">
        <v>80111600</v>
      </c>
      <c r="F13" s="1175" t="s">
        <v>697</v>
      </c>
      <c r="G13" s="1176" t="s">
        <v>1414</v>
      </c>
      <c r="H13" s="1176" t="s">
        <v>1414</v>
      </c>
      <c r="I13" s="1176">
        <v>11</v>
      </c>
      <c r="J13" s="1176" t="s">
        <v>1415</v>
      </c>
      <c r="K13" s="1177" t="s">
        <v>674</v>
      </c>
      <c r="L13" s="1178" t="s">
        <v>675</v>
      </c>
      <c r="M13" s="1179">
        <v>77000000</v>
      </c>
      <c r="N13" s="1174" t="s">
        <v>732</v>
      </c>
      <c r="O13" s="1174" t="s">
        <v>1416</v>
      </c>
    </row>
    <row r="14" spans="1:18" s="1159" customFormat="1" ht="75" customHeight="1" x14ac:dyDescent="0.35">
      <c r="A14" s="1172">
        <v>2022008</v>
      </c>
      <c r="B14" s="1172">
        <v>7637</v>
      </c>
      <c r="C14" s="1172" t="s">
        <v>643</v>
      </c>
      <c r="D14" s="1173" t="s">
        <v>671</v>
      </c>
      <c r="E14" s="1174">
        <v>80111600</v>
      </c>
      <c r="F14" s="1175" t="s">
        <v>700</v>
      </c>
      <c r="G14" s="1176" t="s">
        <v>1414</v>
      </c>
      <c r="H14" s="1176" t="s">
        <v>1414</v>
      </c>
      <c r="I14" s="1176">
        <v>11</v>
      </c>
      <c r="J14" s="1176" t="s">
        <v>1415</v>
      </c>
      <c r="K14" s="1177" t="s">
        <v>674</v>
      </c>
      <c r="L14" s="1178" t="s">
        <v>675</v>
      </c>
      <c r="M14" s="1179">
        <v>77000000</v>
      </c>
      <c r="N14" s="1174" t="s">
        <v>732</v>
      </c>
      <c r="O14" s="1174" t="s">
        <v>1416</v>
      </c>
    </row>
    <row r="15" spans="1:18" s="1159" customFormat="1" ht="75" customHeight="1" x14ac:dyDescent="0.35">
      <c r="A15" s="1172">
        <v>2022009</v>
      </c>
      <c r="B15" s="1172">
        <v>7637</v>
      </c>
      <c r="C15" s="1172" t="s">
        <v>643</v>
      </c>
      <c r="D15" s="1173" t="s">
        <v>671</v>
      </c>
      <c r="E15" s="1174">
        <v>80111600</v>
      </c>
      <c r="F15" s="1175" t="s">
        <v>703</v>
      </c>
      <c r="G15" s="1176" t="s">
        <v>1414</v>
      </c>
      <c r="H15" s="1176" t="s">
        <v>1414</v>
      </c>
      <c r="I15" s="1176">
        <v>11</v>
      </c>
      <c r="J15" s="1176" t="s">
        <v>1415</v>
      </c>
      <c r="K15" s="1177" t="s">
        <v>674</v>
      </c>
      <c r="L15" s="1178" t="s">
        <v>675</v>
      </c>
      <c r="M15" s="1179">
        <v>77000000</v>
      </c>
      <c r="N15" s="1174" t="s">
        <v>736</v>
      </c>
      <c r="O15" s="1174" t="s">
        <v>1416</v>
      </c>
    </row>
    <row r="16" spans="1:18" s="1180" customFormat="1" ht="105" x14ac:dyDescent="0.35">
      <c r="A16" s="1172">
        <v>2022010</v>
      </c>
      <c r="B16" s="1172">
        <v>7637</v>
      </c>
      <c r="C16" s="1172" t="s">
        <v>643</v>
      </c>
      <c r="D16" s="1173" t="s">
        <v>671</v>
      </c>
      <c r="E16" s="1174">
        <v>80111600</v>
      </c>
      <c r="F16" s="1175" t="s">
        <v>706</v>
      </c>
      <c r="G16" s="1176" t="s">
        <v>1414</v>
      </c>
      <c r="H16" s="1176" t="s">
        <v>1414</v>
      </c>
      <c r="I16" s="1176">
        <v>11</v>
      </c>
      <c r="J16" s="1176" t="s">
        <v>1415</v>
      </c>
      <c r="K16" s="1177" t="s">
        <v>674</v>
      </c>
      <c r="L16" s="1178" t="s">
        <v>675</v>
      </c>
      <c r="M16" s="1179">
        <v>66000000</v>
      </c>
      <c r="N16" s="1174" t="s">
        <v>732</v>
      </c>
      <c r="O16" s="1174" t="s">
        <v>1416</v>
      </c>
      <c r="R16" s="1159"/>
    </row>
    <row r="17" spans="1:18" s="1159" customFormat="1" ht="135" customHeight="1" x14ac:dyDescent="0.35">
      <c r="A17" s="1172">
        <v>2022011</v>
      </c>
      <c r="B17" s="1172">
        <v>7637</v>
      </c>
      <c r="C17" s="1172" t="s">
        <v>643</v>
      </c>
      <c r="D17" s="1173" t="s">
        <v>671</v>
      </c>
      <c r="E17" s="1174">
        <v>80111600</v>
      </c>
      <c r="F17" s="1175" t="s">
        <v>708</v>
      </c>
      <c r="G17" s="1176" t="s">
        <v>1414</v>
      </c>
      <c r="H17" s="1176" t="s">
        <v>1414</v>
      </c>
      <c r="I17" s="1176">
        <v>11</v>
      </c>
      <c r="J17" s="1176" t="s">
        <v>1415</v>
      </c>
      <c r="K17" s="1177" t="s">
        <v>674</v>
      </c>
      <c r="L17" s="1178" t="s">
        <v>675</v>
      </c>
      <c r="M17" s="1179">
        <v>33000000</v>
      </c>
      <c r="N17" s="1174" t="s">
        <v>732</v>
      </c>
      <c r="O17" s="1174" t="s">
        <v>1416</v>
      </c>
    </row>
    <row r="18" spans="1:18" s="1159" customFormat="1" ht="105" x14ac:dyDescent="0.35">
      <c r="A18" s="1172">
        <v>2022012</v>
      </c>
      <c r="B18" s="1172">
        <v>7637</v>
      </c>
      <c r="C18" s="1172" t="s">
        <v>643</v>
      </c>
      <c r="D18" s="1173" t="s">
        <v>671</v>
      </c>
      <c r="E18" s="1174">
        <v>80111600</v>
      </c>
      <c r="F18" s="1175" t="s">
        <v>710</v>
      </c>
      <c r="G18" s="1176" t="s">
        <v>1414</v>
      </c>
      <c r="H18" s="1176" t="s">
        <v>1414</v>
      </c>
      <c r="I18" s="1176">
        <v>11</v>
      </c>
      <c r="J18" s="1176" t="s">
        <v>1415</v>
      </c>
      <c r="K18" s="1177" t="s">
        <v>674</v>
      </c>
      <c r="L18" s="1178" t="s">
        <v>675</v>
      </c>
      <c r="M18" s="1179">
        <v>49500000</v>
      </c>
      <c r="N18" s="1174" t="s">
        <v>732</v>
      </c>
      <c r="O18" s="1174" t="s">
        <v>1416</v>
      </c>
    </row>
    <row r="19" spans="1:18" s="1180" customFormat="1" ht="105" x14ac:dyDescent="0.35">
      <c r="A19" s="1172">
        <v>2022013</v>
      </c>
      <c r="B19" s="1172">
        <v>7637</v>
      </c>
      <c r="C19" s="1172" t="s">
        <v>643</v>
      </c>
      <c r="D19" s="1173" t="s">
        <v>671</v>
      </c>
      <c r="E19" s="1174">
        <v>80111600</v>
      </c>
      <c r="F19" s="1175" t="s">
        <v>712</v>
      </c>
      <c r="G19" s="1176" t="s">
        <v>1414</v>
      </c>
      <c r="H19" s="1176" t="s">
        <v>1414</v>
      </c>
      <c r="I19" s="1176">
        <v>11</v>
      </c>
      <c r="J19" s="1176" t="s">
        <v>1415</v>
      </c>
      <c r="K19" s="1177" t="s">
        <v>674</v>
      </c>
      <c r="L19" s="1178" t="s">
        <v>675</v>
      </c>
      <c r="M19" s="1179">
        <v>49500000</v>
      </c>
      <c r="N19" s="1174" t="s">
        <v>732</v>
      </c>
      <c r="O19" s="1174" t="s">
        <v>1416</v>
      </c>
      <c r="R19" s="1159"/>
    </row>
    <row r="20" spans="1:18" s="1159" customFormat="1" ht="105" x14ac:dyDescent="0.35">
      <c r="A20" s="1172">
        <v>2022014</v>
      </c>
      <c r="B20" s="1172">
        <v>7637</v>
      </c>
      <c r="C20" s="1172" t="s">
        <v>643</v>
      </c>
      <c r="D20" s="1173" t="s">
        <v>671</v>
      </c>
      <c r="E20" s="1174">
        <v>80111600</v>
      </c>
      <c r="F20" s="1175" t="s">
        <v>714</v>
      </c>
      <c r="G20" s="1176" t="s">
        <v>1414</v>
      </c>
      <c r="H20" s="1176" t="s">
        <v>1414</v>
      </c>
      <c r="I20" s="1176">
        <v>11</v>
      </c>
      <c r="J20" s="1176" t="s">
        <v>1415</v>
      </c>
      <c r="K20" s="1177" t="s">
        <v>674</v>
      </c>
      <c r="L20" s="1178" t="s">
        <v>675</v>
      </c>
      <c r="M20" s="1179">
        <v>77000000</v>
      </c>
      <c r="N20" s="1174" t="s">
        <v>736</v>
      </c>
      <c r="O20" s="1174" t="s">
        <v>1416</v>
      </c>
    </row>
    <row r="21" spans="1:18" s="1159" customFormat="1" ht="105" x14ac:dyDescent="0.35">
      <c r="A21" s="1172">
        <v>2022015</v>
      </c>
      <c r="B21" s="1172">
        <v>7637</v>
      </c>
      <c r="C21" s="1172" t="s">
        <v>643</v>
      </c>
      <c r="D21" s="1173" t="s">
        <v>671</v>
      </c>
      <c r="E21" s="1174">
        <v>80111600</v>
      </c>
      <c r="F21" s="1175" t="s">
        <v>716</v>
      </c>
      <c r="G21" s="1176" t="s">
        <v>1414</v>
      </c>
      <c r="H21" s="1176" t="s">
        <v>1414</v>
      </c>
      <c r="I21" s="1176">
        <v>11</v>
      </c>
      <c r="J21" s="1176" t="s">
        <v>1415</v>
      </c>
      <c r="K21" s="1177" t="s">
        <v>674</v>
      </c>
      <c r="L21" s="1178" t="s">
        <v>675</v>
      </c>
      <c r="M21" s="1179">
        <v>77000000</v>
      </c>
      <c r="N21" s="1174" t="s">
        <v>732</v>
      </c>
      <c r="O21" s="1174" t="s">
        <v>1416</v>
      </c>
    </row>
    <row r="22" spans="1:18" s="1159" customFormat="1" ht="105" x14ac:dyDescent="0.35">
      <c r="A22" s="1172">
        <v>2022016</v>
      </c>
      <c r="B22" s="1172">
        <v>7637</v>
      </c>
      <c r="C22" s="1172" t="s">
        <v>643</v>
      </c>
      <c r="D22" s="1173" t="s">
        <v>671</v>
      </c>
      <c r="E22" s="1174">
        <v>80111600</v>
      </c>
      <c r="F22" s="1175" t="s">
        <v>718</v>
      </c>
      <c r="G22" s="1176" t="s">
        <v>1414</v>
      </c>
      <c r="H22" s="1176" t="s">
        <v>1414</v>
      </c>
      <c r="I22" s="1176">
        <v>9.9</v>
      </c>
      <c r="J22" s="1176" t="s">
        <v>1415</v>
      </c>
      <c r="K22" s="1177" t="s">
        <v>674</v>
      </c>
      <c r="L22" s="1178" t="s">
        <v>675</v>
      </c>
      <c r="M22" s="1179">
        <v>49500000</v>
      </c>
      <c r="N22" s="1174" t="s">
        <v>736</v>
      </c>
      <c r="O22" s="1174" t="s">
        <v>1416</v>
      </c>
    </row>
    <row r="23" spans="1:18" s="1180" customFormat="1" ht="105" x14ac:dyDescent="0.35">
      <c r="A23" s="1172">
        <v>2022017</v>
      </c>
      <c r="B23" s="1172">
        <v>7637</v>
      </c>
      <c r="C23" s="1172" t="s">
        <v>643</v>
      </c>
      <c r="D23" s="1173" t="s">
        <v>671</v>
      </c>
      <c r="E23" s="1174">
        <v>80111600</v>
      </c>
      <c r="F23" s="1175" t="s">
        <v>719</v>
      </c>
      <c r="G23" s="1176" t="s">
        <v>1414</v>
      </c>
      <c r="H23" s="1176" t="s">
        <v>1414</v>
      </c>
      <c r="I23" s="1176">
        <v>11</v>
      </c>
      <c r="J23" s="1176" t="s">
        <v>1415</v>
      </c>
      <c r="K23" s="1177" t="s">
        <v>674</v>
      </c>
      <c r="L23" s="1178" t="s">
        <v>675</v>
      </c>
      <c r="M23" s="1179">
        <v>33000000</v>
      </c>
      <c r="N23" s="1174" t="s">
        <v>732</v>
      </c>
      <c r="O23" s="1174" t="s">
        <v>1416</v>
      </c>
      <c r="R23" s="1159"/>
    </row>
    <row r="24" spans="1:18" s="1180" customFormat="1" ht="105" x14ac:dyDescent="0.35">
      <c r="A24" s="1172">
        <v>2022018</v>
      </c>
      <c r="B24" s="1172">
        <v>7637</v>
      </c>
      <c r="C24" s="1176" t="s">
        <v>643</v>
      </c>
      <c r="D24" s="1173" t="s">
        <v>671</v>
      </c>
      <c r="E24" s="1174">
        <v>80111600</v>
      </c>
      <c r="F24" s="1175" t="s">
        <v>721</v>
      </c>
      <c r="G24" s="1176" t="s">
        <v>1414</v>
      </c>
      <c r="H24" s="1176" t="s">
        <v>1414</v>
      </c>
      <c r="I24" s="1176" t="s">
        <v>1417</v>
      </c>
      <c r="J24" s="1176" t="s">
        <v>1415</v>
      </c>
      <c r="K24" s="1176" t="s">
        <v>674</v>
      </c>
      <c r="L24" s="1176" t="s">
        <v>675</v>
      </c>
      <c r="M24" s="1179">
        <f>33000000-3500000</f>
        <v>29500000</v>
      </c>
      <c r="N24" s="1174" t="s">
        <v>732</v>
      </c>
      <c r="O24" s="1174" t="s">
        <v>1416</v>
      </c>
      <c r="R24" s="1159"/>
    </row>
    <row r="25" spans="1:18" s="1180" customFormat="1" ht="105" x14ac:dyDescent="0.35">
      <c r="A25" s="1172">
        <v>2022019</v>
      </c>
      <c r="B25" s="1172">
        <v>7637</v>
      </c>
      <c r="C25" s="1172" t="s">
        <v>643</v>
      </c>
      <c r="D25" s="1173" t="s">
        <v>671</v>
      </c>
      <c r="E25" s="1174">
        <v>80111600</v>
      </c>
      <c r="F25" s="1175" t="s">
        <v>723</v>
      </c>
      <c r="G25" s="1176" t="s">
        <v>1414</v>
      </c>
      <c r="H25" s="1176" t="s">
        <v>1414</v>
      </c>
      <c r="I25" s="1176">
        <v>11</v>
      </c>
      <c r="J25" s="1176" t="s">
        <v>1415</v>
      </c>
      <c r="K25" s="1176" t="s">
        <v>674</v>
      </c>
      <c r="L25" s="1178" t="s">
        <v>675</v>
      </c>
      <c r="M25" s="1179">
        <v>68200000</v>
      </c>
      <c r="N25" s="1174" t="s">
        <v>732</v>
      </c>
      <c r="O25" s="1174" t="s">
        <v>1416</v>
      </c>
      <c r="R25" s="1159"/>
    </row>
    <row r="26" spans="1:18" s="1180" customFormat="1" ht="105" x14ac:dyDescent="0.35">
      <c r="A26" s="1172">
        <v>2022020</v>
      </c>
      <c r="B26" s="1172">
        <v>7637</v>
      </c>
      <c r="C26" s="1172" t="s">
        <v>643</v>
      </c>
      <c r="D26" s="1173" t="s">
        <v>671</v>
      </c>
      <c r="E26" s="1174">
        <v>80111600</v>
      </c>
      <c r="F26" s="1175" t="s">
        <v>725</v>
      </c>
      <c r="G26" s="1176" t="s">
        <v>1414</v>
      </c>
      <c r="H26" s="1176" t="s">
        <v>1414</v>
      </c>
      <c r="I26" s="1176">
        <v>11</v>
      </c>
      <c r="J26" s="1176" t="s">
        <v>1415</v>
      </c>
      <c r="K26" s="1176" t="s">
        <v>674</v>
      </c>
      <c r="L26" s="1178" t="s">
        <v>675</v>
      </c>
      <c r="M26" s="1179">
        <v>49500000</v>
      </c>
      <c r="N26" s="1174" t="s">
        <v>732</v>
      </c>
      <c r="O26" s="1174" t="s">
        <v>1416</v>
      </c>
      <c r="R26" s="1159"/>
    </row>
    <row r="27" spans="1:18" s="1180" customFormat="1" ht="105" x14ac:dyDescent="0.35">
      <c r="A27" s="1172">
        <v>2022021</v>
      </c>
      <c r="B27" s="1172">
        <v>7637</v>
      </c>
      <c r="C27" s="1172" t="s">
        <v>643</v>
      </c>
      <c r="D27" s="1178" t="s">
        <v>671</v>
      </c>
      <c r="E27" s="1181" t="s">
        <v>1418</v>
      </c>
      <c r="F27" s="1175" t="s">
        <v>1419</v>
      </c>
      <c r="G27" s="1176" t="s">
        <v>1420</v>
      </c>
      <c r="H27" s="1176" t="s">
        <v>1421</v>
      </c>
      <c r="I27" s="1176">
        <v>6</v>
      </c>
      <c r="J27" s="1176" t="s">
        <v>1422</v>
      </c>
      <c r="K27" s="1176" t="s">
        <v>674</v>
      </c>
      <c r="L27" s="1178" t="s">
        <v>729</v>
      </c>
      <c r="M27" s="1179">
        <v>60000000</v>
      </c>
      <c r="N27" s="1174" t="s">
        <v>732</v>
      </c>
      <c r="O27" s="1174" t="s">
        <v>1416</v>
      </c>
      <c r="R27" s="1159"/>
    </row>
    <row r="28" spans="1:18" s="1180" customFormat="1" ht="105" x14ac:dyDescent="0.35">
      <c r="A28" s="1182">
        <v>2022022</v>
      </c>
      <c r="B28" s="1182">
        <v>7637</v>
      </c>
      <c r="C28" s="1182" t="s">
        <v>643</v>
      </c>
      <c r="D28" s="1183" t="s">
        <v>671</v>
      </c>
      <c r="E28" s="1184" t="s">
        <v>1423</v>
      </c>
      <c r="F28" s="1185" t="s">
        <v>728</v>
      </c>
      <c r="G28" s="1184" t="s">
        <v>1420</v>
      </c>
      <c r="H28" s="1184" t="s">
        <v>1515</v>
      </c>
      <c r="I28" s="1184">
        <v>1</v>
      </c>
      <c r="J28" s="1184" t="s">
        <v>1425</v>
      </c>
      <c r="K28" s="1184" t="s">
        <v>674</v>
      </c>
      <c r="L28" s="1183" t="s">
        <v>729</v>
      </c>
      <c r="M28" s="1186">
        <v>600000000</v>
      </c>
      <c r="N28" s="1187" t="s">
        <v>732</v>
      </c>
      <c r="O28" s="1187" t="s">
        <v>1416</v>
      </c>
      <c r="R28" s="1159"/>
    </row>
    <row r="29" spans="1:18" s="1180" customFormat="1" ht="105" x14ac:dyDescent="0.35">
      <c r="A29" s="1172">
        <v>2022023</v>
      </c>
      <c r="B29" s="1172">
        <v>7637</v>
      </c>
      <c r="C29" s="1172" t="s">
        <v>643</v>
      </c>
      <c r="D29" s="1178" t="s">
        <v>671</v>
      </c>
      <c r="E29" s="1176">
        <v>81112401</v>
      </c>
      <c r="F29" s="1175" t="s">
        <v>731</v>
      </c>
      <c r="G29" s="1176" t="s">
        <v>1420</v>
      </c>
      <c r="H29" s="1176" t="s">
        <v>1420</v>
      </c>
      <c r="I29" s="1176">
        <v>3</v>
      </c>
      <c r="J29" s="1176" t="s">
        <v>1425</v>
      </c>
      <c r="K29" s="1176" t="s">
        <v>674</v>
      </c>
      <c r="L29" s="1178" t="s">
        <v>729</v>
      </c>
      <c r="M29" s="1179">
        <v>195700000</v>
      </c>
      <c r="N29" s="1174" t="s">
        <v>732</v>
      </c>
      <c r="O29" s="1174" t="s">
        <v>1416</v>
      </c>
      <c r="R29" s="1159"/>
    </row>
    <row r="30" spans="1:18" s="1180" customFormat="1" ht="105" x14ac:dyDescent="0.35">
      <c r="A30" s="1182">
        <v>2022024</v>
      </c>
      <c r="B30" s="1182">
        <v>7637</v>
      </c>
      <c r="C30" s="1182" t="s">
        <v>643</v>
      </c>
      <c r="D30" s="1183" t="s">
        <v>671</v>
      </c>
      <c r="E30" s="1184">
        <v>72151605</v>
      </c>
      <c r="F30" s="1185" t="s">
        <v>1601</v>
      </c>
      <c r="G30" s="1184" t="s">
        <v>1522</v>
      </c>
      <c r="H30" s="1184" t="s">
        <v>1421</v>
      </c>
      <c r="I30" s="1184">
        <v>6</v>
      </c>
      <c r="J30" s="1184" t="s">
        <v>1438</v>
      </c>
      <c r="K30" s="1184" t="s">
        <v>674</v>
      </c>
      <c r="L30" s="1183" t="s">
        <v>675</v>
      </c>
      <c r="M30" s="1186">
        <v>114000000</v>
      </c>
      <c r="N30" s="1187" t="s">
        <v>732</v>
      </c>
      <c r="O30" s="1187" t="s">
        <v>1416</v>
      </c>
      <c r="R30" s="1159"/>
    </row>
    <row r="31" spans="1:18" s="1180" customFormat="1" ht="105" x14ac:dyDescent="0.35">
      <c r="A31" s="1172">
        <v>2022025</v>
      </c>
      <c r="B31" s="1172">
        <v>7637</v>
      </c>
      <c r="C31" s="1172" t="s">
        <v>643</v>
      </c>
      <c r="D31" s="1178" t="s">
        <v>671</v>
      </c>
      <c r="E31" s="1176">
        <v>81112217</v>
      </c>
      <c r="F31" s="1175" t="s">
        <v>737</v>
      </c>
      <c r="G31" s="1176" t="s">
        <v>1428</v>
      </c>
      <c r="H31" s="1176" t="s">
        <v>1429</v>
      </c>
      <c r="I31" s="1176">
        <v>12</v>
      </c>
      <c r="J31" s="1176" t="s">
        <v>1425</v>
      </c>
      <c r="K31" s="1176" t="s">
        <v>674</v>
      </c>
      <c r="L31" s="1178" t="s">
        <v>1430</v>
      </c>
      <c r="M31" s="1179">
        <v>50000000</v>
      </c>
      <c r="N31" s="1174" t="s">
        <v>738</v>
      </c>
      <c r="O31" s="1174" t="s">
        <v>1416</v>
      </c>
      <c r="R31" s="1159"/>
    </row>
    <row r="32" spans="1:18" s="1180" customFormat="1" ht="105" x14ac:dyDescent="0.35">
      <c r="A32" s="1172">
        <v>2022026</v>
      </c>
      <c r="B32" s="1172">
        <v>7637</v>
      </c>
      <c r="C32" s="1172" t="s">
        <v>643</v>
      </c>
      <c r="D32" s="1178" t="s">
        <v>671</v>
      </c>
      <c r="E32" s="1176" t="s">
        <v>1431</v>
      </c>
      <c r="F32" s="1175" t="s">
        <v>740</v>
      </c>
      <c r="G32" s="1176" t="s">
        <v>1428</v>
      </c>
      <c r="H32" s="1176" t="s">
        <v>1429</v>
      </c>
      <c r="I32" s="1176">
        <v>12</v>
      </c>
      <c r="J32" s="1176" t="s">
        <v>1425</v>
      </c>
      <c r="K32" s="1176" t="s">
        <v>674</v>
      </c>
      <c r="L32" s="1178" t="s">
        <v>1430</v>
      </c>
      <c r="M32" s="1179">
        <v>150000000</v>
      </c>
      <c r="N32" s="1174" t="s">
        <v>732</v>
      </c>
      <c r="O32" s="1174" t="s">
        <v>1416</v>
      </c>
      <c r="R32" s="1159"/>
    </row>
    <row r="33" spans="1:18" s="1180" customFormat="1" ht="105" x14ac:dyDescent="0.35">
      <c r="A33" s="1172">
        <v>2022027</v>
      </c>
      <c r="B33" s="1172">
        <v>7637</v>
      </c>
      <c r="C33" s="1172" t="s">
        <v>643</v>
      </c>
      <c r="D33" s="1178" t="s">
        <v>671</v>
      </c>
      <c r="E33" s="1176">
        <v>81161712</v>
      </c>
      <c r="F33" s="1175" t="s">
        <v>742</v>
      </c>
      <c r="G33" s="1176" t="s">
        <v>1421</v>
      </c>
      <c r="H33" s="1176" t="s">
        <v>1428</v>
      </c>
      <c r="I33" s="1176">
        <v>1</v>
      </c>
      <c r="J33" s="1176" t="s">
        <v>1432</v>
      </c>
      <c r="K33" s="1176" t="s">
        <v>674</v>
      </c>
      <c r="L33" s="1178" t="s">
        <v>743</v>
      </c>
      <c r="M33" s="1179">
        <v>10000000</v>
      </c>
      <c r="N33" s="1174" t="s">
        <v>732</v>
      </c>
      <c r="O33" s="1174" t="s">
        <v>1416</v>
      </c>
      <c r="R33" s="1159"/>
    </row>
    <row r="34" spans="1:18" s="1180" customFormat="1" ht="105" x14ac:dyDescent="0.35">
      <c r="A34" s="1172">
        <v>2022028</v>
      </c>
      <c r="B34" s="1172">
        <v>7637</v>
      </c>
      <c r="C34" s="1172" t="s">
        <v>643</v>
      </c>
      <c r="D34" s="1178" t="s">
        <v>671</v>
      </c>
      <c r="E34" s="1176" t="s">
        <v>1433</v>
      </c>
      <c r="F34" s="1175" t="s">
        <v>746</v>
      </c>
      <c r="G34" s="1176" t="s">
        <v>1420</v>
      </c>
      <c r="H34" s="1176" t="s">
        <v>1420</v>
      </c>
      <c r="I34" s="1176">
        <v>5</v>
      </c>
      <c r="J34" s="1173"/>
      <c r="K34" s="1176" t="s">
        <v>674</v>
      </c>
      <c r="L34" s="1178" t="s">
        <v>747</v>
      </c>
      <c r="M34" s="1179">
        <v>81000000</v>
      </c>
      <c r="N34" s="1174" t="s">
        <v>732</v>
      </c>
      <c r="O34" s="1174" t="s">
        <v>1416</v>
      </c>
      <c r="R34" s="1159"/>
    </row>
    <row r="35" spans="1:18" s="1180" customFormat="1" ht="105" x14ac:dyDescent="0.35">
      <c r="A35" s="1172">
        <v>2022029</v>
      </c>
      <c r="B35" s="1172">
        <v>7637</v>
      </c>
      <c r="C35" s="1172" t="s">
        <v>643</v>
      </c>
      <c r="D35" s="1178" t="s">
        <v>671</v>
      </c>
      <c r="E35" s="1176" t="s">
        <v>1433</v>
      </c>
      <c r="F35" s="1175" t="s">
        <v>751</v>
      </c>
      <c r="G35" s="1176" t="s">
        <v>1429</v>
      </c>
      <c r="H35" s="1176" t="s">
        <v>1434</v>
      </c>
      <c r="I35" s="1176">
        <v>4</v>
      </c>
      <c r="J35" s="1176" t="s">
        <v>1435</v>
      </c>
      <c r="K35" s="1176" t="s">
        <v>674</v>
      </c>
      <c r="L35" s="1178" t="s">
        <v>747</v>
      </c>
      <c r="M35" s="1179">
        <v>80000000</v>
      </c>
      <c r="N35" s="1174" t="s">
        <v>732</v>
      </c>
      <c r="O35" s="1174" t="s">
        <v>1416</v>
      </c>
      <c r="R35" s="1159"/>
    </row>
    <row r="36" spans="1:18" s="1180" customFormat="1" ht="105" x14ac:dyDescent="0.35">
      <c r="A36" s="1172">
        <v>2022030</v>
      </c>
      <c r="B36" s="1172">
        <v>7637</v>
      </c>
      <c r="C36" s="1172" t="s">
        <v>643</v>
      </c>
      <c r="D36" s="1178" t="s">
        <v>671</v>
      </c>
      <c r="E36" s="1176">
        <v>81111700</v>
      </c>
      <c r="F36" s="1175" t="s">
        <v>1436</v>
      </c>
      <c r="G36" s="1176" t="s">
        <v>1424</v>
      </c>
      <c r="H36" s="1176" t="s">
        <v>1424</v>
      </c>
      <c r="I36" s="1176">
        <v>10</v>
      </c>
      <c r="J36" s="1176" t="s">
        <v>1425</v>
      </c>
      <c r="K36" s="1176" t="s">
        <v>674</v>
      </c>
      <c r="L36" s="1178" t="s">
        <v>675</v>
      </c>
      <c r="M36" s="1179">
        <v>20000000</v>
      </c>
      <c r="N36" s="1174" t="s">
        <v>732</v>
      </c>
      <c r="O36" s="1174" t="s">
        <v>1416</v>
      </c>
      <c r="R36" s="1159"/>
    </row>
    <row r="37" spans="1:18" s="1180" customFormat="1" ht="105" x14ac:dyDescent="0.35">
      <c r="A37" s="1172">
        <v>2022031</v>
      </c>
      <c r="B37" s="1172">
        <v>7637</v>
      </c>
      <c r="C37" s="1172" t="s">
        <v>643</v>
      </c>
      <c r="D37" s="1178" t="s">
        <v>671</v>
      </c>
      <c r="E37" s="1181" t="s">
        <v>1437</v>
      </c>
      <c r="F37" s="1175" t="s">
        <v>754</v>
      </c>
      <c r="G37" s="1176" t="s">
        <v>1414</v>
      </c>
      <c r="H37" s="1176" t="s">
        <v>1424</v>
      </c>
      <c r="I37" s="1176">
        <v>1</v>
      </c>
      <c r="J37" s="1176" t="s">
        <v>1438</v>
      </c>
      <c r="K37" s="1176" t="s">
        <v>674</v>
      </c>
      <c r="L37" s="1178" t="s">
        <v>675</v>
      </c>
      <c r="M37" s="1179">
        <v>72100000</v>
      </c>
      <c r="N37" s="1174" t="s">
        <v>736</v>
      </c>
      <c r="O37" s="1174" t="s">
        <v>1416</v>
      </c>
      <c r="R37" s="1159"/>
    </row>
    <row r="38" spans="1:18" s="1180" customFormat="1" ht="105" x14ac:dyDescent="0.35">
      <c r="A38" s="1172">
        <v>2022032</v>
      </c>
      <c r="B38" s="1172">
        <v>7637</v>
      </c>
      <c r="C38" s="1172" t="s">
        <v>643</v>
      </c>
      <c r="D38" s="1178" t="s">
        <v>671</v>
      </c>
      <c r="E38" s="1176">
        <v>81112222</v>
      </c>
      <c r="F38" s="1175" t="s">
        <v>1439</v>
      </c>
      <c r="G38" s="1176" t="s">
        <v>1434</v>
      </c>
      <c r="H38" s="1176" t="s">
        <v>1440</v>
      </c>
      <c r="I38" s="1176">
        <v>12</v>
      </c>
      <c r="J38" s="1176" t="s">
        <v>1435</v>
      </c>
      <c r="K38" s="1176" t="s">
        <v>674</v>
      </c>
      <c r="L38" s="1178" t="s">
        <v>675</v>
      </c>
      <c r="M38" s="1179">
        <v>120000000</v>
      </c>
      <c r="N38" s="1174" t="s">
        <v>732</v>
      </c>
      <c r="O38" s="1174" t="s">
        <v>1416</v>
      </c>
      <c r="R38" s="1159"/>
    </row>
    <row r="39" spans="1:18" s="1180" customFormat="1" ht="105" x14ac:dyDescent="0.35">
      <c r="A39" s="1172">
        <v>2022033</v>
      </c>
      <c r="B39" s="1172">
        <v>7637</v>
      </c>
      <c r="C39" s="1172" t="s">
        <v>643</v>
      </c>
      <c r="D39" s="1178" t="s">
        <v>671</v>
      </c>
      <c r="E39" s="1176" t="s">
        <v>1441</v>
      </c>
      <c r="F39" s="1175" t="s">
        <v>1442</v>
      </c>
      <c r="G39" s="1176" t="s">
        <v>1428</v>
      </c>
      <c r="H39" s="1176" t="s">
        <v>1429</v>
      </c>
      <c r="I39" s="1176">
        <v>3</v>
      </c>
      <c r="J39" s="1176" t="s">
        <v>1435</v>
      </c>
      <c r="K39" s="1176" t="s">
        <v>674</v>
      </c>
      <c r="L39" s="1178" t="s">
        <v>1430</v>
      </c>
      <c r="M39" s="1179">
        <v>50000000</v>
      </c>
      <c r="N39" s="1174" t="s">
        <v>732</v>
      </c>
      <c r="O39" s="1174" t="s">
        <v>1416</v>
      </c>
      <c r="R39" s="1159"/>
    </row>
    <row r="40" spans="1:18" s="1180" customFormat="1" ht="105" x14ac:dyDescent="0.35">
      <c r="A40" s="1172">
        <v>2022034</v>
      </c>
      <c r="B40" s="1172">
        <v>7637</v>
      </c>
      <c r="C40" s="1172" t="s">
        <v>643</v>
      </c>
      <c r="D40" s="1178" t="s">
        <v>671</v>
      </c>
      <c r="E40" s="1176">
        <v>81112217</v>
      </c>
      <c r="F40" s="1175" t="s">
        <v>1443</v>
      </c>
      <c r="G40" s="1176" t="s">
        <v>1444</v>
      </c>
      <c r="H40" s="1176" t="s">
        <v>1445</v>
      </c>
      <c r="I40" s="1176">
        <v>1</v>
      </c>
      <c r="J40" s="1176" t="s">
        <v>1438</v>
      </c>
      <c r="K40" s="1176" t="s">
        <v>674</v>
      </c>
      <c r="L40" s="1178" t="s">
        <v>675</v>
      </c>
      <c r="M40" s="1179">
        <v>35077000</v>
      </c>
      <c r="N40" s="1173" t="s">
        <v>736</v>
      </c>
      <c r="O40" s="1174" t="s">
        <v>1416</v>
      </c>
      <c r="R40" s="1159"/>
    </row>
    <row r="41" spans="1:18" s="1180" customFormat="1" ht="105" x14ac:dyDescent="0.35">
      <c r="A41" s="1172">
        <v>2022035</v>
      </c>
      <c r="B41" s="1172">
        <v>7637</v>
      </c>
      <c r="C41" s="1172" t="s">
        <v>643</v>
      </c>
      <c r="D41" s="1178" t="s">
        <v>671</v>
      </c>
      <c r="E41" s="1176" t="s">
        <v>1304</v>
      </c>
      <c r="F41" s="1175" t="s">
        <v>1446</v>
      </c>
      <c r="G41" s="1176" t="s">
        <v>1421</v>
      </c>
      <c r="H41" s="1176" t="s">
        <v>1428</v>
      </c>
      <c r="I41" s="1176">
        <v>8</v>
      </c>
      <c r="J41" s="1176" t="s">
        <v>1438</v>
      </c>
      <c r="K41" s="1176" t="s">
        <v>674</v>
      </c>
      <c r="L41" s="1178" t="s">
        <v>675</v>
      </c>
      <c r="M41" s="1179">
        <v>70000000</v>
      </c>
      <c r="N41" s="1174" t="s">
        <v>732</v>
      </c>
      <c r="O41" s="1174" t="s">
        <v>1416</v>
      </c>
      <c r="R41" s="1159"/>
    </row>
    <row r="42" spans="1:18" s="1180" customFormat="1" ht="105" x14ac:dyDescent="0.35">
      <c r="A42" s="1182">
        <v>2022036</v>
      </c>
      <c r="B42" s="1182">
        <v>7637</v>
      </c>
      <c r="C42" s="1182" t="s">
        <v>643</v>
      </c>
      <c r="D42" s="1183" t="s">
        <v>671</v>
      </c>
      <c r="E42" s="1184" t="s">
        <v>1447</v>
      </c>
      <c r="F42" s="1183" t="s">
        <v>761</v>
      </c>
      <c r="G42" s="1184" t="s">
        <v>1414</v>
      </c>
      <c r="H42" s="1184" t="s">
        <v>1414</v>
      </c>
      <c r="I42" s="1184">
        <v>11</v>
      </c>
      <c r="J42" s="1184" t="s">
        <v>1435</v>
      </c>
      <c r="K42" s="1184" t="s">
        <v>674</v>
      </c>
      <c r="L42" s="1183" t="s">
        <v>1430</v>
      </c>
      <c r="M42" s="1188">
        <f>487640000-55735449-8000000</f>
        <v>423904551</v>
      </c>
      <c r="N42" s="1187" t="s">
        <v>732</v>
      </c>
      <c r="O42" s="1187" t="s">
        <v>1416</v>
      </c>
      <c r="R42" s="1159"/>
    </row>
    <row r="43" spans="1:18" s="1180" customFormat="1" ht="105" x14ac:dyDescent="0.35">
      <c r="A43" s="1182">
        <v>2022037</v>
      </c>
      <c r="B43" s="1182">
        <v>7637</v>
      </c>
      <c r="C43" s="1182" t="s">
        <v>643</v>
      </c>
      <c r="D43" s="1183" t="s">
        <v>671</v>
      </c>
      <c r="E43" s="1184" t="s">
        <v>1448</v>
      </c>
      <c r="F43" s="1185" t="s">
        <v>763</v>
      </c>
      <c r="G43" s="1184" t="s">
        <v>1414</v>
      </c>
      <c r="H43" s="1184" t="s">
        <v>1414</v>
      </c>
      <c r="I43" s="1184">
        <v>12</v>
      </c>
      <c r="J43" s="1184" t="s">
        <v>1531</v>
      </c>
      <c r="K43" s="1184" t="s">
        <v>674</v>
      </c>
      <c r="L43" s="1183" t="s">
        <v>729</v>
      </c>
      <c r="M43" s="1186">
        <v>104794000</v>
      </c>
      <c r="N43" s="1187" t="s">
        <v>732</v>
      </c>
      <c r="O43" s="1187" t="s">
        <v>1416</v>
      </c>
      <c r="R43" s="1159"/>
    </row>
    <row r="44" spans="1:18" s="1180" customFormat="1" ht="105" x14ac:dyDescent="0.35">
      <c r="A44" s="1182">
        <v>2022038</v>
      </c>
      <c r="B44" s="1182">
        <v>7637</v>
      </c>
      <c r="C44" s="1182" t="s">
        <v>643</v>
      </c>
      <c r="D44" s="1183" t="s">
        <v>671</v>
      </c>
      <c r="E44" s="1187">
        <v>43221500</v>
      </c>
      <c r="F44" s="1185" t="s">
        <v>1449</v>
      </c>
      <c r="G44" s="1184" t="s">
        <v>1537</v>
      </c>
      <c r="H44" s="1184" t="s">
        <v>1532</v>
      </c>
      <c r="I44" s="1184">
        <v>6</v>
      </c>
      <c r="J44" s="1184" t="s">
        <v>1438</v>
      </c>
      <c r="K44" s="1184" t="s">
        <v>674</v>
      </c>
      <c r="L44" s="1183" t="s">
        <v>675</v>
      </c>
      <c r="M44" s="1186">
        <v>38500000</v>
      </c>
      <c r="N44" s="1187" t="s">
        <v>732</v>
      </c>
      <c r="O44" s="1187" t="s">
        <v>1416</v>
      </c>
      <c r="R44" s="1159"/>
    </row>
    <row r="45" spans="1:18" s="1180" customFormat="1" ht="105" x14ac:dyDescent="0.35">
      <c r="A45" s="1172">
        <v>2022039</v>
      </c>
      <c r="B45" s="1172">
        <v>7637</v>
      </c>
      <c r="C45" s="1172" t="s">
        <v>643</v>
      </c>
      <c r="D45" s="1178" t="s">
        <v>671</v>
      </c>
      <c r="E45" s="1176">
        <v>43233200</v>
      </c>
      <c r="F45" s="1175" t="s">
        <v>1450</v>
      </c>
      <c r="G45" s="1176" t="s">
        <v>1428</v>
      </c>
      <c r="H45" s="1176" t="s">
        <v>1428</v>
      </c>
      <c r="I45" s="1176">
        <v>3</v>
      </c>
      <c r="J45" s="1176" t="s">
        <v>1425</v>
      </c>
      <c r="K45" s="1176" t="s">
        <v>770</v>
      </c>
      <c r="L45" s="1178" t="s">
        <v>1430</v>
      </c>
      <c r="M45" s="1179">
        <v>170000000</v>
      </c>
      <c r="N45" s="1175" t="s">
        <v>736</v>
      </c>
      <c r="O45" s="1174" t="s">
        <v>1416</v>
      </c>
      <c r="R45" s="1159"/>
    </row>
    <row r="46" spans="1:18" s="1180" customFormat="1" ht="105" x14ac:dyDescent="0.35">
      <c r="A46" s="1182">
        <v>2022040</v>
      </c>
      <c r="B46" s="1182">
        <v>7637</v>
      </c>
      <c r="C46" s="1182" t="s">
        <v>643</v>
      </c>
      <c r="D46" s="1183" t="s">
        <v>671</v>
      </c>
      <c r="E46" s="1184">
        <v>43222600</v>
      </c>
      <c r="F46" s="1185" t="s">
        <v>1451</v>
      </c>
      <c r="G46" s="1184" t="s">
        <v>1421</v>
      </c>
      <c r="H46" s="1184" t="s">
        <v>1421</v>
      </c>
      <c r="I46" s="1184">
        <v>6</v>
      </c>
      <c r="J46" s="1184" t="s">
        <v>1438</v>
      </c>
      <c r="K46" s="1184" t="s">
        <v>770</v>
      </c>
      <c r="L46" s="1183" t="s">
        <v>1430</v>
      </c>
      <c r="M46" s="1186">
        <v>600000000</v>
      </c>
      <c r="N46" s="1187" t="s">
        <v>732</v>
      </c>
      <c r="O46" s="1187" t="s">
        <v>1416</v>
      </c>
      <c r="R46" s="1159"/>
    </row>
    <row r="47" spans="1:18" s="1180" customFormat="1" ht="105" x14ac:dyDescent="0.35">
      <c r="A47" s="1172">
        <v>2022041</v>
      </c>
      <c r="B47" s="1172">
        <v>7637</v>
      </c>
      <c r="C47" s="1172" t="s">
        <v>643</v>
      </c>
      <c r="D47" s="1178" t="s">
        <v>671</v>
      </c>
      <c r="E47" s="1176" t="s">
        <v>1452</v>
      </c>
      <c r="F47" s="1175" t="s">
        <v>1453</v>
      </c>
      <c r="G47" s="1176" t="s">
        <v>1421</v>
      </c>
      <c r="H47" s="1176" t="s">
        <v>1428</v>
      </c>
      <c r="I47" s="1176">
        <v>3</v>
      </c>
      <c r="J47" s="1176" t="s">
        <v>1438</v>
      </c>
      <c r="K47" s="1176" t="s">
        <v>770</v>
      </c>
      <c r="L47" s="1178" t="s">
        <v>1430</v>
      </c>
      <c r="M47" s="1179">
        <v>600000000</v>
      </c>
      <c r="N47" s="1174" t="s">
        <v>732</v>
      </c>
      <c r="O47" s="1174" t="s">
        <v>1416</v>
      </c>
      <c r="R47" s="1159"/>
    </row>
    <row r="48" spans="1:18" s="1180" customFormat="1" ht="105" x14ac:dyDescent="0.35">
      <c r="A48" s="1172">
        <v>2022042</v>
      </c>
      <c r="B48" s="1172">
        <v>7637</v>
      </c>
      <c r="C48" s="1172" t="s">
        <v>643</v>
      </c>
      <c r="D48" s="1178" t="s">
        <v>671</v>
      </c>
      <c r="E48" s="1174"/>
      <c r="F48" s="1175" t="s">
        <v>777</v>
      </c>
      <c r="G48" s="1176"/>
      <c r="H48" s="1176"/>
      <c r="I48" s="1176"/>
      <c r="J48" s="1176"/>
      <c r="K48" s="1176" t="s">
        <v>674</v>
      </c>
      <c r="L48" s="1178" t="s">
        <v>675</v>
      </c>
      <c r="M48" s="1179">
        <v>22500000</v>
      </c>
      <c r="N48" s="1189" t="s">
        <v>732</v>
      </c>
      <c r="O48" s="1189" t="s">
        <v>1416</v>
      </c>
      <c r="R48" s="1159"/>
    </row>
    <row r="49" spans="1:15" s="1159" customFormat="1" ht="60" x14ac:dyDescent="0.35">
      <c r="A49" s="1172">
        <v>2022043</v>
      </c>
      <c r="B49" s="1172">
        <v>7655</v>
      </c>
      <c r="C49" s="1172" t="s">
        <v>668</v>
      </c>
      <c r="D49" s="1190" t="s">
        <v>689</v>
      </c>
      <c r="E49" s="1191" t="s">
        <v>780</v>
      </c>
      <c r="F49" s="1192" t="s">
        <v>781</v>
      </c>
      <c r="G49" s="1193">
        <v>44575</v>
      </c>
      <c r="H49" s="1193">
        <v>44575</v>
      </c>
      <c r="I49" s="1194" t="s">
        <v>1454</v>
      </c>
      <c r="J49" s="1195" t="s">
        <v>1455</v>
      </c>
      <c r="K49" s="1176" t="s">
        <v>674</v>
      </c>
      <c r="L49" s="1178" t="s">
        <v>782</v>
      </c>
      <c r="M49" s="1196">
        <v>92000000</v>
      </c>
      <c r="N49" s="1197" t="s">
        <v>730</v>
      </c>
      <c r="O49" s="1197" t="s">
        <v>1456</v>
      </c>
    </row>
    <row r="50" spans="1:15" s="1159" customFormat="1" ht="60" x14ac:dyDescent="0.35">
      <c r="A50" s="1172">
        <v>2022044</v>
      </c>
      <c r="B50" s="1172">
        <v>7655</v>
      </c>
      <c r="C50" s="1172" t="s">
        <v>668</v>
      </c>
      <c r="D50" s="1190" t="s">
        <v>689</v>
      </c>
      <c r="E50" s="1191" t="s">
        <v>780</v>
      </c>
      <c r="F50" s="1198" t="s">
        <v>785</v>
      </c>
      <c r="G50" s="1193">
        <v>44575</v>
      </c>
      <c r="H50" s="1193">
        <v>44575</v>
      </c>
      <c r="I50" s="1194" t="s">
        <v>1454</v>
      </c>
      <c r="J50" s="1195" t="s">
        <v>1455</v>
      </c>
      <c r="K50" s="1176" t="s">
        <v>674</v>
      </c>
      <c r="L50" s="1178" t="s">
        <v>782</v>
      </c>
      <c r="M50" s="1196">
        <v>103500000</v>
      </c>
      <c r="N50" s="1197" t="s">
        <v>730</v>
      </c>
      <c r="O50" s="1197" t="s">
        <v>1456</v>
      </c>
    </row>
    <row r="51" spans="1:15" s="1159" customFormat="1" ht="60" x14ac:dyDescent="0.35">
      <c r="A51" s="1172">
        <v>2022045</v>
      </c>
      <c r="B51" s="1172">
        <v>7655</v>
      </c>
      <c r="C51" s="1172" t="s">
        <v>668</v>
      </c>
      <c r="D51" s="1190" t="s">
        <v>689</v>
      </c>
      <c r="E51" s="1191" t="s">
        <v>780</v>
      </c>
      <c r="F51" s="1198" t="s">
        <v>787</v>
      </c>
      <c r="G51" s="1193">
        <v>44575</v>
      </c>
      <c r="H51" s="1193">
        <v>44575</v>
      </c>
      <c r="I51" s="1194" t="s">
        <v>1454</v>
      </c>
      <c r="J51" s="1195" t="s">
        <v>1455</v>
      </c>
      <c r="K51" s="1176" t="s">
        <v>674</v>
      </c>
      <c r="L51" s="1178" t="s">
        <v>675</v>
      </c>
      <c r="M51" s="1196">
        <v>57500000</v>
      </c>
      <c r="N51" s="1197" t="s">
        <v>730</v>
      </c>
      <c r="O51" s="1197" t="s">
        <v>1456</v>
      </c>
    </row>
    <row r="52" spans="1:15" s="1159" customFormat="1" ht="60" x14ac:dyDescent="0.35">
      <c r="A52" s="1172">
        <v>2022046</v>
      </c>
      <c r="B52" s="1172">
        <v>7655</v>
      </c>
      <c r="C52" s="1172" t="s">
        <v>668</v>
      </c>
      <c r="D52" s="1190" t="s">
        <v>689</v>
      </c>
      <c r="E52" s="1191" t="s">
        <v>780</v>
      </c>
      <c r="F52" s="1192" t="s">
        <v>789</v>
      </c>
      <c r="G52" s="1193">
        <v>44575</v>
      </c>
      <c r="H52" s="1193">
        <v>44575</v>
      </c>
      <c r="I52" s="1194" t="s">
        <v>1454</v>
      </c>
      <c r="J52" s="1195" t="s">
        <v>1455</v>
      </c>
      <c r="K52" s="1176" t="s">
        <v>674</v>
      </c>
      <c r="L52" s="1178" t="s">
        <v>675</v>
      </c>
      <c r="M52" s="1196">
        <v>78200000</v>
      </c>
      <c r="N52" s="1197" t="s">
        <v>730</v>
      </c>
      <c r="O52" s="1197" t="s">
        <v>1456</v>
      </c>
    </row>
    <row r="53" spans="1:15" s="1159" customFormat="1" ht="60" x14ac:dyDescent="0.35">
      <c r="A53" s="1172">
        <v>2022047</v>
      </c>
      <c r="B53" s="1172">
        <v>7655</v>
      </c>
      <c r="C53" s="1172" t="s">
        <v>668</v>
      </c>
      <c r="D53" s="1190" t="s">
        <v>689</v>
      </c>
      <c r="E53" s="1191" t="s">
        <v>780</v>
      </c>
      <c r="F53" s="1198" t="s">
        <v>791</v>
      </c>
      <c r="G53" s="1193">
        <v>44575</v>
      </c>
      <c r="H53" s="1193">
        <v>44575</v>
      </c>
      <c r="I53" s="1194" t="s">
        <v>1454</v>
      </c>
      <c r="J53" s="1195" t="s">
        <v>1455</v>
      </c>
      <c r="K53" s="1176" t="s">
        <v>674</v>
      </c>
      <c r="L53" s="1178" t="s">
        <v>675</v>
      </c>
      <c r="M53" s="1196">
        <v>38525000</v>
      </c>
      <c r="N53" s="1197" t="s">
        <v>730</v>
      </c>
      <c r="O53" s="1197" t="s">
        <v>1456</v>
      </c>
    </row>
    <row r="54" spans="1:15" s="1159" customFormat="1" ht="60" x14ac:dyDescent="0.35">
      <c r="A54" s="1172">
        <v>2022048</v>
      </c>
      <c r="B54" s="1172">
        <v>7655</v>
      </c>
      <c r="C54" s="1172" t="s">
        <v>668</v>
      </c>
      <c r="D54" s="1190" t="s">
        <v>689</v>
      </c>
      <c r="E54" s="1191" t="s">
        <v>780</v>
      </c>
      <c r="F54" s="1198" t="s">
        <v>792</v>
      </c>
      <c r="G54" s="1193">
        <v>44575</v>
      </c>
      <c r="H54" s="1193">
        <v>44575</v>
      </c>
      <c r="I54" s="1194" t="s">
        <v>1454</v>
      </c>
      <c r="J54" s="1195" t="s">
        <v>1455</v>
      </c>
      <c r="K54" s="1176" t="s">
        <v>674</v>
      </c>
      <c r="L54" s="1178" t="s">
        <v>782</v>
      </c>
      <c r="M54" s="1196">
        <v>92000000</v>
      </c>
      <c r="N54" s="1197" t="s">
        <v>730</v>
      </c>
      <c r="O54" s="1197" t="s">
        <v>1456</v>
      </c>
    </row>
    <row r="55" spans="1:15" s="1159" customFormat="1" ht="60" x14ac:dyDescent="0.35">
      <c r="A55" s="1172">
        <v>2022049</v>
      </c>
      <c r="B55" s="1172">
        <v>7655</v>
      </c>
      <c r="C55" s="1172" t="s">
        <v>668</v>
      </c>
      <c r="D55" s="1190" t="s">
        <v>689</v>
      </c>
      <c r="E55" s="1191" t="s">
        <v>780</v>
      </c>
      <c r="F55" s="1198" t="s">
        <v>1331</v>
      </c>
      <c r="G55" s="1193">
        <v>44575</v>
      </c>
      <c r="H55" s="1193">
        <v>44575</v>
      </c>
      <c r="I55" s="1194" t="s">
        <v>1457</v>
      </c>
      <c r="J55" s="1195" t="s">
        <v>1455</v>
      </c>
      <c r="K55" s="1176" t="s">
        <v>674</v>
      </c>
      <c r="L55" s="1178" t="s">
        <v>675</v>
      </c>
      <c r="M55" s="1196">
        <v>16800000</v>
      </c>
      <c r="N55" s="1197" t="s">
        <v>730</v>
      </c>
      <c r="O55" s="1197" t="s">
        <v>1456</v>
      </c>
    </row>
    <row r="56" spans="1:15" s="1159" customFormat="1" ht="60" x14ac:dyDescent="0.35">
      <c r="A56" s="1172">
        <v>2022050</v>
      </c>
      <c r="B56" s="1172">
        <v>7655</v>
      </c>
      <c r="C56" s="1172" t="s">
        <v>668</v>
      </c>
      <c r="D56" s="1190" t="s">
        <v>689</v>
      </c>
      <c r="E56" s="1191" t="s">
        <v>780</v>
      </c>
      <c r="F56" s="1198" t="s">
        <v>793</v>
      </c>
      <c r="G56" s="1193">
        <v>44575</v>
      </c>
      <c r="H56" s="1193">
        <v>44575</v>
      </c>
      <c r="I56" s="1194" t="s">
        <v>1458</v>
      </c>
      <c r="J56" s="1195" t="s">
        <v>1455</v>
      </c>
      <c r="K56" s="1176" t="s">
        <v>674</v>
      </c>
      <c r="L56" s="1178" t="s">
        <v>675</v>
      </c>
      <c r="M56" s="1196">
        <v>38500000</v>
      </c>
      <c r="N56" s="1197" t="s">
        <v>730</v>
      </c>
      <c r="O56" s="1197" t="s">
        <v>1456</v>
      </c>
    </row>
    <row r="57" spans="1:15" s="1159" customFormat="1" ht="60" x14ac:dyDescent="0.35">
      <c r="A57" s="1172">
        <v>2022051</v>
      </c>
      <c r="B57" s="1172">
        <v>7655</v>
      </c>
      <c r="C57" s="1172" t="s">
        <v>668</v>
      </c>
      <c r="D57" s="1190" t="s">
        <v>689</v>
      </c>
      <c r="E57" s="1191" t="s">
        <v>780</v>
      </c>
      <c r="F57" s="1198" t="s">
        <v>794</v>
      </c>
      <c r="G57" s="1193">
        <v>44575</v>
      </c>
      <c r="H57" s="1193">
        <v>44575</v>
      </c>
      <c r="I57" s="1194" t="s">
        <v>1454</v>
      </c>
      <c r="J57" s="1195" t="s">
        <v>1455</v>
      </c>
      <c r="K57" s="1176" t="s">
        <v>674</v>
      </c>
      <c r="L57" s="1178" t="s">
        <v>675</v>
      </c>
      <c r="M57" s="1196">
        <v>20700000</v>
      </c>
      <c r="N57" s="1197" t="s">
        <v>730</v>
      </c>
      <c r="O57" s="1197" t="s">
        <v>1456</v>
      </c>
    </row>
    <row r="58" spans="1:15" s="1159" customFormat="1" ht="60" x14ac:dyDescent="0.35">
      <c r="A58" s="1172">
        <v>2022052</v>
      </c>
      <c r="B58" s="1172">
        <v>7655</v>
      </c>
      <c r="C58" s="1172" t="s">
        <v>668</v>
      </c>
      <c r="D58" s="1190" t="s">
        <v>689</v>
      </c>
      <c r="E58" s="1191" t="s">
        <v>780</v>
      </c>
      <c r="F58" s="1198" t="s">
        <v>795</v>
      </c>
      <c r="G58" s="1193">
        <v>44575</v>
      </c>
      <c r="H58" s="1193">
        <v>44575</v>
      </c>
      <c r="I58" s="1194" t="s">
        <v>1454</v>
      </c>
      <c r="J58" s="1195" t="s">
        <v>1455</v>
      </c>
      <c r="K58" s="1176" t="s">
        <v>674</v>
      </c>
      <c r="L58" s="1178" t="s">
        <v>675</v>
      </c>
      <c r="M58" s="1196">
        <v>83950000</v>
      </c>
      <c r="N58" s="1197" t="s">
        <v>730</v>
      </c>
      <c r="O58" s="1197" t="s">
        <v>1456</v>
      </c>
    </row>
    <row r="59" spans="1:15" s="1159" customFormat="1" ht="60" x14ac:dyDescent="0.35">
      <c r="A59" s="1172">
        <v>2022053</v>
      </c>
      <c r="B59" s="1172">
        <v>7655</v>
      </c>
      <c r="C59" s="1172" t="s">
        <v>668</v>
      </c>
      <c r="D59" s="1190" t="s">
        <v>689</v>
      </c>
      <c r="E59" s="1191" t="s">
        <v>780</v>
      </c>
      <c r="F59" s="1198" t="s">
        <v>796</v>
      </c>
      <c r="G59" s="1193">
        <v>44575</v>
      </c>
      <c r="H59" s="1193">
        <v>44575</v>
      </c>
      <c r="I59" s="1194" t="s">
        <v>1454</v>
      </c>
      <c r="J59" s="1195" t="s">
        <v>1455</v>
      </c>
      <c r="K59" s="1176" t="s">
        <v>674</v>
      </c>
      <c r="L59" s="1178" t="s">
        <v>675</v>
      </c>
      <c r="M59" s="1196">
        <v>38525000</v>
      </c>
      <c r="N59" s="1197" t="s">
        <v>730</v>
      </c>
      <c r="O59" s="1197" t="s">
        <v>1456</v>
      </c>
    </row>
    <row r="60" spans="1:15" s="1159" customFormat="1" ht="60" x14ac:dyDescent="0.35">
      <c r="A60" s="1172">
        <v>2022054</v>
      </c>
      <c r="B60" s="1172">
        <v>7655</v>
      </c>
      <c r="C60" s="1172" t="s">
        <v>668</v>
      </c>
      <c r="D60" s="1190" t="s">
        <v>689</v>
      </c>
      <c r="E60" s="1172" t="s">
        <v>780</v>
      </c>
      <c r="F60" s="1175" t="s">
        <v>797</v>
      </c>
      <c r="G60" s="1193">
        <v>44575</v>
      </c>
      <c r="H60" s="1193">
        <v>44575</v>
      </c>
      <c r="I60" s="1194" t="s">
        <v>1457</v>
      </c>
      <c r="J60" s="1195" t="s">
        <v>1455</v>
      </c>
      <c r="K60" s="1176" t="s">
        <v>674</v>
      </c>
      <c r="L60" s="1178" t="s">
        <v>675</v>
      </c>
      <c r="M60" s="1196">
        <v>27000000</v>
      </c>
      <c r="N60" s="1197" t="s">
        <v>730</v>
      </c>
      <c r="O60" s="1197" t="s">
        <v>1456</v>
      </c>
    </row>
    <row r="61" spans="1:15" s="1159" customFormat="1" ht="60" x14ac:dyDescent="0.35">
      <c r="A61" s="1172">
        <v>2022055</v>
      </c>
      <c r="B61" s="1172">
        <v>7655</v>
      </c>
      <c r="C61" s="1172" t="s">
        <v>668</v>
      </c>
      <c r="D61" s="1190" t="s">
        <v>689</v>
      </c>
      <c r="E61" s="1172" t="s">
        <v>780</v>
      </c>
      <c r="F61" s="1192" t="s">
        <v>798</v>
      </c>
      <c r="G61" s="1193">
        <v>44575</v>
      </c>
      <c r="H61" s="1193">
        <v>44575</v>
      </c>
      <c r="I61" s="1194" t="s">
        <v>1454</v>
      </c>
      <c r="J61" s="1195" t="s">
        <v>1455</v>
      </c>
      <c r="K61" s="1176" t="s">
        <v>674</v>
      </c>
      <c r="L61" s="1178" t="s">
        <v>675</v>
      </c>
      <c r="M61" s="1196">
        <v>51750000</v>
      </c>
      <c r="N61" s="1197" t="s">
        <v>730</v>
      </c>
      <c r="O61" s="1197" t="s">
        <v>1456</v>
      </c>
    </row>
    <row r="62" spans="1:15" s="1159" customFormat="1" ht="60" x14ac:dyDescent="0.35">
      <c r="A62" s="1172">
        <v>2022056</v>
      </c>
      <c r="B62" s="1172">
        <v>7655</v>
      </c>
      <c r="C62" s="1172" t="s">
        <v>668</v>
      </c>
      <c r="D62" s="1190" t="s">
        <v>689</v>
      </c>
      <c r="E62" s="1191">
        <v>80111600</v>
      </c>
      <c r="F62" s="1192" t="s">
        <v>799</v>
      </c>
      <c r="G62" s="1193">
        <v>44575</v>
      </c>
      <c r="H62" s="1193">
        <v>44575</v>
      </c>
      <c r="I62" s="1194" t="s">
        <v>1454</v>
      </c>
      <c r="J62" s="1195" t="s">
        <v>1455</v>
      </c>
      <c r="K62" s="1176" t="s">
        <v>674</v>
      </c>
      <c r="L62" s="1176" t="s">
        <v>675</v>
      </c>
      <c r="M62" s="1196">
        <v>0</v>
      </c>
      <c r="N62" s="1197" t="s">
        <v>730</v>
      </c>
      <c r="O62" s="1197" t="s">
        <v>1456</v>
      </c>
    </row>
    <row r="63" spans="1:15" s="1159" customFormat="1" ht="60" x14ac:dyDescent="0.35">
      <c r="A63" s="1172">
        <v>2022057</v>
      </c>
      <c r="B63" s="1172">
        <v>7655</v>
      </c>
      <c r="C63" s="1172" t="s">
        <v>668</v>
      </c>
      <c r="D63" s="1190" t="s">
        <v>689</v>
      </c>
      <c r="E63" s="1191" t="s">
        <v>780</v>
      </c>
      <c r="F63" s="1192" t="s">
        <v>800</v>
      </c>
      <c r="G63" s="1193">
        <v>44575</v>
      </c>
      <c r="H63" s="1193">
        <v>44575</v>
      </c>
      <c r="I63" s="1194" t="s">
        <v>1454</v>
      </c>
      <c r="J63" s="1195" t="s">
        <v>1455</v>
      </c>
      <c r="K63" s="1176" t="s">
        <v>674</v>
      </c>
      <c r="L63" s="1178" t="s">
        <v>675</v>
      </c>
      <c r="M63" s="1196">
        <v>38525000</v>
      </c>
      <c r="N63" s="1197" t="s">
        <v>730</v>
      </c>
      <c r="O63" s="1197" t="s">
        <v>1456</v>
      </c>
    </row>
    <row r="64" spans="1:15" s="1159" customFormat="1" ht="60" x14ac:dyDescent="0.35">
      <c r="A64" s="1172">
        <v>2022058</v>
      </c>
      <c r="B64" s="1172">
        <v>7655</v>
      </c>
      <c r="C64" s="1172" t="s">
        <v>668</v>
      </c>
      <c r="D64" s="1190" t="s">
        <v>689</v>
      </c>
      <c r="E64" s="1172" t="s">
        <v>780</v>
      </c>
      <c r="F64" s="1192" t="s">
        <v>801</v>
      </c>
      <c r="G64" s="1193">
        <v>44575</v>
      </c>
      <c r="H64" s="1193">
        <v>44575</v>
      </c>
      <c r="I64" s="1194" t="s">
        <v>1454</v>
      </c>
      <c r="J64" s="1195" t="s">
        <v>1455</v>
      </c>
      <c r="K64" s="1176" t="s">
        <v>674</v>
      </c>
      <c r="L64" s="1178" t="s">
        <v>675</v>
      </c>
      <c r="M64" s="1196">
        <v>28175000</v>
      </c>
      <c r="N64" s="1197" t="s">
        <v>730</v>
      </c>
      <c r="O64" s="1197" t="s">
        <v>1456</v>
      </c>
    </row>
    <row r="65" spans="1:15" s="1159" customFormat="1" ht="60" x14ac:dyDescent="0.35">
      <c r="A65" s="1172">
        <v>2022059</v>
      </c>
      <c r="B65" s="1172">
        <v>7655</v>
      </c>
      <c r="C65" s="1172" t="s">
        <v>668</v>
      </c>
      <c r="D65" s="1190" t="s">
        <v>689</v>
      </c>
      <c r="E65" s="1191" t="s">
        <v>780</v>
      </c>
      <c r="F65" s="1198" t="s">
        <v>802</v>
      </c>
      <c r="G65" s="1193">
        <v>44575</v>
      </c>
      <c r="H65" s="1193">
        <v>44575</v>
      </c>
      <c r="I65" s="1194" t="s">
        <v>1454</v>
      </c>
      <c r="J65" s="1195" t="s">
        <v>1455</v>
      </c>
      <c r="K65" s="1176" t="s">
        <v>674</v>
      </c>
      <c r="L65" s="1178" t="s">
        <v>675</v>
      </c>
      <c r="M65" s="1196">
        <v>44275000</v>
      </c>
      <c r="N65" s="1197" t="s">
        <v>730</v>
      </c>
      <c r="O65" s="1197" t="s">
        <v>1456</v>
      </c>
    </row>
    <row r="66" spans="1:15" s="1159" customFormat="1" ht="60" x14ac:dyDescent="0.35">
      <c r="A66" s="1172">
        <v>2022060</v>
      </c>
      <c r="B66" s="1172">
        <v>7655</v>
      </c>
      <c r="C66" s="1172" t="s">
        <v>668</v>
      </c>
      <c r="D66" s="1190" t="s">
        <v>689</v>
      </c>
      <c r="E66" s="1191" t="s">
        <v>780</v>
      </c>
      <c r="F66" s="1198" t="s">
        <v>802</v>
      </c>
      <c r="G66" s="1193">
        <v>44575</v>
      </c>
      <c r="H66" s="1193">
        <v>44575</v>
      </c>
      <c r="I66" s="1194" t="s">
        <v>1454</v>
      </c>
      <c r="J66" s="1195" t="s">
        <v>1455</v>
      </c>
      <c r="K66" s="1176" t="s">
        <v>674</v>
      </c>
      <c r="L66" s="1178" t="s">
        <v>675</v>
      </c>
      <c r="M66" s="1196">
        <v>44275000</v>
      </c>
      <c r="N66" s="1197" t="s">
        <v>730</v>
      </c>
      <c r="O66" s="1197" t="s">
        <v>1456</v>
      </c>
    </row>
    <row r="67" spans="1:15" s="1159" customFormat="1" ht="75" x14ac:dyDescent="0.35">
      <c r="A67" s="1172">
        <v>2022061</v>
      </c>
      <c r="B67" s="1172">
        <v>7655</v>
      </c>
      <c r="C67" s="1172" t="s">
        <v>668</v>
      </c>
      <c r="D67" s="1190" t="s">
        <v>689</v>
      </c>
      <c r="E67" s="1191" t="s">
        <v>780</v>
      </c>
      <c r="F67" s="1198" t="s">
        <v>803</v>
      </c>
      <c r="G67" s="1193">
        <v>44575</v>
      </c>
      <c r="H67" s="1193">
        <v>44575</v>
      </c>
      <c r="I67" s="1194" t="s">
        <v>1454</v>
      </c>
      <c r="J67" s="1195" t="s">
        <v>1455</v>
      </c>
      <c r="K67" s="1176" t="s">
        <v>674</v>
      </c>
      <c r="L67" s="1178" t="s">
        <v>675</v>
      </c>
      <c r="M67" s="1196">
        <v>51750000</v>
      </c>
      <c r="N67" s="1197" t="s">
        <v>730</v>
      </c>
      <c r="O67" s="1197" t="s">
        <v>1456</v>
      </c>
    </row>
    <row r="68" spans="1:15" s="1159" customFormat="1" ht="75" x14ac:dyDescent="0.35">
      <c r="A68" s="1172">
        <v>2022062</v>
      </c>
      <c r="B68" s="1172">
        <v>7655</v>
      </c>
      <c r="C68" s="1172" t="s">
        <v>668</v>
      </c>
      <c r="D68" s="1190" t="s">
        <v>689</v>
      </c>
      <c r="E68" s="1191" t="s">
        <v>780</v>
      </c>
      <c r="F68" s="1198" t="s">
        <v>804</v>
      </c>
      <c r="G68" s="1193">
        <v>44575</v>
      </c>
      <c r="H68" s="1193">
        <v>44575</v>
      </c>
      <c r="I68" s="1194" t="s">
        <v>1458</v>
      </c>
      <c r="J68" s="1195" t="s">
        <v>1455</v>
      </c>
      <c r="K68" s="1176" t="s">
        <v>674</v>
      </c>
      <c r="L68" s="1178" t="s">
        <v>675</v>
      </c>
      <c r="M68" s="1196">
        <v>51100000</v>
      </c>
      <c r="N68" s="1197" t="s">
        <v>730</v>
      </c>
      <c r="O68" s="1197" t="s">
        <v>1456</v>
      </c>
    </row>
    <row r="69" spans="1:15" s="1159" customFormat="1" ht="60" x14ac:dyDescent="0.35">
      <c r="A69" s="1172">
        <v>2022063</v>
      </c>
      <c r="B69" s="1172">
        <v>7655</v>
      </c>
      <c r="C69" s="1172" t="s">
        <v>668</v>
      </c>
      <c r="D69" s="1190" t="s">
        <v>689</v>
      </c>
      <c r="E69" s="1191" t="s">
        <v>805</v>
      </c>
      <c r="F69" s="1198" t="s">
        <v>806</v>
      </c>
      <c r="G69" s="1193">
        <v>44630</v>
      </c>
      <c r="H69" s="1193">
        <v>44630</v>
      </c>
      <c r="I69" s="1194" t="s">
        <v>1367</v>
      </c>
      <c r="J69" s="1195" t="s">
        <v>1432</v>
      </c>
      <c r="K69" s="1176" t="s">
        <v>674</v>
      </c>
      <c r="L69" s="1178" t="s">
        <v>807</v>
      </c>
      <c r="M69" s="1196">
        <v>20000000</v>
      </c>
      <c r="N69" s="1197" t="s">
        <v>730</v>
      </c>
      <c r="O69" s="1197" t="s">
        <v>1456</v>
      </c>
    </row>
    <row r="70" spans="1:15" s="1159" customFormat="1" ht="60" x14ac:dyDescent="0.35">
      <c r="A70" s="1172">
        <v>2022064</v>
      </c>
      <c r="B70" s="1172">
        <v>7655</v>
      </c>
      <c r="C70" s="1172" t="s">
        <v>668</v>
      </c>
      <c r="D70" s="1190" t="s">
        <v>689</v>
      </c>
      <c r="E70" s="1172" t="s">
        <v>808</v>
      </c>
      <c r="F70" s="1198" t="s">
        <v>809</v>
      </c>
      <c r="G70" s="1193">
        <v>44576</v>
      </c>
      <c r="H70" s="1193">
        <v>44576</v>
      </c>
      <c r="I70" s="1194" t="s">
        <v>97</v>
      </c>
      <c r="J70" s="1195" t="s">
        <v>1422</v>
      </c>
      <c r="K70" s="1176" t="s">
        <v>674</v>
      </c>
      <c r="L70" s="1178" t="s">
        <v>675</v>
      </c>
      <c r="M70" s="1196">
        <v>20000000</v>
      </c>
      <c r="N70" s="1197" t="s">
        <v>730</v>
      </c>
      <c r="O70" s="1197" t="s">
        <v>1456</v>
      </c>
    </row>
    <row r="71" spans="1:15" s="1159" customFormat="1" ht="60" x14ac:dyDescent="0.35">
      <c r="A71" s="1172">
        <v>2022065</v>
      </c>
      <c r="B71" s="1172">
        <v>7655</v>
      </c>
      <c r="C71" s="1172" t="s">
        <v>668</v>
      </c>
      <c r="D71" s="1190" t="s">
        <v>689</v>
      </c>
      <c r="E71" s="1172" t="s">
        <v>808</v>
      </c>
      <c r="F71" s="1198" t="s">
        <v>810</v>
      </c>
      <c r="G71" s="1193">
        <v>44607</v>
      </c>
      <c r="H71" s="1193">
        <v>44607</v>
      </c>
      <c r="I71" s="1194" t="s">
        <v>1459</v>
      </c>
      <c r="J71" s="1195" t="s">
        <v>1422</v>
      </c>
      <c r="K71" s="1176" t="s">
        <v>674</v>
      </c>
      <c r="L71" s="1178" t="s">
        <v>675</v>
      </c>
      <c r="M71" s="1196">
        <v>140000000</v>
      </c>
      <c r="N71" s="1197" t="s">
        <v>730</v>
      </c>
      <c r="O71" s="1197" t="s">
        <v>1456</v>
      </c>
    </row>
    <row r="72" spans="1:15" s="1159" customFormat="1" ht="60" x14ac:dyDescent="0.35">
      <c r="A72" s="1172">
        <v>2022066</v>
      </c>
      <c r="B72" s="1172">
        <v>7655</v>
      </c>
      <c r="C72" s="1172" t="s">
        <v>668</v>
      </c>
      <c r="D72" s="1190" t="s">
        <v>689</v>
      </c>
      <c r="E72" s="1172">
        <v>76121900</v>
      </c>
      <c r="F72" s="1192" t="s">
        <v>811</v>
      </c>
      <c r="G72" s="1193">
        <v>44635</v>
      </c>
      <c r="H72" s="1193">
        <v>44635</v>
      </c>
      <c r="I72" s="1194" t="s">
        <v>1460</v>
      </c>
      <c r="J72" s="1195" t="s">
        <v>1432</v>
      </c>
      <c r="K72" s="1176" t="s">
        <v>674</v>
      </c>
      <c r="L72" s="1178" t="s">
        <v>675</v>
      </c>
      <c r="M72" s="1196">
        <v>2060000</v>
      </c>
      <c r="N72" s="1197" t="s">
        <v>730</v>
      </c>
      <c r="O72" s="1197" t="s">
        <v>1456</v>
      </c>
    </row>
    <row r="73" spans="1:15" s="1159" customFormat="1" ht="60" x14ac:dyDescent="0.35">
      <c r="A73" s="1172">
        <v>2022067</v>
      </c>
      <c r="B73" s="1172">
        <v>7655</v>
      </c>
      <c r="C73" s="1172" t="s">
        <v>668</v>
      </c>
      <c r="D73" s="1190" t="s">
        <v>689</v>
      </c>
      <c r="E73" s="1172" t="s">
        <v>812</v>
      </c>
      <c r="F73" s="1192" t="s">
        <v>813</v>
      </c>
      <c r="G73" s="1193">
        <v>44635</v>
      </c>
      <c r="H73" s="1193">
        <v>44635</v>
      </c>
      <c r="I73" s="1195" t="s">
        <v>814</v>
      </c>
      <c r="J73" s="1195" t="s">
        <v>814</v>
      </c>
      <c r="K73" s="1176" t="s">
        <v>674</v>
      </c>
      <c r="L73" s="1178" t="s">
        <v>675</v>
      </c>
      <c r="M73" s="1196">
        <v>1110000</v>
      </c>
      <c r="N73" s="1197" t="s">
        <v>730</v>
      </c>
      <c r="O73" s="1197" t="s">
        <v>1456</v>
      </c>
    </row>
    <row r="74" spans="1:15" s="1159" customFormat="1" ht="60" x14ac:dyDescent="0.35">
      <c r="A74" s="1172">
        <v>2022068</v>
      </c>
      <c r="B74" s="1172">
        <v>7655</v>
      </c>
      <c r="C74" s="1172" t="s">
        <v>668</v>
      </c>
      <c r="D74" s="1190" t="s">
        <v>689</v>
      </c>
      <c r="E74" s="1191" t="s">
        <v>780</v>
      </c>
      <c r="F74" s="1198" t="s">
        <v>815</v>
      </c>
      <c r="G74" s="1193">
        <v>44575</v>
      </c>
      <c r="H74" s="1193">
        <v>44575</v>
      </c>
      <c r="I74" s="1194" t="s">
        <v>1454</v>
      </c>
      <c r="J74" s="1195" t="s">
        <v>1455</v>
      </c>
      <c r="K74" s="1176" t="s">
        <v>674</v>
      </c>
      <c r="L74" s="1178" t="s">
        <v>675</v>
      </c>
      <c r="M74" s="1196">
        <v>44275000</v>
      </c>
      <c r="N74" s="1197" t="s">
        <v>730</v>
      </c>
      <c r="O74" s="1197" t="s">
        <v>1456</v>
      </c>
    </row>
    <row r="75" spans="1:15" s="1159" customFormat="1" ht="60" x14ac:dyDescent="0.35">
      <c r="A75" s="1172">
        <v>2022069</v>
      </c>
      <c r="B75" s="1172">
        <v>7655</v>
      </c>
      <c r="C75" s="1172" t="s">
        <v>668</v>
      </c>
      <c r="D75" s="1190" t="s">
        <v>689</v>
      </c>
      <c r="E75" s="1191" t="s">
        <v>780</v>
      </c>
      <c r="F75" s="1198" t="s">
        <v>816</v>
      </c>
      <c r="G75" s="1193">
        <v>44575</v>
      </c>
      <c r="H75" s="1193">
        <v>44575</v>
      </c>
      <c r="I75" s="1194" t="s">
        <v>1454</v>
      </c>
      <c r="J75" s="1195" t="s">
        <v>1455</v>
      </c>
      <c r="K75" s="1176" t="s">
        <v>674</v>
      </c>
      <c r="L75" s="1178" t="s">
        <v>782</v>
      </c>
      <c r="M75" s="1196">
        <v>47150000</v>
      </c>
      <c r="N75" s="1197" t="s">
        <v>730</v>
      </c>
      <c r="O75" s="1197" t="s">
        <v>1456</v>
      </c>
    </row>
    <row r="76" spans="1:15" s="1159" customFormat="1" ht="60" x14ac:dyDescent="0.35">
      <c r="A76" s="1172">
        <v>2022070</v>
      </c>
      <c r="B76" s="1172">
        <v>7655</v>
      </c>
      <c r="C76" s="1172" t="s">
        <v>668</v>
      </c>
      <c r="D76" s="1190" t="s">
        <v>689</v>
      </c>
      <c r="E76" s="1191" t="s">
        <v>780</v>
      </c>
      <c r="F76" s="1192" t="s">
        <v>816</v>
      </c>
      <c r="G76" s="1193">
        <v>44575</v>
      </c>
      <c r="H76" s="1193">
        <v>44575</v>
      </c>
      <c r="I76" s="1194" t="s">
        <v>1454</v>
      </c>
      <c r="J76" s="1195" t="s">
        <v>1455</v>
      </c>
      <c r="K76" s="1176" t="s">
        <v>674</v>
      </c>
      <c r="L76" s="1178" t="s">
        <v>675</v>
      </c>
      <c r="M76" s="1196">
        <v>63250000</v>
      </c>
      <c r="N76" s="1197" t="s">
        <v>730</v>
      </c>
      <c r="O76" s="1197" t="s">
        <v>1456</v>
      </c>
    </row>
    <row r="77" spans="1:15" s="1159" customFormat="1" ht="60" x14ac:dyDescent="0.35">
      <c r="A77" s="1172">
        <v>2022071</v>
      </c>
      <c r="B77" s="1172">
        <v>7655</v>
      </c>
      <c r="C77" s="1172" t="s">
        <v>668</v>
      </c>
      <c r="D77" s="1190" t="s">
        <v>689</v>
      </c>
      <c r="E77" s="1191" t="s">
        <v>780</v>
      </c>
      <c r="F77" s="1198" t="s">
        <v>816</v>
      </c>
      <c r="G77" s="1193">
        <v>44575</v>
      </c>
      <c r="H77" s="1193">
        <v>44575</v>
      </c>
      <c r="I77" s="1194" t="s">
        <v>1454</v>
      </c>
      <c r="J77" s="1195" t="s">
        <v>1455</v>
      </c>
      <c r="K77" s="1176" t="s">
        <v>674</v>
      </c>
      <c r="L77" s="1178" t="s">
        <v>675</v>
      </c>
      <c r="M77" s="1196">
        <v>63250000</v>
      </c>
      <c r="N77" s="1197" t="s">
        <v>730</v>
      </c>
      <c r="O77" s="1197" t="s">
        <v>1456</v>
      </c>
    </row>
    <row r="78" spans="1:15" s="1159" customFormat="1" ht="60" x14ac:dyDescent="0.35">
      <c r="A78" s="1172">
        <v>2022072</v>
      </c>
      <c r="B78" s="1172">
        <v>7655</v>
      </c>
      <c r="C78" s="1172" t="s">
        <v>668</v>
      </c>
      <c r="D78" s="1190" t="s">
        <v>689</v>
      </c>
      <c r="E78" s="1191" t="s">
        <v>780</v>
      </c>
      <c r="F78" s="1192" t="s">
        <v>817</v>
      </c>
      <c r="G78" s="1193">
        <v>44575</v>
      </c>
      <c r="H78" s="1193">
        <v>44575</v>
      </c>
      <c r="I78" s="1194" t="s">
        <v>1457</v>
      </c>
      <c r="J78" s="1195" t="s">
        <v>1455</v>
      </c>
      <c r="K78" s="1176" t="s">
        <v>674</v>
      </c>
      <c r="L78" s="1178" t="s">
        <v>675</v>
      </c>
      <c r="M78" s="1196">
        <v>16500000</v>
      </c>
      <c r="N78" s="1197" t="s">
        <v>730</v>
      </c>
      <c r="O78" s="1197" t="s">
        <v>1456</v>
      </c>
    </row>
    <row r="79" spans="1:15" s="1159" customFormat="1" ht="60" x14ac:dyDescent="0.35">
      <c r="A79" s="1172">
        <v>2022073</v>
      </c>
      <c r="B79" s="1172">
        <v>7655</v>
      </c>
      <c r="C79" s="1172" t="s">
        <v>668</v>
      </c>
      <c r="D79" s="1190" t="s">
        <v>689</v>
      </c>
      <c r="E79" s="1191" t="s">
        <v>780</v>
      </c>
      <c r="F79" s="1192" t="s">
        <v>816</v>
      </c>
      <c r="G79" s="1193">
        <v>44575</v>
      </c>
      <c r="H79" s="1193">
        <v>44575</v>
      </c>
      <c r="I79" s="1194" t="s">
        <v>1454</v>
      </c>
      <c r="J79" s="1195" t="s">
        <v>1455</v>
      </c>
      <c r="K79" s="1176" t="s">
        <v>674</v>
      </c>
      <c r="L79" s="1178" t="s">
        <v>675</v>
      </c>
      <c r="M79" s="1196">
        <v>63250000</v>
      </c>
      <c r="N79" s="1197" t="s">
        <v>730</v>
      </c>
      <c r="O79" s="1197" t="s">
        <v>1456</v>
      </c>
    </row>
    <row r="80" spans="1:15" s="1159" customFormat="1" ht="60" x14ac:dyDescent="0.35">
      <c r="A80" s="1172">
        <v>2022074</v>
      </c>
      <c r="B80" s="1172">
        <v>7655</v>
      </c>
      <c r="C80" s="1172" t="s">
        <v>668</v>
      </c>
      <c r="D80" s="1190" t="s">
        <v>689</v>
      </c>
      <c r="E80" s="1191" t="s">
        <v>780</v>
      </c>
      <c r="F80" s="1198" t="s">
        <v>816</v>
      </c>
      <c r="G80" s="1193">
        <v>44575</v>
      </c>
      <c r="H80" s="1193">
        <v>44575</v>
      </c>
      <c r="I80" s="1194" t="s">
        <v>1454</v>
      </c>
      <c r="J80" s="1195" t="s">
        <v>1455</v>
      </c>
      <c r="K80" s="1176" t="s">
        <v>674</v>
      </c>
      <c r="L80" s="1178" t="s">
        <v>675</v>
      </c>
      <c r="M80" s="1196">
        <v>58650000</v>
      </c>
      <c r="N80" s="1197" t="s">
        <v>730</v>
      </c>
      <c r="O80" s="1197" t="s">
        <v>1456</v>
      </c>
    </row>
    <row r="81" spans="1:15" s="1159" customFormat="1" ht="60" x14ac:dyDescent="0.35">
      <c r="A81" s="1172">
        <v>2022075</v>
      </c>
      <c r="B81" s="1172">
        <v>7655</v>
      </c>
      <c r="C81" s="1172" t="s">
        <v>668</v>
      </c>
      <c r="D81" s="1190" t="s">
        <v>689</v>
      </c>
      <c r="E81" s="1191" t="s">
        <v>780</v>
      </c>
      <c r="F81" s="1192" t="s">
        <v>817</v>
      </c>
      <c r="G81" s="1193">
        <v>44575</v>
      </c>
      <c r="H81" s="1193">
        <v>44575</v>
      </c>
      <c r="I81" s="1194" t="s">
        <v>1454</v>
      </c>
      <c r="J81" s="1195" t="s">
        <v>1455</v>
      </c>
      <c r="K81" s="1176" t="s">
        <v>674</v>
      </c>
      <c r="L81" s="1178" t="s">
        <v>675</v>
      </c>
      <c r="M81" s="1196">
        <v>31625000</v>
      </c>
      <c r="N81" s="1197" t="s">
        <v>730</v>
      </c>
      <c r="O81" s="1197" t="s">
        <v>1456</v>
      </c>
    </row>
    <row r="82" spans="1:15" s="1159" customFormat="1" ht="60" x14ac:dyDescent="0.35">
      <c r="A82" s="1172">
        <v>2022076</v>
      </c>
      <c r="B82" s="1172">
        <v>7655</v>
      </c>
      <c r="C82" s="1172" t="s">
        <v>668</v>
      </c>
      <c r="D82" s="1190" t="s">
        <v>689</v>
      </c>
      <c r="E82" s="1191" t="s">
        <v>780</v>
      </c>
      <c r="F82" s="1192" t="s">
        <v>818</v>
      </c>
      <c r="G82" s="1193">
        <v>44575</v>
      </c>
      <c r="H82" s="1193">
        <v>44575</v>
      </c>
      <c r="I82" s="1194" t="s">
        <v>1454</v>
      </c>
      <c r="J82" s="1195" t="s">
        <v>1455</v>
      </c>
      <c r="K82" s="1176" t="s">
        <v>674</v>
      </c>
      <c r="L82" s="1178" t="s">
        <v>675</v>
      </c>
      <c r="M82" s="1196">
        <v>28175000</v>
      </c>
      <c r="N82" s="1197" t="s">
        <v>730</v>
      </c>
      <c r="O82" s="1197" t="s">
        <v>1456</v>
      </c>
    </row>
    <row r="83" spans="1:15" s="1159" customFormat="1" ht="60" x14ac:dyDescent="0.35">
      <c r="A83" s="1172">
        <v>2022077</v>
      </c>
      <c r="B83" s="1172">
        <v>7655</v>
      </c>
      <c r="C83" s="1172" t="s">
        <v>668</v>
      </c>
      <c r="D83" s="1190" t="s">
        <v>689</v>
      </c>
      <c r="E83" s="1191" t="s">
        <v>780</v>
      </c>
      <c r="F83" s="1192" t="s">
        <v>818</v>
      </c>
      <c r="G83" s="1193">
        <v>44575</v>
      </c>
      <c r="H83" s="1193">
        <v>44575</v>
      </c>
      <c r="I83" s="1194" t="s">
        <v>1454</v>
      </c>
      <c r="J83" s="1195" t="s">
        <v>1455</v>
      </c>
      <c r="K83" s="1176" t="s">
        <v>674</v>
      </c>
      <c r="L83" s="1178" t="s">
        <v>675</v>
      </c>
      <c r="M83" s="1196">
        <v>28175000</v>
      </c>
      <c r="N83" s="1197" t="s">
        <v>730</v>
      </c>
      <c r="O83" s="1197" t="s">
        <v>1456</v>
      </c>
    </row>
    <row r="84" spans="1:15" s="1159" customFormat="1" ht="60" x14ac:dyDescent="0.35">
      <c r="A84" s="1172">
        <v>2022078</v>
      </c>
      <c r="B84" s="1172">
        <v>7655</v>
      </c>
      <c r="C84" s="1172" t="s">
        <v>668</v>
      </c>
      <c r="D84" s="1190" t="s">
        <v>689</v>
      </c>
      <c r="E84" s="1191" t="s">
        <v>780</v>
      </c>
      <c r="F84" s="1198" t="s">
        <v>819</v>
      </c>
      <c r="G84" s="1193">
        <v>44575</v>
      </c>
      <c r="H84" s="1193">
        <v>44575</v>
      </c>
      <c r="I84" s="1194" t="s">
        <v>1454</v>
      </c>
      <c r="J84" s="1195" t="s">
        <v>1455</v>
      </c>
      <c r="K84" s="1176" t="s">
        <v>674</v>
      </c>
      <c r="L84" s="1178" t="s">
        <v>675</v>
      </c>
      <c r="M84" s="1196">
        <v>24150000</v>
      </c>
      <c r="N84" s="1197" t="s">
        <v>730</v>
      </c>
      <c r="O84" s="1197" t="s">
        <v>1456</v>
      </c>
    </row>
    <row r="85" spans="1:15" s="1159" customFormat="1" ht="60" x14ac:dyDescent="0.35">
      <c r="A85" s="1172">
        <v>2022079</v>
      </c>
      <c r="B85" s="1172">
        <v>7655</v>
      </c>
      <c r="C85" s="1172" t="s">
        <v>668</v>
      </c>
      <c r="D85" s="1190" t="s">
        <v>689</v>
      </c>
      <c r="E85" s="1191" t="s">
        <v>780</v>
      </c>
      <c r="F85" s="1198" t="s">
        <v>820</v>
      </c>
      <c r="G85" s="1193">
        <v>44575</v>
      </c>
      <c r="H85" s="1193">
        <v>44575</v>
      </c>
      <c r="I85" s="1194" t="s">
        <v>1454</v>
      </c>
      <c r="J85" s="1195" t="s">
        <v>1455</v>
      </c>
      <c r="K85" s="1176" t="s">
        <v>674</v>
      </c>
      <c r="L85" s="1178" t="s">
        <v>675</v>
      </c>
      <c r="M85" s="1196">
        <v>57500000</v>
      </c>
      <c r="N85" s="1197" t="s">
        <v>730</v>
      </c>
      <c r="O85" s="1197" t="s">
        <v>1456</v>
      </c>
    </row>
    <row r="86" spans="1:15" s="1159" customFormat="1" ht="60" x14ac:dyDescent="0.35">
      <c r="A86" s="1172">
        <v>2022080</v>
      </c>
      <c r="B86" s="1172">
        <v>7655</v>
      </c>
      <c r="C86" s="1172" t="s">
        <v>668</v>
      </c>
      <c r="D86" s="1190" t="s">
        <v>689</v>
      </c>
      <c r="E86" s="1191" t="s">
        <v>780</v>
      </c>
      <c r="F86" s="1198" t="s">
        <v>821</v>
      </c>
      <c r="G86" s="1193">
        <v>44575</v>
      </c>
      <c r="H86" s="1193">
        <v>44575</v>
      </c>
      <c r="I86" s="1194" t="s">
        <v>1454</v>
      </c>
      <c r="J86" s="1195" t="s">
        <v>1455</v>
      </c>
      <c r="K86" s="1176" t="s">
        <v>674</v>
      </c>
      <c r="L86" s="1178" t="s">
        <v>675</v>
      </c>
      <c r="M86" s="1196">
        <v>83950000</v>
      </c>
      <c r="N86" s="1197" t="s">
        <v>730</v>
      </c>
      <c r="O86" s="1197" t="s">
        <v>1456</v>
      </c>
    </row>
    <row r="87" spans="1:15" s="1159" customFormat="1" ht="60" x14ac:dyDescent="0.35">
      <c r="A87" s="1172">
        <v>2022081</v>
      </c>
      <c r="B87" s="1172">
        <v>7655</v>
      </c>
      <c r="C87" s="1172" t="s">
        <v>668</v>
      </c>
      <c r="D87" s="1190" t="s">
        <v>689</v>
      </c>
      <c r="E87" s="1191" t="s">
        <v>780</v>
      </c>
      <c r="F87" s="1198" t="s">
        <v>822</v>
      </c>
      <c r="G87" s="1193">
        <v>44575</v>
      </c>
      <c r="H87" s="1193">
        <v>44575</v>
      </c>
      <c r="I87" s="1194" t="s">
        <v>1454</v>
      </c>
      <c r="J87" s="1195" t="s">
        <v>1455</v>
      </c>
      <c r="K87" s="1176" t="s">
        <v>674</v>
      </c>
      <c r="L87" s="1178" t="s">
        <v>675</v>
      </c>
      <c r="M87" s="1196">
        <v>28175000</v>
      </c>
      <c r="N87" s="1197" t="s">
        <v>730</v>
      </c>
      <c r="O87" s="1197" t="s">
        <v>1456</v>
      </c>
    </row>
    <row r="88" spans="1:15" s="1159" customFormat="1" ht="60" x14ac:dyDescent="0.35">
      <c r="A88" s="1172">
        <v>2022082</v>
      </c>
      <c r="B88" s="1172">
        <v>7655</v>
      </c>
      <c r="C88" s="1172" t="s">
        <v>668</v>
      </c>
      <c r="D88" s="1190" t="s">
        <v>689</v>
      </c>
      <c r="E88" s="1191" t="s">
        <v>780</v>
      </c>
      <c r="F88" s="1198" t="s">
        <v>818</v>
      </c>
      <c r="G88" s="1193">
        <v>44575</v>
      </c>
      <c r="H88" s="1193">
        <v>44575</v>
      </c>
      <c r="I88" s="1194" t="s">
        <v>1454</v>
      </c>
      <c r="J88" s="1195" t="s">
        <v>1455</v>
      </c>
      <c r="K88" s="1176" t="s">
        <v>674</v>
      </c>
      <c r="L88" s="1178" t="s">
        <v>675</v>
      </c>
      <c r="M88" s="1196">
        <v>28175000</v>
      </c>
      <c r="N88" s="1197" t="s">
        <v>730</v>
      </c>
      <c r="O88" s="1197" t="s">
        <v>1456</v>
      </c>
    </row>
    <row r="89" spans="1:15" s="1159" customFormat="1" ht="60" x14ac:dyDescent="0.35">
      <c r="A89" s="1172">
        <v>2022083</v>
      </c>
      <c r="B89" s="1172">
        <v>7655</v>
      </c>
      <c r="C89" s="1172" t="s">
        <v>668</v>
      </c>
      <c r="D89" s="1190" t="s">
        <v>689</v>
      </c>
      <c r="E89" s="1172" t="s">
        <v>780</v>
      </c>
      <c r="F89" s="1198" t="s">
        <v>818</v>
      </c>
      <c r="G89" s="1193">
        <v>44575</v>
      </c>
      <c r="H89" s="1193">
        <v>44575</v>
      </c>
      <c r="I89" s="1194" t="s">
        <v>1454</v>
      </c>
      <c r="J89" s="1195" t="s">
        <v>1455</v>
      </c>
      <c r="K89" s="1176" t="s">
        <v>674</v>
      </c>
      <c r="L89" s="1178" t="s">
        <v>675</v>
      </c>
      <c r="M89" s="1196">
        <v>28175000</v>
      </c>
      <c r="N89" s="1197" t="s">
        <v>730</v>
      </c>
      <c r="O89" s="1197" t="s">
        <v>1456</v>
      </c>
    </row>
    <row r="90" spans="1:15" s="1159" customFormat="1" ht="60" x14ac:dyDescent="0.35">
      <c r="A90" s="1172">
        <v>2022084</v>
      </c>
      <c r="B90" s="1172">
        <v>7655</v>
      </c>
      <c r="C90" s="1172" t="s">
        <v>668</v>
      </c>
      <c r="D90" s="1190" t="s">
        <v>689</v>
      </c>
      <c r="E90" s="1172" t="s">
        <v>780</v>
      </c>
      <c r="F90" s="1198" t="s">
        <v>818</v>
      </c>
      <c r="G90" s="1193">
        <v>44575</v>
      </c>
      <c r="H90" s="1193">
        <v>44575</v>
      </c>
      <c r="I90" s="1194" t="s">
        <v>1454</v>
      </c>
      <c r="J90" s="1195" t="s">
        <v>1455</v>
      </c>
      <c r="K90" s="1176" t="s">
        <v>674</v>
      </c>
      <c r="L90" s="1178" t="s">
        <v>675</v>
      </c>
      <c r="M90" s="1196">
        <v>28175000</v>
      </c>
      <c r="N90" s="1197" t="s">
        <v>730</v>
      </c>
      <c r="O90" s="1197" t="s">
        <v>1456</v>
      </c>
    </row>
    <row r="91" spans="1:15" s="1159" customFormat="1" ht="60" x14ac:dyDescent="0.35">
      <c r="A91" s="1172">
        <v>2022085</v>
      </c>
      <c r="B91" s="1172">
        <v>7655</v>
      </c>
      <c r="C91" s="1172" t="s">
        <v>668</v>
      </c>
      <c r="D91" s="1190" t="s">
        <v>689</v>
      </c>
      <c r="E91" s="1191" t="s">
        <v>780</v>
      </c>
      <c r="F91" s="1198" t="s">
        <v>823</v>
      </c>
      <c r="G91" s="1193">
        <v>44575</v>
      </c>
      <c r="H91" s="1193">
        <v>44575</v>
      </c>
      <c r="I91" s="1194" t="s">
        <v>1454</v>
      </c>
      <c r="J91" s="1195" t="s">
        <v>1455</v>
      </c>
      <c r="K91" s="1176" t="s">
        <v>674</v>
      </c>
      <c r="L91" s="1178" t="s">
        <v>675</v>
      </c>
      <c r="M91" s="1196">
        <v>78200000</v>
      </c>
      <c r="N91" s="1197" t="s">
        <v>730</v>
      </c>
      <c r="O91" s="1197" t="s">
        <v>1456</v>
      </c>
    </row>
    <row r="92" spans="1:15" s="1159" customFormat="1" ht="60" x14ac:dyDescent="0.35">
      <c r="A92" s="1172">
        <v>2022086</v>
      </c>
      <c r="B92" s="1172">
        <v>7655</v>
      </c>
      <c r="C92" s="1172" t="s">
        <v>668</v>
      </c>
      <c r="D92" s="1190" t="s">
        <v>689</v>
      </c>
      <c r="E92" s="1191" t="s">
        <v>780</v>
      </c>
      <c r="F92" s="1175" t="s">
        <v>824</v>
      </c>
      <c r="G92" s="1193">
        <v>44575</v>
      </c>
      <c r="H92" s="1193">
        <v>44575</v>
      </c>
      <c r="I92" s="1194" t="s">
        <v>1454</v>
      </c>
      <c r="J92" s="1195" t="s">
        <v>1455</v>
      </c>
      <c r="K92" s="1176" t="s">
        <v>674</v>
      </c>
      <c r="L92" s="1178" t="s">
        <v>675</v>
      </c>
      <c r="M92" s="1196">
        <v>36800000</v>
      </c>
      <c r="N92" s="1197" t="s">
        <v>730</v>
      </c>
      <c r="O92" s="1197" t="s">
        <v>1456</v>
      </c>
    </row>
    <row r="93" spans="1:15" s="1159" customFormat="1" ht="75" x14ac:dyDescent="0.35">
      <c r="A93" s="1172">
        <v>2022087</v>
      </c>
      <c r="B93" s="1172">
        <v>7655</v>
      </c>
      <c r="C93" s="1172" t="s">
        <v>668</v>
      </c>
      <c r="D93" s="1190" t="s">
        <v>689</v>
      </c>
      <c r="E93" s="1191" t="s">
        <v>780</v>
      </c>
      <c r="F93" s="1199" t="s">
        <v>825</v>
      </c>
      <c r="G93" s="1193">
        <v>44575</v>
      </c>
      <c r="H93" s="1193">
        <v>44575</v>
      </c>
      <c r="I93" s="1194" t="s">
        <v>1454</v>
      </c>
      <c r="J93" s="1195" t="s">
        <v>1455</v>
      </c>
      <c r="K93" s="1176" t="s">
        <v>674</v>
      </c>
      <c r="L93" s="1178" t="s">
        <v>675</v>
      </c>
      <c r="M93" s="1196">
        <v>58650000</v>
      </c>
      <c r="N93" s="1197" t="s">
        <v>730</v>
      </c>
      <c r="O93" s="1197" t="s">
        <v>1456</v>
      </c>
    </row>
    <row r="94" spans="1:15" s="1159" customFormat="1" ht="60" x14ac:dyDescent="0.35">
      <c r="A94" s="1172">
        <v>2022088</v>
      </c>
      <c r="B94" s="1172">
        <v>7655</v>
      </c>
      <c r="C94" s="1172" t="s">
        <v>668</v>
      </c>
      <c r="D94" s="1190" t="s">
        <v>689</v>
      </c>
      <c r="E94" s="1191" t="s">
        <v>780</v>
      </c>
      <c r="F94" s="1198" t="s">
        <v>826</v>
      </c>
      <c r="G94" s="1193">
        <v>44575</v>
      </c>
      <c r="H94" s="1193">
        <v>44575</v>
      </c>
      <c r="I94" s="1194" t="s">
        <v>1454</v>
      </c>
      <c r="J94" s="1195" t="s">
        <v>1455</v>
      </c>
      <c r="K94" s="1176" t="s">
        <v>674</v>
      </c>
      <c r="L94" s="1178" t="s">
        <v>675</v>
      </c>
      <c r="M94" s="1196">
        <v>38525000</v>
      </c>
      <c r="N94" s="1197" t="s">
        <v>730</v>
      </c>
      <c r="O94" s="1197" t="s">
        <v>1456</v>
      </c>
    </row>
    <row r="95" spans="1:15" s="1159" customFormat="1" ht="60" x14ac:dyDescent="0.35">
      <c r="A95" s="1172">
        <v>2022089</v>
      </c>
      <c r="B95" s="1172">
        <v>7655</v>
      </c>
      <c r="C95" s="1172" t="s">
        <v>668</v>
      </c>
      <c r="D95" s="1190" t="s">
        <v>689</v>
      </c>
      <c r="E95" s="1191" t="s">
        <v>780</v>
      </c>
      <c r="F95" s="1198" t="s">
        <v>827</v>
      </c>
      <c r="G95" s="1193">
        <v>44575</v>
      </c>
      <c r="H95" s="1193">
        <v>44575</v>
      </c>
      <c r="I95" s="1194" t="s">
        <v>1454</v>
      </c>
      <c r="J95" s="1195" t="s">
        <v>1455</v>
      </c>
      <c r="K95" s="1176" t="s">
        <v>674</v>
      </c>
      <c r="L95" s="1178" t="s">
        <v>675</v>
      </c>
      <c r="M95" s="1196">
        <v>48300000</v>
      </c>
      <c r="N95" s="1197" t="s">
        <v>730</v>
      </c>
      <c r="O95" s="1197" t="s">
        <v>1456</v>
      </c>
    </row>
    <row r="96" spans="1:15" s="1159" customFormat="1" ht="60" x14ac:dyDescent="0.35">
      <c r="A96" s="1172">
        <v>2022090</v>
      </c>
      <c r="B96" s="1172">
        <v>7655</v>
      </c>
      <c r="C96" s="1172" t="s">
        <v>668</v>
      </c>
      <c r="D96" s="1190" t="s">
        <v>689</v>
      </c>
      <c r="E96" s="1191" t="s">
        <v>780</v>
      </c>
      <c r="F96" s="1198" t="s">
        <v>828</v>
      </c>
      <c r="G96" s="1193">
        <v>44575</v>
      </c>
      <c r="H96" s="1193">
        <v>44575</v>
      </c>
      <c r="I96" s="1194" t="s">
        <v>1457</v>
      </c>
      <c r="J96" s="1195" t="s">
        <v>1455</v>
      </c>
      <c r="K96" s="1176" t="s">
        <v>674</v>
      </c>
      <c r="L96" s="1178" t="s">
        <v>675</v>
      </c>
      <c r="M96" s="1196">
        <v>36000000</v>
      </c>
      <c r="N96" s="1197" t="s">
        <v>730</v>
      </c>
      <c r="O96" s="1197" t="s">
        <v>1456</v>
      </c>
    </row>
    <row r="97" spans="1:18" s="1159" customFormat="1" ht="60" x14ac:dyDescent="0.35">
      <c r="A97" s="1172">
        <v>2022091</v>
      </c>
      <c r="B97" s="1172">
        <v>7655</v>
      </c>
      <c r="C97" s="1172" t="s">
        <v>668</v>
      </c>
      <c r="D97" s="1190" t="s">
        <v>689</v>
      </c>
      <c r="E97" s="1172" t="s">
        <v>780</v>
      </c>
      <c r="F97" s="1192" t="s">
        <v>829</v>
      </c>
      <c r="G97" s="1193">
        <v>44575</v>
      </c>
      <c r="H97" s="1193">
        <v>44575</v>
      </c>
      <c r="I97" s="1194" t="s">
        <v>1454</v>
      </c>
      <c r="J97" s="1195" t="s">
        <v>1455</v>
      </c>
      <c r="K97" s="1176" t="s">
        <v>674</v>
      </c>
      <c r="L97" s="1178" t="s">
        <v>675</v>
      </c>
      <c r="M97" s="1196">
        <v>80500000</v>
      </c>
      <c r="N97" s="1197" t="s">
        <v>730</v>
      </c>
      <c r="O97" s="1197" t="s">
        <v>1456</v>
      </c>
    </row>
    <row r="98" spans="1:18" s="1159" customFormat="1" ht="60" x14ac:dyDescent="0.35">
      <c r="A98" s="1172">
        <v>2022092</v>
      </c>
      <c r="B98" s="1172">
        <v>7655</v>
      </c>
      <c r="C98" s="1172" t="s">
        <v>668</v>
      </c>
      <c r="D98" s="1190" t="s">
        <v>689</v>
      </c>
      <c r="E98" s="1191" t="s">
        <v>780</v>
      </c>
      <c r="F98" s="1198" t="s">
        <v>830</v>
      </c>
      <c r="G98" s="1193">
        <v>44575</v>
      </c>
      <c r="H98" s="1193">
        <v>44575</v>
      </c>
      <c r="I98" s="1194" t="s">
        <v>1454</v>
      </c>
      <c r="J98" s="1195" t="s">
        <v>1455</v>
      </c>
      <c r="K98" s="1176" t="s">
        <v>674</v>
      </c>
      <c r="L98" s="1178" t="s">
        <v>675</v>
      </c>
      <c r="M98" s="1196">
        <v>28175000</v>
      </c>
      <c r="N98" s="1197" t="s">
        <v>730</v>
      </c>
      <c r="O98" s="1197" t="s">
        <v>1456</v>
      </c>
      <c r="R98" s="1200"/>
    </row>
    <row r="99" spans="1:18" s="1159" customFormat="1" ht="60" x14ac:dyDescent="0.35">
      <c r="A99" s="1172">
        <v>2022093</v>
      </c>
      <c r="B99" s="1172">
        <v>7655</v>
      </c>
      <c r="C99" s="1172" t="s">
        <v>668</v>
      </c>
      <c r="D99" s="1190" t="s">
        <v>689</v>
      </c>
      <c r="E99" s="1191" t="s">
        <v>780</v>
      </c>
      <c r="F99" s="1198" t="s">
        <v>831</v>
      </c>
      <c r="G99" s="1193">
        <v>44575</v>
      </c>
      <c r="H99" s="1193">
        <v>44575</v>
      </c>
      <c r="I99" s="1194" t="s">
        <v>1454</v>
      </c>
      <c r="J99" s="1195" t="s">
        <v>1455</v>
      </c>
      <c r="K99" s="1176" t="s">
        <v>674</v>
      </c>
      <c r="L99" s="1178" t="s">
        <v>675</v>
      </c>
      <c r="M99" s="1196">
        <v>48300000</v>
      </c>
      <c r="N99" s="1197" t="s">
        <v>730</v>
      </c>
      <c r="O99" s="1197" t="s">
        <v>1456</v>
      </c>
    </row>
    <row r="100" spans="1:18" s="1159" customFormat="1" ht="60" x14ac:dyDescent="0.35">
      <c r="A100" s="1172">
        <v>2022094</v>
      </c>
      <c r="B100" s="1172">
        <v>7655</v>
      </c>
      <c r="C100" s="1172" t="s">
        <v>668</v>
      </c>
      <c r="D100" s="1190" t="s">
        <v>689</v>
      </c>
      <c r="E100" s="1172" t="s">
        <v>780</v>
      </c>
      <c r="F100" s="1192" t="s">
        <v>830</v>
      </c>
      <c r="G100" s="1193">
        <v>44575</v>
      </c>
      <c r="H100" s="1193">
        <v>44575</v>
      </c>
      <c r="I100" s="1194" t="s">
        <v>1454</v>
      </c>
      <c r="J100" s="1195" t="s">
        <v>1455</v>
      </c>
      <c r="K100" s="1176" t="s">
        <v>674</v>
      </c>
      <c r="L100" s="1178" t="s">
        <v>675</v>
      </c>
      <c r="M100" s="1196">
        <v>28175000</v>
      </c>
      <c r="N100" s="1197" t="s">
        <v>730</v>
      </c>
      <c r="O100" s="1197" t="s">
        <v>1456</v>
      </c>
    </row>
    <row r="101" spans="1:18" s="1159" customFormat="1" ht="60" x14ac:dyDescent="0.35">
      <c r="A101" s="1172">
        <v>2022095</v>
      </c>
      <c r="B101" s="1172">
        <v>7655</v>
      </c>
      <c r="C101" s="1172" t="s">
        <v>668</v>
      </c>
      <c r="D101" s="1190" t="s">
        <v>689</v>
      </c>
      <c r="E101" s="1172" t="s">
        <v>780</v>
      </c>
      <c r="F101" s="1192" t="s">
        <v>832</v>
      </c>
      <c r="G101" s="1193">
        <v>44575</v>
      </c>
      <c r="H101" s="1193">
        <v>44575</v>
      </c>
      <c r="I101" s="1194" t="s">
        <v>1454</v>
      </c>
      <c r="J101" s="1195" t="s">
        <v>1455</v>
      </c>
      <c r="K101" s="1176" t="s">
        <v>674</v>
      </c>
      <c r="L101" s="1178" t="s">
        <v>675</v>
      </c>
      <c r="M101" s="1196">
        <v>31625000</v>
      </c>
      <c r="N101" s="1197" t="s">
        <v>730</v>
      </c>
      <c r="O101" s="1197" t="s">
        <v>1456</v>
      </c>
    </row>
    <row r="102" spans="1:18" s="1159" customFormat="1" ht="60" x14ac:dyDescent="0.35">
      <c r="A102" s="1172">
        <v>2022096</v>
      </c>
      <c r="B102" s="1172">
        <v>7655</v>
      </c>
      <c r="C102" s="1172" t="s">
        <v>668</v>
      </c>
      <c r="D102" s="1190" t="s">
        <v>689</v>
      </c>
      <c r="E102" s="1172" t="s">
        <v>780</v>
      </c>
      <c r="F102" s="1192" t="s">
        <v>833</v>
      </c>
      <c r="G102" s="1193">
        <v>44575</v>
      </c>
      <c r="H102" s="1193">
        <v>44575</v>
      </c>
      <c r="I102" s="1194" t="s">
        <v>1454</v>
      </c>
      <c r="J102" s="1195" t="s">
        <v>1455</v>
      </c>
      <c r="K102" s="1176" t="s">
        <v>674</v>
      </c>
      <c r="L102" s="1178" t="s">
        <v>675</v>
      </c>
      <c r="M102" s="1196">
        <v>69000000</v>
      </c>
      <c r="N102" s="1197" t="s">
        <v>730</v>
      </c>
      <c r="O102" s="1197" t="s">
        <v>1456</v>
      </c>
    </row>
    <row r="103" spans="1:18" s="1159" customFormat="1" ht="60" x14ac:dyDescent="0.35">
      <c r="A103" s="1172">
        <v>2022097</v>
      </c>
      <c r="B103" s="1172">
        <v>7655</v>
      </c>
      <c r="C103" s="1172" t="s">
        <v>668</v>
      </c>
      <c r="D103" s="1190" t="s">
        <v>689</v>
      </c>
      <c r="E103" s="1172" t="s">
        <v>780</v>
      </c>
      <c r="F103" s="1192" t="s">
        <v>830</v>
      </c>
      <c r="G103" s="1193">
        <v>44575</v>
      </c>
      <c r="H103" s="1193">
        <v>44575</v>
      </c>
      <c r="I103" s="1194" t="s">
        <v>1454</v>
      </c>
      <c r="J103" s="1195" t="s">
        <v>1455</v>
      </c>
      <c r="K103" s="1176" t="s">
        <v>674</v>
      </c>
      <c r="L103" s="1178" t="s">
        <v>675</v>
      </c>
      <c r="M103" s="1196">
        <v>24150000</v>
      </c>
      <c r="N103" s="1197" t="s">
        <v>730</v>
      </c>
      <c r="O103" s="1197" t="s">
        <v>1456</v>
      </c>
    </row>
    <row r="104" spans="1:18" s="1159" customFormat="1" ht="60" x14ac:dyDescent="0.35">
      <c r="A104" s="1172">
        <v>2022098</v>
      </c>
      <c r="B104" s="1172">
        <v>7655</v>
      </c>
      <c r="C104" s="1172" t="s">
        <v>668</v>
      </c>
      <c r="D104" s="1190" t="s">
        <v>689</v>
      </c>
      <c r="E104" s="1172" t="s">
        <v>780</v>
      </c>
      <c r="F104" s="1192" t="s">
        <v>830</v>
      </c>
      <c r="G104" s="1193">
        <v>44575</v>
      </c>
      <c r="H104" s="1193">
        <v>44575</v>
      </c>
      <c r="I104" s="1194" t="s">
        <v>1454</v>
      </c>
      <c r="J104" s="1195" t="s">
        <v>1455</v>
      </c>
      <c r="K104" s="1176" t="s">
        <v>674</v>
      </c>
      <c r="L104" s="1178" t="s">
        <v>675</v>
      </c>
      <c r="M104" s="1196">
        <v>28175000</v>
      </c>
      <c r="N104" s="1197" t="s">
        <v>730</v>
      </c>
      <c r="O104" s="1197" t="s">
        <v>1456</v>
      </c>
    </row>
    <row r="105" spans="1:18" s="1159" customFormat="1" ht="60" x14ac:dyDescent="0.35">
      <c r="A105" s="1172">
        <v>2022099</v>
      </c>
      <c r="B105" s="1172">
        <v>7655</v>
      </c>
      <c r="C105" s="1172" t="s">
        <v>668</v>
      </c>
      <c r="D105" s="1190" t="s">
        <v>689</v>
      </c>
      <c r="E105" s="1172" t="s">
        <v>780</v>
      </c>
      <c r="F105" s="1192" t="s">
        <v>830</v>
      </c>
      <c r="G105" s="1193">
        <v>44575</v>
      </c>
      <c r="H105" s="1193">
        <v>44575</v>
      </c>
      <c r="I105" s="1194" t="s">
        <v>1454</v>
      </c>
      <c r="J105" s="1195" t="s">
        <v>1455</v>
      </c>
      <c r="K105" s="1176" t="s">
        <v>674</v>
      </c>
      <c r="L105" s="1178" t="s">
        <v>675</v>
      </c>
      <c r="M105" s="1196">
        <v>28175000</v>
      </c>
      <c r="N105" s="1197" t="s">
        <v>730</v>
      </c>
      <c r="O105" s="1197" t="s">
        <v>1456</v>
      </c>
    </row>
    <row r="106" spans="1:18" s="1159" customFormat="1" ht="75" x14ac:dyDescent="0.35">
      <c r="A106" s="1172">
        <v>2022100</v>
      </c>
      <c r="B106" s="1172">
        <v>7655</v>
      </c>
      <c r="C106" s="1172" t="s">
        <v>668</v>
      </c>
      <c r="D106" s="1190" t="s">
        <v>689</v>
      </c>
      <c r="E106" s="1191" t="s">
        <v>780</v>
      </c>
      <c r="F106" s="1192" t="s">
        <v>834</v>
      </c>
      <c r="G106" s="1193">
        <v>44575</v>
      </c>
      <c r="H106" s="1193">
        <v>44575</v>
      </c>
      <c r="I106" s="1194" t="s">
        <v>1454</v>
      </c>
      <c r="J106" s="1195" t="s">
        <v>1455</v>
      </c>
      <c r="K106" s="1176" t="s">
        <v>674</v>
      </c>
      <c r="L106" s="1178" t="s">
        <v>782</v>
      </c>
      <c r="M106" s="1196">
        <v>63250000</v>
      </c>
      <c r="N106" s="1197" t="s">
        <v>730</v>
      </c>
      <c r="O106" s="1197" t="s">
        <v>1456</v>
      </c>
    </row>
    <row r="107" spans="1:18" s="1159" customFormat="1" ht="75" x14ac:dyDescent="0.35">
      <c r="A107" s="1172">
        <v>2022101</v>
      </c>
      <c r="B107" s="1172">
        <v>7655</v>
      </c>
      <c r="C107" s="1172" t="s">
        <v>668</v>
      </c>
      <c r="D107" s="1190" t="s">
        <v>689</v>
      </c>
      <c r="E107" s="1191" t="s">
        <v>780</v>
      </c>
      <c r="F107" s="1192" t="s">
        <v>835</v>
      </c>
      <c r="G107" s="1193">
        <v>44575</v>
      </c>
      <c r="H107" s="1193">
        <v>44575</v>
      </c>
      <c r="I107" s="1194" t="s">
        <v>1454</v>
      </c>
      <c r="J107" s="1195" t="s">
        <v>1455</v>
      </c>
      <c r="K107" s="1176" t="s">
        <v>674</v>
      </c>
      <c r="L107" s="1178" t="s">
        <v>782</v>
      </c>
      <c r="M107" s="1196">
        <v>63250000</v>
      </c>
      <c r="N107" s="1197" t="s">
        <v>730</v>
      </c>
      <c r="O107" s="1197" t="s">
        <v>1456</v>
      </c>
    </row>
    <row r="108" spans="1:18" s="1159" customFormat="1" ht="60" x14ac:dyDescent="0.35">
      <c r="A108" s="1172">
        <v>2022102</v>
      </c>
      <c r="B108" s="1172">
        <v>7655</v>
      </c>
      <c r="C108" s="1172" t="s">
        <v>668</v>
      </c>
      <c r="D108" s="1190" t="s">
        <v>689</v>
      </c>
      <c r="E108" s="1191" t="s">
        <v>97</v>
      </c>
      <c r="F108" s="1201" t="s">
        <v>836</v>
      </c>
      <c r="G108" s="1193" t="s">
        <v>97</v>
      </c>
      <c r="H108" s="1193" t="s">
        <v>97</v>
      </c>
      <c r="I108" s="1193" t="s">
        <v>97</v>
      </c>
      <c r="J108" s="1195" t="s">
        <v>1455</v>
      </c>
      <c r="K108" s="1176" t="s">
        <v>674</v>
      </c>
      <c r="L108" s="1178" t="s">
        <v>675</v>
      </c>
      <c r="M108" s="1196">
        <v>138627500</v>
      </c>
      <c r="N108" s="1197" t="s">
        <v>730</v>
      </c>
      <c r="O108" s="1197" t="s">
        <v>1456</v>
      </c>
    </row>
    <row r="109" spans="1:18" s="1159" customFormat="1" ht="60" x14ac:dyDescent="0.35">
      <c r="A109" s="1172">
        <v>2022103</v>
      </c>
      <c r="B109" s="1172">
        <v>7655</v>
      </c>
      <c r="C109" s="1172" t="s">
        <v>668</v>
      </c>
      <c r="D109" s="1190" t="s">
        <v>689</v>
      </c>
      <c r="E109" s="1172" t="s">
        <v>780</v>
      </c>
      <c r="F109" s="1198" t="s">
        <v>837</v>
      </c>
      <c r="G109" s="1193">
        <v>44575</v>
      </c>
      <c r="H109" s="1193">
        <v>44575</v>
      </c>
      <c r="I109" s="1194" t="s">
        <v>1458</v>
      </c>
      <c r="J109" s="1195" t="s">
        <v>1455</v>
      </c>
      <c r="K109" s="1176" t="s">
        <v>674</v>
      </c>
      <c r="L109" s="1178" t="s">
        <v>675</v>
      </c>
      <c r="M109" s="1179">
        <v>31500000</v>
      </c>
      <c r="N109" s="1197" t="s">
        <v>730</v>
      </c>
      <c r="O109" s="1197" t="s">
        <v>1456</v>
      </c>
    </row>
    <row r="110" spans="1:18" s="1159" customFormat="1" ht="60" x14ac:dyDescent="0.35">
      <c r="A110" s="1172">
        <v>2022104</v>
      </c>
      <c r="B110" s="1172">
        <v>7655</v>
      </c>
      <c r="C110" s="1172" t="s">
        <v>668</v>
      </c>
      <c r="D110" s="1190" t="s">
        <v>689</v>
      </c>
      <c r="E110" s="1172" t="s">
        <v>780</v>
      </c>
      <c r="F110" s="1198" t="s">
        <v>838</v>
      </c>
      <c r="G110" s="1193">
        <v>44575</v>
      </c>
      <c r="H110" s="1193">
        <v>44575</v>
      </c>
      <c r="I110" s="1194" t="s">
        <v>1454</v>
      </c>
      <c r="J110" s="1195" t="s">
        <v>1455</v>
      </c>
      <c r="K110" s="1176" t="s">
        <v>674</v>
      </c>
      <c r="L110" s="1178" t="s">
        <v>675</v>
      </c>
      <c r="M110" s="1179">
        <v>38525000</v>
      </c>
      <c r="N110" s="1197" t="s">
        <v>730</v>
      </c>
      <c r="O110" s="1197" t="s">
        <v>1456</v>
      </c>
    </row>
    <row r="111" spans="1:18" s="1159" customFormat="1" ht="60" x14ac:dyDescent="0.35">
      <c r="A111" s="1172">
        <v>2022105</v>
      </c>
      <c r="B111" s="1172">
        <v>7655</v>
      </c>
      <c r="C111" s="1172" t="s">
        <v>668</v>
      </c>
      <c r="D111" s="1190" t="s">
        <v>689</v>
      </c>
      <c r="E111" s="1172" t="s">
        <v>780</v>
      </c>
      <c r="F111" s="1198" t="s">
        <v>838</v>
      </c>
      <c r="G111" s="1193">
        <v>44575</v>
      </c>
      <c r="H111" s="1193">
        <v>44575</v>
      </c>
      <c r="I111" s="1194" t="s">
        <v>1454</v>
      </c>
      <c r="J111" s="1195" t="s">
        <v>1455</v>
      </c>
      <c r="K111" s="1176" t="s">
        <v>674</v>
      </c>
      <c r="L111" s="1178" t="s">
        <v>675</v>
      </c>
      <c r="M111" s="1179">
        <v>28175000</v>
      </c>
      <c r="N111" s="1197" t="s">
        <v>730</v>
      </c>
      <c r="O111" s="1197" t="s">
        <v>1456</v>
      </c>
    </row>
    <row r="112" spans="1:18" s="1159" customFormat="1" ht="60" x14ac:dyDescent="0.35">
      <c r="A112" s="1172">
        <v>2022106</v>
      </c>
      <c r="B112" s="1172">
        <v>7655</v>
      </c>
      <c r="C112" s="1172" t="s">
        <v>668</v>
      </c>
      <c r="D112" s="1190" t="s">
        <v>689</v>
      </c>
      <c r="E112" s="1172" t="s">
        <v>780</v>
      </c>
      <c r="F112" s="1198" t="s">
        <v>839</v>
      </c>
      <c r="G112" s="1193">
        <v>44575</v>
      </c>
      <c r="H112" s="1193">
        <v>44575</v>
      </c>
      <c r="I112" s="1194" t="s">
        <v>1454</v>
      </c>
      <c r="J112" s="1195" t="s">
        <v>1455</v>
      </c>
      <c r="K112" s="1176" t="s">
        <v>674</v>
      </c>
      <c r="L112" s="1178" t="s">
        <v>675</v>
      </c>
      <c r="M112" s="1179">
        <v>44275000</v>
      </c>
      <c r="N112" s="1197" t="s">
        <v>730</v>
      </c>
      <c r="O112" s="1197" t="s">
        <v>1456</v>
      </c>
    </row>
    <row r="113" spans="1:15" s="1159" customFormat="1" ht="60" x14ac:dyDescent="0.35">
      <c r="A113" s="1172">
        <v>2022107</v>
      </c>
      <c r="B113" s="1172">
        <v>7655</v>
      </c>
      <c r="C113" s="1172" t="s">
        <v>668</v>
      </c>
      <c r="D113" s="1190" t="s">
        <v>689</v>
      </c>
      <c r="E113" s="1172" t="s">
        <v>780</v>
      </c>
      <c r="F113" s="1192" t="s">
        <v>840</v>
      </c>
      <c r="G113" s="1193">
        <v>44575</v>
      </c>
      <c r="H113" s="1193">
        <v>44575</v>
      </c>
      <c r="I113" s="1194" t="s">
        <v>1458</v>
      </c>
      <c r="J113" s="1195" t="s">
        <v>1455</v>
      </c>
      <c r="K113" s="1176" t="s">
        <v>674</v>
      </c>
      <c r="L113" s="1178" t="s">
        <v>675</v>
      </c>
      <c r="M113" s="1179">
        <v>31500000</v>
      </c>
      <c r="N113" s="1197" t="s">
        <v>730</v>
      </c>
      <c r="O113" s="1197" t="s">
        <v>1456</v>
      </c>
    </row>
    <row r="114" spans="1:15" s="1159" customFormat="1" ht="60" x14ac:dyDescent="0.35">
      <c r="A114" s="1172">
        <v>2022108</v>
      </c>
      <c r="B114" s="1172">
        <v>7655</v>
      </c>
      <c r="C114" s="1172" t="s">
        <v>668</v>
      </c>
      <c r="D114" s="1190" t="s">
        <v>689</v>
      </c>
      <c r="E114" s="1191" t="s">
        <v>780</v>
      </c>
      <c r="F114" s="1198" t="s">
        <v>841</v>
      </c>
      <c r="G114" s="1193">
        <v>44575</v>
      </c>
      <c r="H114" s="1193">
        <v>44575</v>
      </c>
      <c r="I114" s="1194" t="s">
        <v>1460</v>
      </c>
      <c r="J114" s="1195" t="s">
        <v>1455</v>
      </c>
      <c r="K114" s="1176" t="s">
        <v>674</v>
      </c>
      <c r="L114" s="1178" t="s">
        <v>675</v>
      </c>
      <c r="M114" s="1196">
        <v>29400000</v>
      </c>
      <c r="N114" s="1197" t="s">
        <v>730</v>
      </c>
      <c r="O114" s="1197" t="s">
        <v>1456</v>
      </c>
    </row>
    <row r="115" spans="1:15" s="1159" customFormat="1" ht="60" x14ac:dyDescent="0.35">
      <c r="A115" s="1172">
        <v>2022109</v>
      </c>
      <c r="B115" s="1172">
        <v>7655</v>
      </c>
      <c r="C115" s="1172" t="s">
        <v>668</v>
      </c>
      <c r="D115" s="1190" t="s">
        <v>689</v>
      </c>
      <c r="E115" s="1191" t="s">
        <v>780</v>
      </c>
      <c r="F115" s="1198" t="s">
        <v>842</v>
      </c>
      <c r="G115" s="1193">
        <v>44575</v>
      </c>
      <c r="H115" s="1193">
        <v>44575</v>
      </c>
      <c r="I115" s="1194" t="s">
        <v>1460</v>
      </c>
      <c r="J115" s="1195" t="s">
        <v>1455</v>
      </c>
      <c r="K115" s="1176" t="s">
        <v>674</v>
      </c>
      <c r="L115" s="1178" t="s">
        <v>675</v>
      </c>
      <c r="M115" s="1196">
        <v>84000000</v>
      </c>
      <c r="N115" s="1197" t="s">
        <v>730</v>
      </c>
      <c r="O115" s="1197" t="s">
        <v>1456</v>
      </c>
    </row>
    <row r="116" spans="1:15" s="1159" customFormat="1" ht="60" x14ac:dyDescent="0.35">
      <c r="A116" s="1172">
        <v>2022110</v>
      </c>
      <c r="B116" s="1172">
        <v>7655</v>
      </c>
      <c r="C116" s="1172" t="s">
        <v>668</v>
      </c>
      <c r="D116" s="1190" t="s">
        <v>689</v>
      </c>
      <c r="E116" s="1191" t="s">
        <v>780</v>
      </c>
      <c r="F116" s="1198" t="s">
        <v>843</v>
      </c>
      <c r="G116" s="1193">
        <v>44575</v>
      </c>
      <c r="H116" s="1193">
        <v>44575</v>
      </c>
      <c r="I116" s="1194" t="s">
        <v>1460</v>
      </c>
      <c r="J116" s="1195" t="s">
        <v>1455</v>
      </c>
      <c r="K116" s="1176" t="s">
        <v>674</v>
      </c>
      <c r="L116" s="1178" t="s">
        <v>675</v>
      </c>
      <c r="M116" s="1196">
        <v>40200000</v>
      </c>
      <c r="N116" s="1197" t="s">
        <v>730</v>
      </c>
      <c r="O116" s="1197" t="s">
        <v>1456</v>
      </c>
    </row>
    <row r="117" spans="1:15" s="1159" customFormat="1" ht="60" x14ac:dyDescent="0.35">
      <c r="A117" s="1172">
        <v>2022111</v>
      </c>
      <c r="B117" s="1172">
        <v>7655</v>
      </c>
      <c r="C117" s="1172" t="s">
        <v>668</v>
      </c>
      <c r="D117" s="1190" t="s">
        <v>689</v>
      </c>
      <c r="E117" s="1191" t="s">
        <v>780</v>
      </c>
      <c r="F117" s="1198" t="s">
        <v>841</v>
      </c>
      <c r="G117" s="1193">
        <v>44575</v>
      </c>
      <c r="H117" s="1193">
        <v>44575</v>
      </c>
      <c r="I117" s="1194" t="s">
        <v>1460</v>
      </c>
      <c r="J117" s="1195" t="s">
        <v>1455</v>
      </c>
      <c r="K117" s="1176" t="s">
        <v>674</v>
      </c>
      <c r="L117" s="1178" t="s">
        <v>675</v>
      </c>
      <c r="M117" s="1196">
        <v>29400000</v>
      </c>
      <c r="N117" s="1197" t="s">
        <v>730</v>
      </c>
      <c r="O117" s="1197" t="s">
        <v>1456</v>
      </c>
    </row>
    <row r="118" spans="1:15" s="1159" customFormat="1" ht="60" x14ac:dyDescent="0.35">
      <c r="A118" s="1172">
        <v>2022112</v>
      </c>
      <c r="B118" s="1172">
        <v>7655</v>
      </c>
      <c r="C118" s="1172" t="s">
        <v>668</v>
      </c>
      <c r="D118" s="1190" t="s">
        <v>689</v>
      </c>
      <c r="E118" s="1191" t="s">
        <v>780</v>
      </c>
      <c r="F118" s="1198" t="s">
        <v>844</v>
      </c>
      <c r="G118" s="1193">
        <v>44575</v>
      </c>
      <c r="H118" s="1193">
        <v>44575</v>
      </c>
      <c r="I118" s="1194" t="s">
        <v>1460</v>
      </c>
      <c r="J118" s="1195" t="s">
        <v>1455</v>
      </c>
      <c r="K118" s="1176" t="s">
        <v>674</v>
      </c>
      <c r="L118" s="1178" t="s">
        <v>675</v>
      </c>
      <c r="M118" s="1196">
        <v>29400000</v>
      </c>
      <c r="N118" s="1197" t="s">
        <v>730</v>
      </c>
      <c r="O118" s="1197" t="s">
        <v>1456</v>
      </c>
    </row>
    <row r="119" spans="1:15" s="1159" customFormat="1" ht="60" x14ac:dyDescent="0.35">
      <c r="A119" s="1172">
        <v>2022113</v>
      </c>
      <c r="B119" s="1172">
        <v>7655</v>
      </c>
      <c r="C119" s="1172" t="s">
        <v>668</v>
      </c>
      <c r="D119" s="1190" t="s">
        <v>689</v>
      </c>
      <c r="E119" s="1191" t="s">
        <v>780</v>
      </c>
      <c r="F119" s="1198" t="s">
        <v>844</v>
      </c>
      <c r="G119" s="1193">
        <v>44575</v>
      </c>
      <c r="H119" s="1193">
        <v>44575</v>
      </c>
      <c r="I119" s="1194" t="s">
        <v>1460</v>
      </c>
      <c r="J119" s="1195" t="s">
        <v>1455</v>
      </c>
      <c r="K119" s="1176" t="s">
        <v>674</v>
      </c>
      <c r="L119" s="1178" t="s">
        <v>675</v>
      </c>
      <c r="M119" s="1196">
        <v>29400000</v>
      </c>
      <c r="N119" s="1197" t="s">
        <v>730</v>
      </c>
      <c r="O119" s="1197" t="s">
        <v>1456</v>
      </c>
    </row>
    <row r="120" spans="1:15" s="1159" customFormat="1" ht="60" x14ac:dyDescent="0.35">
      <c r="A120" s="1172">
        <v>2022114</v>
      </c>
      <c r="B120" s="1172">
        <v>7655</v>
      </c>
      <c r="C120" s="1172" t="s">
        <v>668</v>
      </c>
      <c r="D120" s="1190" t="s">
        <v>689</v>
      </c>
      <c r="E120" s="1191" t="s">
        <v>780</v>
      </c>
      <c r="F120" s="1198" t="s">
        <v>845</v>
      </c>
      <c r="G120" s="1193">
        <v>44575</v>
      </c>
      <c r="H120" s="1193">
        <v>44575</v>
      </c>
      <c r="I120" s="1194" t="s">
        <v>1460</v>
      </c>
      <c r="J120" s="1195" t="s">
        <v>1455</v>
      </c>
      <c r="K120" s="1176" t="s">
        <v>674</v>
      </c>
      <c r="L120" s="1178" t="s">
        <v>675</v>
      </c>
      <c r="M120" s="1196">
        <v>29400000</v>
      </c>
      <c r="N120" s="1197" t="s">
        <v>730</v>
      </c>
      <c r="O120" s="1197" t="s">
        <v>1456</v>
      </c>
    </row>
    <row r="121" spans="1:15" s="1159" customFormat="1" ht="60" x14ac:dyDescent="0.35">
      <c r="A121" s="1172">
        <v>2022115</v>
      </c>
      <c r="B121" s="1172">
        <v>7655</v>
      </c>
      <c r="C121" s="1172" t="s">
        <v>668</v>
      </c>
      <c r="D121" s="1190" t="s">
        <v>689</v>
      </c>
      <c r="E121" s="1191" t="s">
        <v>780</v>
      </c>
      <c r="F121" s="1198" t="s">
        <v>844</v>
      </c>
      <c r="G121" s="1193">
        <v>44575</v>
      </c>
      <c r="H121" s="1193">
        <v>44575</v>
      </c>
      <c r="I121" s="1194" t="s">
        <v>1460</v>
      </c>
      <c r="J121" s="1195" t="s">
        <v>1455</v>
      </c>
      <c r="K121" s="1176" t="s">
        <v>674</v>
      </c>
      <c r="L121" s="1178" t="s">
        <v>675</v>
      </c>
      <c r="M121" s="1196">
        <v>29400000</v>
      </c>
      <c r="N121" s="1197" t="s">
        <v>730</v>
      </c>
      <c r="O121" s="1197" t="s">
        <v>1456</v>
      </c>
    </row>
    <row r="122" spans="1:15" s="1159" customFormat="1" ht="60" x14ac:dyDescent="0.35">
      <c r="A122" s="1172">
        <v>2022116</v>
      </c>
      <c r="B122" s="1172">
        <v>7655</v>
      </c>
      <c r="C122" s="1172" t="s">
        <v>668</v>
      </c>
      <c r="D122" s="1190" t="s">
        <v>689</v>
      </c>
      <c r="E122" s="1191" t="s">
        <v>780</v>
      </c>
      <c r="F122" s="1198" t="s">
        <v>844</v>
      </c>
      <c r="G122" s="1193">
        <v>44575</v>
      </c>
      <c r="H122" s="1193">
        <v>44575</v>
      </c>
      <c r="I122" s="1194" t="s">
        <v>1460</v>
      </c>
      <c r="J122" s="1195" t="s">
        <v>1455</v>
      </c>
      <c r="K122" s="1176" t="s">
        <v>674</v>
      </c>
      <c r="L122" s="1178" t="s">
        <v>675</v>
      </c>
      <c r="M122" s="1196">
        <v>29400000</v>
      </c>
      <c r="N122" s="1197" t="s">
        <v>730</v>
      </c>
      <c r="O122" s="1197" t="s">
        <v>1456</v>
      </c>
    </row>
    <row r="123" spans="1:15" s="1159" customFormat="1" ht="60" x14ac:dyDescent="0.35">
      <c r="A123" s="1172">
        <v>2022117</v>
      </c>
      <c r="B123" s="1172">
        <v>7655</v>
      </c>
      <c r="C123" s="1172" t="s">
        <v>668</v>
      </c>
      <c r="D123" s="1190" t="s">
        <v>689</v>
      </c>
      <c r="E123" s="1191" t="s">
        <v>780</v>
      </c>
      <c r="F123" s="1198" t="s">
        <v>844</v>
      </c>
      <c r="G123" s="1193">
        <v>44575</v>
      </c>
      <c r="H123" s="1193">
        <v>44575</v>
      </c>
      <c r="I123" s="1194" t="s">
        <v>1460</v>
      </c>
      <c r="J123" s="1195" t="s">
        <v>1455</v>
      </c>
      <c r="K123" s="1176" t="s">
        <v>674</v>
      </c>
      <c r="L123" s="1178" t="s">
        <v>675</v>
      </c>
      <c r="M123" s="1196">
        <v>29400000</v>
      </c>
      <c r="N123" s="1197" t="s">
        <v>730</v>
      </c>
      <c r="O123" s="1197" t="s">
        <v>1456</v>
      </c>
    </row>
    <row r="124" spans="1:15" s="1159" customFormat="1" ht="60" x14ac:dyDescent="0.35">
      <c r="A124" s="1172">
        <v>2022118</v>
      </c>
      <c r="B124" s="1172">
        <v>7655</v>
      </c>
      <c r="C124" s="1172" t="s">
        <v>668</v>
      </c>
      <c r="D124" s="1190" t="s">
        <v>689</v>
      </c>
      <c r="E124" s="1191" t="s">
        <v>780</v>
      </c>
      <c r="F124" s="1198" t="s">
        <v>844</v>
      </c>
      <c r="G124" s="1193">
        <v>44575</v>
      </c>
      <c r="H124" s="1193">
        <v>44575</v>
      </c>
      <c r="I124" s="1194" t="s">
        <v>1460</v>
      </c>
      <c r="J124" s="1195" t="s">
        <v>1455</v>
      </c>
      <c r="K124" s="1176" t="s">
        <v>674</v>
      </c>
      <c r="L124" s="1178" t="s">
        <v>675</v>
      </c>
      <c r="M124" s="1196">
        <v>29400000</v>
      </c>
      <c r="N124" s="1197" t="s">
        <v>730</v>
      </c>
      <c r="O124" s="1197" t="s">
        <v>1456</v>
      </c>
    </row>
    <row r="125" spans="1:15" s="1159" customFormat="1" ht="60" x14ac:dyDescent="0.35">
      <c r="A125" s="1172">
        <v>2022119</v>
      </c>
      <c r="B125" s="1172">
        <v>7655</v>
      </c>
      <c r="C125" s="1172" t="s">
        <v>668</v>
      </c>
      <c r="D125" s="1190" t="s">
        <v>689</v>
      </c>
      <c r="E125" s="1191" t="s">
        <v>780</v>
      </c>
      <c r="F125" s="1198" t="s">
        <v>844</v>
      </c>
      <c r="G125" s="1193">
        <v>44575</v>
      </c>
      <c r="H125" s="1193">
        <v>44575</v>
      </c>
      <c r="I125" s="1194" t="s">
        <v>1460</v>
      </c>
      <c r="J125" s="1195" t="s">
        <v>1455</v>
      </c>
      <c r="K125" s="1176" t="s">
        <v>674</v>
      </c>
      <c r="L125" s="1178" t="s">
        <v>675</v>
      </c>
      <c r="M125" s="1196">
        <v>29400000</v>
      </c>
      <c r="N125" s="1197" t="s">
        <v>730</v>
      </c>
      <c r="O125" s="1197" t="s">
        <v>1456</v>
      </c>
    </row>
    <row r="126" spans="1:15" s="1159" customFormat="1" ht="60" x14ac:dyDescent="0.35">
      <c r="A126" s="1172">
        <v>2022120</v>
      </c>
      <c r="B126" s="1172">
        <v>7655</v>
      </c>
      <c r="C126" s="1172" t="s">
        <v>668</v>
      </c>
      <c r="D126" s="1190" t="s">
        <v>689</v>
      </c>
      <c r="E126" s="1191" t="s">
        <v>780</v>
      </c>
      <c r="F126" s="1198" t="s">
        <v>841</v>
      </c>
      <c r="G126" s="1193">
        <v>44575</v>
      </c>
      <c r="H126" s="1193">
        <v>44575</v>
      </c>
      <c r="I126" s="1194" t="s">
        <v>1460</v>
      </c>
      <c r="J126" s="1195" t="s">
        <v>1455</v>
      </c>
      <c r="K126" s="1176" t="s">
        <v>674</v>
      </c>
      <c r="L126" s="1178" t="s">
        <v>675</v>
      </c>
      <c r="M126" s="1196">
        <v>29400000</v>
      </c>
      <c r="N126" s="1197" t="s">
        <v>730</v>
      </c>
      <c r="O126" s="1197" t="s">
        <v>1456</v>
      </c>
    </row>
    <row r="127" spans="1:15" s="1159" customFormat="1" ht="60" x14ac:dyDescent="0.35">
      <c r="A127" s="1172">
        <v>2022121</v>
      </c>
      <c r="B127" s="1172">
        <v>7655</v>
      </c>
      <c r="C127" s="1172" t="s">
        <v>668</v>
      </c>
      <c r="D127" s="1190" t="s">
        <v>689</v>
      </c>
      <c r="E127" s="1191" t="s">
        <v>780</v>
      </c>
      <c r="F127" s="1198" t="s">
        <v>841</v>
      </c>
      <c r="G127" s="1193">
        <v>44575</v>
      </c>
      <c r="H127" s="1193">
        <v>44575</v>
      </c>
      <c r="I127" s="1194" t="s">
        <v>1460</v>
      </c>
      <c r="J127" s="1195" t="s">
        <v>1455</v>
      </c>
      <c r="K127" s="1176" t="s">
        <v>674</v>
      </c>
      <c r="L127" s="1178" t="s">
        <v>675</v>
      </c>
      <c r="M127" s="1196">
        <v>29400000</v>
      </c>
      <c r="N127" s="1197" t="s">
        <v>730</v>
      </c>
      <c r="O127" s="1197" t="s">
        <v>1456</v>
      </c>
    </row>
    <row r="128" spans="1:15" s="1159" customFormat="1" ht="60" x14ac:dyDescent="0.35">
      <c r="A128" s="1172">
        <v>2022122</v>
      </c>
      <c r="B128" s="1172">
        <v>7655</v>
      </c>
      <c r="C128" s="1172" t="s">
        <v>668</v>
      </c>
      <c r="D128" s="1190" t="s">
        <v>689</v>
      </c>
      <c r="E128" s="1191" t="s">
        <v>780</v>
      </c>
      <c r="F128" s="1198" t="s">
        <v>841</v>
      </c>
      <c r="G128" s="1193">
        <v>44575</v>
      </c>
      <c r="H128" s="1193">
        <v>44575</v>
      </c>
      <c r="I128" s="1194" t="s">
        <v>1460</v>
      </c>
      <c r="J128" s="1195" t="s">
        <v>1455</v>
      </c>
      <c r="K128" s="1176" t="s">
        <v>674</v>
      </c>
      <c r="L128" s="1178" t="s">
        <v>675</v>
      </c>
      <c r="M128" s="1196">
        <v>29400000</v>
      </c>
      <c r="N128" s="1197" t="s">
        <v>730</v>
      </c>
      <c r="O128" s="1197" t="s">
        <v>1456</v>
      </c>
    </row>
    <row r="129" spans="1:15" s="1159" customFormat="1" ht="60" x14ac:dyDescent="0.35">
      <c r="A129" s="1172">
        <v>2022123</v>
      </c>
      <c r="B129" s="1172">
        <v>7655</v>
      </c>
      <c r="C129" s="1172" t="s">
        <v>668</v>
      </c>
      <c r="D129" s="1190" t="s">
        <v>689</v>
      </c>
      <c r="E129" s="1191" t="s">
        <v>780</v>
      </c>
      <c r="F129" s="1198" t="s">
        <v>841</v>
      </c>
      <c r="G129" s="1193">
        <v>44575</v>
      </c>
      <c r="H129" s="1193">
        <v>44575</v>
      </c>
      <c r="I129" s="1194" t="s">
        <v>1460</v>
      </c>
      <c r="J129" s="1195" t="s">
        <v>1455</v>
      </c>
      <c r="K129" s="1176" t="s">
        <v>674</v>
      </c>
      <c r="L129" s="1178" t="s">
        <v>675</v>
      </c>
      <c r="M129" s="1196">
        <v>29400000</v>
      </c>
      <c r="N129" s="1197" t="s">
        <v>730</v>
      </c>
      <c r="O129" s="1197" t="s">
        <v>1456</v>
      </c>
    </row>
    <row r="130" spans="1:15" s="1159" customFormat="1" ht="60" x14ac:dyDescent="0.35">
      <c r="A130" s="1172">
        <v>2022124</v>
      </c>
      <c r="B130" s="1172">
        <v>7655</v>
      </c>
      <c r="C130" s="1172" t="s">
        <v>668</v>
      </c>
      <c r="D130" s="1190" t="s">
        <v>689</v>
      </c>
      <c r="E130" s="1191" t="s">
        <v>780</v>
      </c>
      <c r="F130" s="1192" t="s">
        <v>844</v>
      </c>
      <c r="G130" s="1193">
        <v>44575</v>
      </c>
      <c r="H130" s="1193">
        <v>44575</v>
      </c>
      <c r="I130" s="1194" t="s">
        <v>1460</v>
      </c>
      <c r="J130" s="1195" t="s">
        <v>1455</v>
      </c>
      <c r="K130" s="1176" t="s">
        <v>674</v>
      </c>
      <c r="L130" s="1178" t="s">
        <v>675</v>
      </c>
      <c r="M130" s="1196">
        <v>29400000</v>
      </c>
      <c r="N130" s="1197" t="s">
        <v>730</v>
      </c>
      <c r="O130" s="1197" t="s">
        <v>1456</v>
      </c>
    </row>
    <row r="131" spans="1:15" s="1159" customFormat="1" ht="60" x14ac:dyDescent="0.35">
      <c r="A131" s="1172">
        <v>2022125</v>
      </c>
      <c r="B131" s="1172">
        <v>7655</v>
      </c>
      <c r="C131" s="1172" t="s">
        <v>668</v>
      </c>
      <c r="D131" s="1190" t="s">
        <v>689</v>
      </c>
      <c r="E131" s="1191" t="s">
        <v>780</v>
      </c>
      <c r="F131" s="1192" t="s">
        <v>841</v>
      </c>
      <c r="G131" s="1193">
        <v>44575</v>
      </c>
      <c r="H131" s="1193">
        <v>44575</v>
      </c>
      <c r="I131" s="1194" t="s">
        <v>1460</v>
      </c>
      <c r="J131" s="1195" t="s">
        <v>1455</v>
      </c>
      <c r="K131" s="1176" t="s">
        <v>674</v>
      </c>
      <c r="L131" s="1178" t="s">
        <v>675</v>
      </c>
      <c r="M131" s="1196">
        <v>29400000</v>
      </c>
      <c r="N131" s="1197" t="s">
        <v>730</v>
      </c>
      <c r="O131" s="1197" t="s">
        <v>1456</v>
      </c>
    </row>
    <row r="132" spans="1:15" s="1159" customFormat="1" ht="60" x14ac:dyDescent="0.35">
      <c r="A132" s="1172">
        <v>2022126</v>
      </c>
      <c r="B132" s="1172">
        <v>7655</v>
      </c>
      <c r="C132" s="1172" t="s">
        <v>668</v>
      </c>
      <c r="D132" s="1190" t="s">
        <v>689</v>
      </c>
      <c r="E132" s="1191" t="s">
        <v>780</v>
      </c>
      <c r="F132" s="1192" t="s">
        <v>844</v>
      </c>
      <c r="G132" s="1193">
        <v>44575</v>
      </c>
      <c r="H132" s="1193">
        <v>44575</v>
      </c>
      <c r="I132" s="1194" t="s">
        <v>1460</v>
      </c>
      <c r="J132" s="1195" t="s">
        <v>1455</v>
      </c>
      <c r="K132" s="1176" t="s">
        <v>674</v>
      </c>
      <c r="L132" s="1178" t="s">
        <v>675</v>
      </c>
      <c r="M132" s="1196">
        <v>29400000</v>
      </c>
      <c r="N132" s="1197" t="s">
        <v>730</v>
      </c>
      <c r="O132" s="1197" t="s">
        <v>1456</v>
      </c>
    </row>
    <row r="133" spans="1:15" s="1159" customFormat="1" ht="60" x14ac:dyDescent="0.35">
      <c r="A133" s="1172">
        <v>2022127</v>
      </c>
      <c r="B133" s="1172">
        <v>7655</v>
      </c>
      <c r="C133" s="1172" t="s">
        <v>668</v>
      </c>
      <c r="D133" s="1190" t="s">
        <v>689</v>
      </c>
      <c r="E133" s="1191" t="s">
        <v>780</v>
      </c>
      <c r="F133" s="1192" t="s">
        <v>841</v>
      </c>
      <c r="G133" s="1193">
        <v>44575</v>
      </c>
      <c r="H133" s="1193">
        <v>44575</v>
      </c>
      <c r="I133" s="1194" t="s">
        <v>1460</v>
      </c>
      <c r="J133" s="1195" t="s">
        <v>1455</v>
      </c>
      <c r="K133" s="1176" t="s">
        <v>674</v>
      </c>
      <c r="L133" s="1178" t="s">
        <v>675</v>
      </c>
      <c r="M133" s="1196">
        <v>29400000</v>
      </c>
      <c r="N133" s="1197" t="s">
        <v>730</v>
      </c>
      <c r="O133" s="1197" t="s">
        <v>1456</v>
      </c>
    </row>
    <row r="134" spans="1:15" s="1159" customFormat="1" ht="60" x14ac:dyDescent="0.35">
      <c r="A134" s="1172">
        <v>2022128</v>
      </c>
      <c r="B134" s="1172">
        <v>7655</v>
      </c>
      <c r="C134" s="1172" t="s">
        <v>668</v>
      </c>
      <c r="D134" s="1190" t="s">
        <v>689</v>
      </c>
      <c r="E134" s="1191" t="s">
        <v>780</v>
      </c>
      <c r="F134" s="1192" t="s">
        <v>841</v>
      </c>
      <c r="G134" s="1193">
        <v>44575</v>
      </c>
      <c r="H134" s="1193">
        <v>44575</v>
      </c>
      <c r="I134" s="1194" t="s">
        <v>1460</v>
      </c>
      <c r="J134" s="1195" t="s">
        <v>1455</v>
      </c>
      <c r="K134" s="1176" t="s">
        <v>674</v>
      </c>
      <c r="L134" s="1178" t="s">
        <v>675</v>
      </c>
      <c r="M134" s="1196">
        <v>29400000</v>
      </c>
      <c r="N134" s="1197" t="s">
        <v>730</v>
      </c>
      <c r="O134" s="1197" t="s">
        <v>1456</v>
      </c>
    </row>
    <row r="135" spans="1:15" s="1159" customFormat="1" ht="60" x14ac:dyDescent="0.35">
      <c r="A135" s="1172">
        <v>2022129</v>
      </c>
      <c r="B135" s="1172">
        <v>7655</v>
      </c>
      <c r="C135" s="1172" t="s">
        <v>668</v>
      </c>
      <c r="D135" s="1190" t="s">
        <v>689</v>
      </c>
      <c r="E135" s="1191" t="s">
        <v>780</v>
      </c>
      <c r="F135" s="1192" t="s">
        <v>841</v>
      </c>
      <c r="G135" s="1193">
        <v>44575</v>
      </c>
      <c r="H135" s="1193">
        <v>44575</v>
      </c>
      <c r="I135" s="1194" t="s">
        <v>1460</v>
      </c>
      <c r="J135" s="1195" t="s">
        <v>1455</v>
      </c>
      <c r="K135" s="1176" t="s">
        <v>674</v>
      </c>
      <c r="L135" s="1178" t="s">
        <v>675</v>
      </c>
      <c r="M135" s="1196">
        <v>29400000</v>
      </c>
      <c r="N135" s="1197" t="s">
        <v>730</v>
      </c>
      <c r="O135" s="1197" t="s">
        <v>1456</v>
      </c>
    </row>
    <row r="136" spans="1:15" s="1159" customFormat="1" ht="60" x14ac:dyDescent="0.35">
      <c r="A136" s="1172">
        <v>2022130</v>
      </c>
      <c r="B136" s="1172">
        <v>7655</v>
      </c>
      <c r="C136" s="1172" t="s">
        <v>668</v>
      </c>
      <c r="D136" s="1190" t="s">
        <v>689</v>
      </c>
      <c r="E136" s="1191" t="s">
        <v>780</v>
      </c>
      <c r="F136" s="1192" t="s">
        <v>841</v>
      </c>
      <c r="G136" s="1193">
        <v>44575</v>
      </c>
      <c r="H136" s="1193">
        <v>44575</v>
      </c>
      <c r="I136" s="1194" t="s">
        <v>1460</v>
      </c>
      <c r="J136" s="1195" t="s">
        <v>1455</v>
      </c>
      <c r="K136" s="1176" t="s">
        <v>674</v>
      </c>
      <c r="L136" s="1178" t="s">
        <v>675</v>
      </c>
      <c r="M136" s="1196">
        <v>29400000</v>
      </c>
      <c r="N136" s="1197" t="s">
        <v>730</v>
      </c>
      <c r="O136" s="1197" t="s">
        <v>1456</v>
      </c>
    </row>
    <row r="137" spans="1:15" s="1159" customFormat="1" ht="60" x14ac:dyDescent="0.35">
      <c r="A137" s="1172">
        <v>2022131</v>
      </c>
      <c r="B137" s="1172">
        <v>7655</v>
      </c>
      <c r="C137" s="1172" t="s">
        <v>668</v>
      </c>
      <c r="D137" s="1190" t="s">
        <v>689</v>
      </c>
      <c r="E137" s="1191" t="s">
        <v>780</v>
      </c>
      <c r="F137" s="1192" t="s">
        <v>841</v>
      </c>
      <c r="G137" s="1193">
        <v>44575</v>
      </c>
      <c r="H137" s="1193">
        <v>44575</v>
      </c>
      <c r="I137" s="1194" t="s">
        <v>1460</v>
      </c>
      <c r="J137" s="1195" t="s">
        <v>1455</v>
      </c>
      <c r="K137" s="1176" t="s">
        <v>674</v>
      </c>
      <c r="L137" s="1178" t="s">
        <v>675</v>
      </c>
      <c r="M137" s="1196">
        <v>29400000</v>
      </c>
      <c r="N137" s="1197" t="s">
        <v>730</v>
      </c>
      <c r="O137" s="1197" t="s">
        <v>1456</v>
      </c>
    </row>
    <row r="138" spans="1:15" s="1159" customFormat="1" ht="60" x14ac:dyDescent="0.35">
      <c r="A138" s="1172">
        <v>2022132</v>
      </c>
      <c r="B138" s="1172">
        <v>7655</v>
      </c>
      <c r="C138" s="1172" t="s">
        <v>668</v>
      </c>
      <c r="D138" s="1190" t="s">
        <v>689</v>
      </c>
      <c r="E138" s="1172" t="s">
        <v>780</v>
      </c>
      <c r="F138" s="1192" t="s">
        <v>846</v>
      </c>
      <c r="G138" s="1193">
        <v>44575</v>
      </c>
      <c r="H138" s="1193">
        <v>44575</v>
      </c>
      <c r="I138" s="1194" t="s">
        <v>1460</v>
      </c>
      <c r="J138" s="1195" t="s">
        <v>1455</v>
      </c>
      <c r="K138" s="1176" t="s">
        <v>674</v>
      </c>
      <c r="L138" s="1178" t="s">
        <v>675</v>
      </c>
      <c r="M138" s="1196">
        <v>87600000</v>
      </c>
      <c r="N138" s="1197" t="s">
        <v>730</v>
      </c>
      <c r="O138" s="1197" t="s">
        <v>1456</v>
      </c>
    </row>
    <row r="139" spans="1:15" s="1159" customFormat="1" ht="75" x14ac:dyDescent="0.35">
      <c r="A139" s="1172">
        <v>2022133</v>
      </c>
      <c r="B139" s="1172">
        <v>7655</v>
      </c>
      <c r="C139" s="1172" t="s">
        <v>668</v>
      </c>
      <c r="D139" s="1190" t="s">
        <v>689</v>
      </c>
      <c r="E139" s="1191" t="s">
        <v>780</v>
      </c>
      <c r="F139" s="1192" t="s">
        <v>847</v>
      </c>
      <c r="G139" s="1193">
        <v>44575</v>
      </c>
      <c r="H139" s="1193">
        <v>44575</v>
      </c>
      <c r="I139" s="1194" t="s">
        <v>1458</v>
      </c>
      <c r="J139" s="1195" t="s">
        <v>1455</v>
      </c>
      <c r="K139" s="1176" t="s">
        <v>674</v>
      </c>
      <c r="L139" s="1178" t="s">
        <v>675</v>
      </c>
      <c r="M139" s="1196">
        <v>42000000</v>
      </c>
      <c r="N139" s="1197" t="s">
        <v>730</v>
      </c>
      <c r="O139" s="1197" t="s">
        <v>1456</v>
      </c>
    </row>
    <row r="140" spans="1:15" s="1159" customFormat="1" ht="60" x14ac:dyDescent="0.35">
      <c r="A140" s="1172">
        <v>2022134</v>
      </c>
      <c r="B140" s="1172">
        <v>7655</v>
      </c>
      <c r="C140" s="1172" t="s">
        <v>668</v>
      </c>
      <c r="D140" s="1190" t="s">
        <v>689</v>
      </c>
      <c r="E140" s="1191" t="s">
        <v>780</v>
      </c>
      <c r="F140" s="1175" t="s">
        <v>848</v>
      </c>
      <c r="G140" s="1193">
        <v>44575</v>
      </c>
      <c r="H140" s="1193">
        <v>44575</v>
      </c>
      <c r="I140" s="1194" t="s">
        <v>1454</v>
      </c>
      <c r="J140" s="1195" t="s">
        <v>1455</v>
      </c>
      <c r="K140" s="1176" t="s">
        <v>674</v>
      </c>
      <c r="L140" s="1178" t="s">
        <v>675</v>
      </c>
      <c r="M140" s="1196">
        <v>64802500</v>
      </c>
      <c r="N140" s="1197" t="s">
        <v>730</v>
      </c>
      <c r="O140" s="1197" t="s">
        <v>1456</v>
      </c>
    </row>
    <row r="141" spans="1:15" s="1159" customFormat="1" ht="60" x14ac:dyDescent="0.35">
      <c r="A141" s="1172">
        <v>2022135</v>
      </c>
      <c r="B141" s="1172">
        <v>7655</v>
      </c>
      <c r="C141" s="1172" t="s">
        <v>668</v>
      </c>
      <c r="D141" s="1190" t="s">
        <v>689</v>
      </c>
      <c r="E141" s="1172" t="s">
        <v>780</v>
      </c>
      <c r="F141" s="1192" t="s">
        <v>848</v>
      </c>
      <c r="G141" s="1193">
        <v>44575</v>
      </c>
      <c r="H141" s="1193">
        <v>44575</v>
      </c>
      <c r="I141" s="1194" t="s">
        <v>1458</v>
      </c>
      <c r="J141" s="1195" t="s">
        <v>1455</v>
      </c>
      <c r="K141" s="1176" t="s">
        <v>674</v>
      </c>
      <c r="L141" s="1178" t="s">
        <v>675</v>
      </c>
      <c r="M141" s="1196">
        <v>31500000</v>
      </c>
      <c r="N141" s="1197" t="s">
        <v>730</v>
      </c>
      <c r="O141" s="1197" t="s">
        <v>1456</v>
      </c>
    </row>
    <row r="142" spans="1:15" s="1159" customFormat="1" ht="60" x14ac:dyDescent="0.35">
      <c r="A142" s="1172">
        <v>2022136</v>
      </c>
      <c r="B142" s="1172">
        <v>7655</v>
      </c>
      <c r="C142" s="1172" t="s">
        <v>668</v>
      </c>
      <c r="D142" s="1190" t="s">
        <v>689</v>
      </c>
      <c r="E142" s="1172" t="s">
        <v>780</v>
      </c>
      <c r="F142" s="1192" t="s">
        <v>849</v>
      </c>
      <c r="G142" s="1193">
        <v>44575</v>
      </c>
      <c r="H142" s="1193">
        <v>44575</v>
      </c>
      <c r="I142" s="1194" t="s">
        <v>1454</v>
      </c>
      <c r="J142" s="1195" t="s">
        <v>1455</v>
      </c>
      <c r="K142" s="1176" t="s">
        <v>674</v>
      </c>
      <c r="L142" s="1178" t="s">
        <v>675</v>
      </c>
      <c r="M142" s="1179">
        <v>28175000</v>
      </c>
      <c r="N142" s="1197" t="s">
        <v>730</v>
      </c>
      <c r="O142" s="1197" t="s">
        <v>1456</v>
      </c>
    </row>
    <row r="143" spans="1:15" s="1159" customFormat="1" ht="60" x14ac:dyDescent="0.35">
      <c r="A143" s="1172">
        <v>2022137</v>
      </c>
      <c r="B143" s="1172">
        <v>7655</v>
      </c>
      <c r="C143" s="1172" t="s">
        <v>668</v>
      </c>
      <c r="D143" s="1190" t="s">
        <v>689</v>
      </c>
      <c r="E143" s="1172" t="s">
        <v>780</v>
      </c>
      <c r="F143" s="1192" t="s">
        <v>850</v>
      </c>
      <c r="G143" s="1193">
        <v>44575</v>
      </c>
      <c r="H143" s="1193">
        <v>44575</v>
      </c>
      <c r="I143" s="1194" t="s">
        <v>1454</v>
      </c>
      <c r="J143" s="1195" t="s">
        <v>1455</v>
      </c>
      <c r="K143" s="1176" t="s">
        <v>674</v>
      </c>
      <c r="L143" s="1178" t="s">
        <v>675</v>
      </c>
      <c r="M143" s="1179">
        <v>83950000</v>
      </c>
      <c r="N143" s="1197" t="s">
        <v>730</v>
      </c>
      <c r="O143" s="1197" t="s">
        <v>1456</v>
      </c>
    </row>
    <row r="144" spans="1:15" s="1159" customFormat="1" ht="90" x14ac:dyDescent="0.35">
      <c r="A144" s="1172">
        <v>2022138</v>
      </c>
      <c r="B144" s="1172">
        <v>7655</v>
      </c>
      <c r="C144" s="1172" t="s">
        <v>668</v>
      </c>
      <c r="D144" s="1190" t="s">
        <v>689</v>
      </c>
      <c r="E144" s="1172" t="s">
        <v>780</v>
      </c>
      <c r="F144" s="1192" t="s">
        <v>851</v>
      </c>
      <c r="G144" s="1193">
        <v>44575</v>
      </c>
      <c r="H144" s="1193">
        <v>44575</v>
      </c>
      <c r="I144" s="1194" t="s">
        <v>1454</v>
      </c>
      <c r="J144" s="1195" t="s">
        <v>1455</v>
      </c>
      <c r="K144" s="1176" t="s">
        <v>674</v>
      </c>
      <c r="L144" s="1178" t="s">
        <v>675</v>
      </c>
      <c r="M144" s="1179">
        <v>44275000</v>
      </c>
      <c r="N144" s="1197" t="s">
        <v>730</v>
      </c>
      <c r="O144" s="1197" t="s">
        <v>1456</v>
      </c>
    </row>
    <row r="145" spans="1:15" s="1159" customFormat="1" ht="90" x14ac:dyDescent="0.35">
      <c r="A145" s="1172">
        <v>2022139</v>
      </c>
      <c r="B145" s="1172">
        <v>7655</v>
      </c>
      <c r="C145" s="1172" t="s">
        <v>668</v>
      </c>
      <c r="D145" s="1190" t="s">
        <v>689</v>
      </c>
      <c r="E145" s="1172" t="s">
        <v>780</v>
      </c>
      <c r="F145" s="1192" t="s">
        <v>851</v>
      </c>
      <c r="G145" s="1193">
        <v>44575</v>
      </c>
      <c r="H145" s="1193">
        <v>44575</v>
      </c>
      <c r="I145" s="1194" t="s">
        <v>1454</v>
      </c>
      <c r="J145" s="1195" t="s">
        <v>1455</v>
      </c>
      <c r="K145" s="1176" t="s">
        <v>674</v>
      </c>
      <c r="L145" s="1178" t="s">
        <v>675</v>
      </c>
      <c r="M145" s="1179">
        <v>58650000</v>
      </c>
      <c r="N145" s="1197" t="s">
        <v>730</v>
      </c>
      <c r="O145" s="1197" t="s">
        <v>1456</v>
      </c>
    </row>
    <row r="146" spans="1:15" s="1159" customFormat="1" ht="60" x14ac:dyDescent="0.35">
      <c r="A146" s="1172">
        <v>2022140</v>
      </c>
      <c r="B146" s="1172">
        <v>7655</v>
      </c>
      <c r="C146" s="1172" t="s">
        <v>668</v>
      </c>
      <c r="D146" s="1190" t="s">
        <v>695</v>
      </c>
      <c r="E146" s="1202">
        <v>80111600</v>
      </c>
      <c r="F146" s="1203" t="s">
        <v>852</v>
      </c>
      <c r="G146" s="1204" t="s">
        <v>1414</v>
      </c>
      <c r="H146" s="1204" t="s">
        <v>1414</v>
      </c>
      <c r="I146" s="1204" t="s">
        <v>1461</v>
      </c>
      <c r="J146" s="1195" t="s">
        <v>1455</v>
      </c>
      <c r="K146" s="1176" t="s">
        <v>674</v>
      </c>
      <c r="L146" s="1205" t="s">
        <v>675</v>
      </c>
      <c r="M146" s="1179">
        <v>26496000</v>
      </c>
      <c r="N146" s="1206" t="s">
        <v>730</v>
      </c>
      <c r="O146" s="1206" t="s">
        <v>1456</v>
      </c>
    </row>
    <row r="147" spans="1:15" s="1159" customFormat="1" ht="60" x14ac:dyDescent="0.35">
      <c r="A147" s="1172">
        <v>2022141</v>
      </c>
      <c r="B147" s="1172">
        <v>7655</v>
      </c>
      <c r="C147" s="1172" t="s">
        <v>668</v>
      </c>
      <c r="D147" s="1190" t="s">
        <v>695</v>
      </c>
      <c r="E147" s="1202">
        <v>80111600</v>
      </c>
      <c r="F147" s="1203" t="s">
        <v>853</v>
      </c>
      <c r="G147" s="1204" t="s">
        <v>1414</v>
      </c>
      <c r="H147" s="1204" t="s">
        <v>1414</v>
      </c>
      <c r="I147" s="1204" t="s">
        <v>1461</v>
      </c>
      <c r="J147" s="1195" t="s">
        <v>1455</v>
      </c>
      <c r="K147" s="1176" t="s">
        <v>674</v>
      </c>
      <c r="L147" s="1205" t="s">
        <v>675</v>
      </c>
      <c r="M147" s="1179">
        <v>34776000</v>
      </c>
      <c r="N147" s="1206" t="s">
        <v>730</v>
      </c>
      <c r="O147" s="1206" t="s">
        <v>1456</v>
      </c>
    </row>
    <row r="148" spans="1:15" s="1159" customFormat="1" ht="60" x14ac:dyDescent="0.35">
      <c r="A148" s="1172">
        <v>2022142</v>
      </c>
      <c r="B148" s="1172">
        <v>7655</v>
      </c>
      <c r="C148" s="1172" t="s">
        <v>668</v>
      </c>
      <c r="D148" s="1190" t="s">
        <v>695</v>
      </c>
      <c r="E148" s="1202">
        <v>80111600</v>
      </c>
      <c r="F148" s="1203" t="s">
        <v>854</v>
      </c>
      <c r="G148" s="1204" t="s">
        <v>1414</v>
      </c>
      <c r="H148" s="1204" t="s">
        <v>1414</v>
      </c>
      <c r="I148" s="1204" t="s">
        <v>1417</v>
      </c>
      <c r="J148" s="1195" t="s">
        <v>1455</v>
      </c>
      <c r="K148" s="1176" t="s">
        <v>674</v>
      </c>
      <c r="L148" s="1205" t="s">
        <v>675</v>
      </c>
      <c r="M148" s="1179">
        <v>56100000</v>
      </c>
      <c r="N148" s="1206" t="s">
        <v>730</v>
      </c>
      <c r="O148" s="1206" t="s">
        <v>1456</v>
      </c>
    </row>
    <row r="149" spans="1:15" s="1159" customFormat="1" ht="60" x14ac:dyDescent="0.35">
      <c r="A149" s="1172">
        <v>2022143</v>
      </c>
      <c r="B149" s="1172">
        <v>7655</v>
      </c>
      <c r="C149" s="1172" t="s">
        <v>668</v>
      </c>
      <c r="D149" s="1190" t="s">
        <v>695</v>
      </c>
      <c r="E149" s="1202">
        <v>80111600</v>
      </c>
      <c r="F149" s="1203" t="s">
        <v>855</v>
      </c>
      <c r="G149" s="1204" t="s">
        <v>1414</v>
      </c>
      <c r="H149" s="1204" t="s">
        <v>1414</v>
      </c>
      <c r="I149" s="1204" t="s">
        <v>1417</v>
      </c>
      <c r="J149" s="1195" t="s">
        <v>1455</v>
      </c>
      <c r="K149" s="1176" t="s">
        <v>674</v>
      </c>
      <c r="L149" s="1205" t="s">
        <v>675</v>
      </c>
      <c r="M149" s="1179">
        <v>47817000</v>
      </c>
      <c r="N149" s="1206" t="s">
        <v>730</v>
      </c>
      <c r="O149" s="1206" t="s">
        <v>1456</v>
      </c>
    </row>
    <row r="150" spans="1:15" s="1159" customFormat="1" ht="60" x14ac:dyDescent="0.35">
      <c r="A150" s="1172">
        <v>2022144</v>
      </c>
      <c r="B150" s="1172">
        <v>7655</v>
      </c>
      <c r="C150" s="1172" t="s">
        <v>668</v>
      </c>
      <c r="D150" s="1190" t="s">
        <v>695</v>
      </c>
      <c r="E150" s="1202">
        <v>80111600</v>
      </c>
      <c r="F150" s="1203" t="s">
        <v>853</v>
      </c>
      <c r="G150" s="1204" t="s">
        <v>1414</v>
      </c>
      <c r="H150" s="1204" t="s">
        <v>1414</v>
      </c>
      <c r="I150" s="1204" t="s">
        <v>1417</v>
      </c>
      <c r="J150" s="1195" t="s">
        <v>1455</v>
      </c>
      <c r="K150" s="1176" t="s">
        <v>674</v>
      </c>
      <c r="L150" s="1205" t="s">
        <v>675</v>
      </c>
      <c r="M150" s="1179">
        <v>56100000</v>
      </c>
      <c r="N150" s="1206" t="s">
        <v>730</v>
      </c>
      <c r="O150" s="1206" t="s">
        <v>1456</v>
      </c>
    </row>
    <row r="151" spans="1:15" s="1159" customFormat="1" ht="60" x14ac:dyDescent="0.35">
      <c r="A151" s="1172">
        <v>2022145</v>
      </c>
      <c r="B151" s="1172">
        <v>7655</v>
      </c>
      <c r="C151" s="1172" t="s">
        <v>668</v>
      </c>
      <c r="D151" s="1190" t="s">
        <v>695</v>
      </c>
      <c r="E151" s="1202">
        <v>80111600</v>
      </c>
      <c r="F151" s="1203" t="s">
        <v>855</v>
      </c>
      <c r="G151" s="1204" t="s">
        <v>1414</v>
      </c>
      <c r="H151" s="1204" t="s">
        <v>1414</v>
      </c>
      <c r="I151" s="1204" t="s">
        <v>1458</v>
      </c>
      <c r="J151" s="1195" t="s">
        <v>1455</v>
      </c>
      <c r="K151" s="1176" t="s">
        <v>674</v>
      </c>
      <c r="L151" s="1205" t="s">
        <v>675</v>
      </c>
      <c r="M151" s="1179">
        <v>27895000</v>
      </c>
      <c r="N151" s="1206" t="s">
        <v>730</v>
      </c>
      <c r="O151" s="1206" t="s">
        <v>1456</v>
      </c>
    </row>
    <row r="152" spans="1:15" s="1159" customFormat="1" ht="60" x14ac:dyDescent="0.35">
      <c r="A152" s="1172">
        <v>2022146</v>
      </c>
      <c r="B152" s="1172">
        <v>7655</v>
      </c>
      <c r="C152" s="1172" t="s">
        <v>668</v>
      </c>
      <c r="D152" s="1190" t="s">
        <v>695</v>
      </c>
      <c r="E152" s="1202">
        <v>80111600</v>
      </c>
      <c r="F152" s="1203" t="s">
        <v>855</v>
      </c>
      <c r="G152" s="1204" t="s">
        <v>1414</v>
      </c>
      <c r="H152" s="1204" t="s">
        <v>1414</v>
      </c>
      <c r="I152" s="1204" t="s">
        <v>1458</v>
      </c>
      <c r="J152" s="1195" t="s">
        <v>1455</v>
      </c>
      <c r="K152" s="1176" t="s">
        <v>674</v>
      </c>
      <c r="L152" s="1205" t="s">
        <v>675</v>
      </c>
      <c r="M152" s="1179">
        <v>26950000</v>
      </c>
      <c r="N152" s="1206" t="s">
        <v>730</v>
      </c>
      <c r="O152" s="1206" t="s">
        <v>1456</v>
      </c>
    </row>
    <row r="153" spans="1:15" s="1159" customFormat="1" ht="60" x14ac:dyDescent="0.35">
      <c r="A153" s="1172">
        <v>2022147</v>
      </c>
      <c r="B153" s="1172">
        <v>7655</v>
      </c>
      <c r="C153" s="1172" t="s">
        <v>668</v>
      </c>
      <c r="D153" s="1190" t="s">
        <v>695</v>
      </c>
      <c r="E153" s="1202">
        <v>80111600</v>
      </c>
      <c r="F153" s="1203" t="s">
        <v>856</v>
      </c>
      <c r="G153" s="1204" t="s">
        <v>1414</v>
      </c>
      <c r="H153" s="1204" t="s">
        <v>1414</v>
      </c>
      <c r="I153" s="1204" t="s">
        <v>1461</v>
      </c>
      <c r="J153" s="1195" t="s">
        <v>1455</v>
      </c>
      <c r="K153" s="1176" t="s">
        <v>674</v>
      </c>
      <c r="L153" s="1205" t="s">
        <v>675</v>
      </c>
      <c r="M153" s="1179">
        <v>19600000</v>
      </c>
      <c r="N153" s="1206" t="s">
        <v>730</v>
      </c>
      <c r="O153" s="1206" t="s">
        <v>1456</v>
      </c>
    </row>
    <row r="154" spans="1:15" s="1159" customFormat="1" ht="60" x14ac:dyDescent="0.35">
      <c r="A154" s="1172">
        <v>2022148</v>
      </c>
      <c r="B154" s="1172">
        <v>7655</v>
      </c>
      <c r="C154" s="1172" t="s">
        <v>668</v>
      </c>
      <c r="D154" s="1190" t="s">
        <v>695</v>
      </c>
      <c r="E154" s="1202">
        <v>80111600</v>
      </c>
      <c r="F154" s="1203" t="s">
        <v>857</v>
      </c>
      <c r="G154" s="1204" t="s">
        <v>1414</v>
      </c>
      <c r="H154" s="1204" t="s">
        <v>1414</v>
      </c>
      <c r="I154" s="1204" t="s">
        <v>1461</v>
      </c>
      <c r="J154" s="1195" t="s">
        <v>1455</v>
      </c>
      <c r="K154" s="1176" t="s">
        <v>674</v>
      </c>
      <c r="L154" s="1205" t="s">
        <v>675</v>
      </c>
      <c r="M154" s="1179">
        <v>40800000</v>
      </c>
      <c r="N154" s="1206" t="s">
        <v>730</v>
      </c>
      <c r="O154" s="1206" t="s">
        <v>1456</v>
      </c>
    </row>
    <row r="155" spans="1:15" s="1159" customFormat="1" ht="60" x14ac:dyDescent="0.35">
      <c r="A155" s="1172">
        <v>2022149</v>
      </c>
      <c r="B155" s="1172">
        <v>7655</v>
      </c>
      <c r="C155" s="1172" t="s">
        <v>668</v>
      </c>
      <c r="D155" s="1190" t="s">
        <v>695</v>
      </c>
      <c r="E155" s="1202">
        <v>80111600</v>
      </c>
      <c r="F155" s="1203" t="s">
        <v>858</v>
      </c>
      <c r="G155" s="1204" t="s">
        <v>1414</v>
      </c>
      <c r="H155" s="1204" t="s">
        <v>1414</v>
      </c>
      <c r="I155" s="1204" t="s">
        <v>1417</v>
      </c>
      <c r="J155" s="1195" t="s">
        <v>1455</v>
      </c>
      <c r="K155" s="1176" t="s">
        <v>674</v>
      </c>
      <c r="L155" s="1205" t="s">
        <v>675</v>
      </c>
      <c r="M155" s="1179">
        <v>56100000</v>
      </c>
      <c r="N155" s="1206" t="s">
        <v>730</v>
      </c>
      <c r="O155" s="1206" t="s">
        <v>1456</v>
      </c>
    </row>
    <row r="156" spans="1:15" s="1159" customFormat="1" ht="60" x14ac:dyDescent="0.35">
      <c r="A156" s="1172">
        <v>2022150</v>
      </c>
      <c r="B156" s="1172">
        <v>7655</v>
      </c>
      <c r="C156" s="1172" t="s">
        <v>668</v>
      </c>
      <c r="D156" s="1190" t="s">
        <v>695</v>
      </c>
      <c r="E156" s="1202">
        <v>80111600</v>
      </c>
      <c r="F156" s="1203" t="s">
        <v>857</v>
      </c>
      <c r="G156" s="1204" t="s">
        <v>1414</v>
      </c>
      <c r="H156" s="1204" t="s">
        <v>1414</v>
      </c>
      <c r="I156" s="1204" t="s">
        <v>1458</v>
      </c>
      <c r="J156" s="1195" t="s">
        <v>1455</v>
      </c>
      <c r="K156" s="1176" t="s">
        <v>674</v>
      </c>
      <c r="L156" s="1205" t="s">
        <v>675</v>
      </c>
      <c r="M156" s="1179">
        <v>35700000</v>
      </c>
      <c r="N156" s="1206" t="s">
        <v>730</v>
      </c>
      <c r="O156" s="1206" t="s">
        <v>1456</v>
      </c>
    </row>
    <row r="157" spans="1:15" s="1159" customFormat="1" ht="60" x14ac:dyDescent="0.35">
      <c r="A157" s="1172">
        <v>2022151</v>
      </c>
      <c r="B157" s="1172">
        <v>7655</v>
      </c>
      <c r="C157" s="1172" t="s">
        <v>668</v>
      </c>
      <c r="D157" s="1190" t="s">
        <v>695</v>
      </c>
      <c r="E157" s="1202">
        <v>80111600</v>
      </c>
      <c r="F157" s="1203" t="s">
        <v>859</v>
      </c>
      <c r="G157" s="1204" t="s">
        <v>1414</v>
      </c>
      <c r="H157" s="1204" t="s">
        <v>1414</v>
      </c>
      <c r="I157" s="1204" t="s">
        <v>1461</v>
      </c>
      <c r="J157" s="1195" t="s">
        <v>1455</v>
      </c>
      <c r="K157" s="1176" t="s">
        <v>674</v>
      </c>
      <c r="L157" s="1205" t="s">
        <v>675</v>
      </c>
      <c r="M157" s="1179">
        <v>41400000</v>
      </c>
      <c r="N157" s="1206" t="s">
        <v>730</v>
      </c>
      <c r="O157" s="1206" t="s">
        <v>1456</v>
      </c>
    </row>
    <row r="158" spans="1:15" s="1159" customFormat="1" ht="60" x14ac:dyDescent="0.35">
      <c r="A158" s="1172">
        <v>2022152</v>
      </c>
      <c r="B158" s="1172">
        <v>7655</v>
      </c>
      <c r="C158" s="1172" t="s">
        <v>668</v>
      </c>
      <c r="D158" s="1190" t="s">
        <v>695</v>
      </c>
      <c r="E158" s="1202">
        <v>80111600</v>
      </c>
      <c r="F158" s="1203" t="s">
        <v>860</v>
      </c>
      <c r="G158" s="1204" t="s">
        <v>1414</v>
      </c>
      <c r="H158" s="1204" t="s">
        <v>1414</v>
      </c>
      <c r="I158" s="1204" t="s">
        <v>1461</v>
      </c>
      <c r="J158" s="1195" t="s">
        <v>1455</v>
      </c>
      <c r="K158" s="1176" t="s">
        <v>674</v>
      </c>
      <c r="L158" s="1205" t="s">
        <v>675</v>
      </c>
      <c r="M158" s="1179">
        <v>45544000</v>
      </c>
      <c r="N158" s="1206" t="s">
        <v>730</v>
      </c>
      <c r="O158" s="1206" t="s">
        <v>1456</v>
      </c>
    </row>
    <row r="159" spans="1:15" s="1159" customFormat="1" ht="60" x14ac:dyDescent="0.35">
      <c r="A159" s="1172">
        <v>2022153</v>
      </c>
      <c r="B159" s="1172">
        <v>7655</v>
      </c>
      <c r="C159" s="1172" t="s">
        <v>668</v>
      </c>
      <c r="D159" s="1190" t="s">
        <v>695</v>
      </c>
      <c r="E159" s="1202">
        <v>80111600</v>
      </c>
      <c r="F159" s="1203" t="s">
        <v>861</v>
      </c>
      <c r="G159" s="1204" t="s">
        <v>1414</v>
      </c>
      <c r="H159" s="1204" t="s">
        <v>1414</v>
      </c>
      <c r="I159" s="1204" t="s">
        <v>1458</v>
      </c>
      <c r="J159" s="1195" t="s">
        <v>1455</v>
      </c>
      <c r="K159" s="1176" t="s">
        <v>674</v>
      </c>
      <c r="L159" s="1205" t="s">
        <v>675</v>
      </c>
      <c r="M159" s="1179">
        <v>23184000</v>
      </c>
      <c r="N159" s="1206" t="s">
        <v>730</v>
      </c>
      <c r="O159" s="1206" t="s">
        <v>1456</v>
      </c>
    </row>
    <row r="160" spans="1:15" s="1159" customFormat="1" ht="60" x14ac:dyDescent="0.35">
      <c r="A160" s="1172">
        <v>2022154</v>
      </c>
      <c r="B160" s="1172">
        <v>7655</v>
      </c>
      <c r="C160" s="1172" t="s">
        <v>668</v>
      </c>
      <c r="D160" s="1190" t="s">
        <v>695</v>
      </c>
      <c r="E160" s="1202">
        <v>80111600</v>
      </c>
      <c r="F160" s="1203" t="s">
        <v>862</v>
      </c>
      <c r="G160" s="1204" t="s">
        <v>1414</v>
      </c>
      <c r="H160" s="1204" t="s">
        <v>1414</v>
      </c>
      <c r="I160" s="1204" t="s">
        <v>1458</v>
      </c>
      <c r="J160" s="1195" t="s">
        <v>1455</v>
      </c>
      <c r="K160" s="1176" t="s">
        <v>674</v>
      </c>
      <c r="L160" s="1205" t="s">
        <v>675</v>
      </c>
      <c r="M160" s="1179">
        <v>30429000</v>
      </c>
      <c r="N160" s="1206" t="s">
        <v>730</v>
      </c>
      <c r="O160" s="1206" t="s">
        <v>1456</v>
      </c>
    </row>
    <row r="161" spans="1:18" s="1159" customFormat="1" ht="60" x14ac:dyDescent="0.35">
      <c r="A161" s="1172">
        <v>2022155</v>
      </c>
      <c r="B161" s="1172">
        <v>7655</v>
      </c>
      <c r="C161" s="1172" t="s">
        <v>668</v>
      </c>
      <c r="D161" s="1190" t="s">
        <v>695</v>
      </c>
      <c r="E161" s="1202">
        <v>80111600</v>
      </c>
      <c r="F161" s="1203" t="s">
        <v>863</v>
      </c>
      <c r="G161" s="1204" t="s">
        <v>1414</v>
      </c>
      <c r="H161" s="1204" t="s">
        <v>1414</v>
      </c>
      <c r="I161" s="1204" t="s">
        <v>1417</v>
      </c>
      <c r="J161" s="1195" t="s">
        <v>1455</v>
      </c>
      <c r="K161" s="1176" t="s">
        <v>674</v>
      </c>
      <c r="L161" s="1205" t="s">
        <v>675</v>
      </c>
      <c r="M161" s="1179">
        <v>83600000</v>
      </c>
      <c r="N161" s="1206" t="s">
        <v>730</v>
      </c>
      <c r="O161" s="1206" t="s">
        <v>1456</v>
      </c>
    </row>
    <row r="162" spans="1:18" s="1200" customFormat="1" ht="60" x14ac:dyDescent="0.3">
      <c r="A162" s="1172">
        <v>2022156</v>
      </c>
      <c r="B162" s="1172">
        <v>7655</v>
      </c>
      <c r="C162" s="1172" t="s">
        <v>668</v>
      </c>
      <c r="D162" s="1190" t="s">
        <v>695</v>
      </c>
      <c r="E162" s="1202">
        <v>80111600</v>
      </c>
      <c r="F162" s="1203" t="s">
        <v>864</v>
      </c>
      <c r="G162" s="1204" t="s">
        <v>1414</v>
      </c>
      <c r="H162" s="1204" t="s">
        <v>1414</v>
      </c>
      <c r="I162" s="1204" t="s">
        <v>1458</v>
      </c>
      <c r="J162" s="1195" t="s">
        <v>1455</v>
      </c>
      <c r="K162" s="1176" t="s">
        <v>674</v>
      </c>
      <c r="L162" s="1205" t="s">
        <v>675</v>
      </c>
      <c r="M162" s="1179">
        <v>26950000</v>
      </c>
      <c r="N162" s="1206" t="s">
        <v>730</v>
      </c>
      <c r="O162" s="1206" t="s">
        <v>1456</v>
      </c>
      <c r="R162" s="1207"/>
    </row>
    <row r="163" spans="1:18" s="1159" customFormat="1" ht="60" x14ac:dyDescent="0.3">
      <c r="A163" s="1172">
        <v>2022157</v>
      </c>
      <c r="B163" s="1172">
        <v>7655</v>
      </c>
      <c r="C163" s="1172" t="s">
        <v>668</v>
      </c>
      <c r="D163" s="1190" t="s">
        <v>695</v>
      </c>
      <c r="E163" s="1202">
        <v>80111600</v>
      </c>
      <c r="F163" s="1203" t="s">
        <v>859</v>
      </c>
      <c r="G163" s="1204" t="s">
        <v>1414</v>
      </c>
      <c r="H163" s="1204" t="s">
        <v>1414</v>
      </c>
      <c r="I163" s="1204" t="s">
        <v>1458</v>
      </c>
      <c r="J163" s="1195" t="s">
        <v>1455</v>
      </c>
      <c r="K163" s="1176" t="s">
        <v>674</v>
      </c>
      <c r="L163" s="1205" t="s">
        <v>675</v>
      </c>
      <c r="M163" s="1179">
        <v>36225000</v>
      </c>
      <c r="N163" s="1206" t="s">
        <v>730</v>
      </c>
      <c r="O163" s="1206" t="s">
        <v>1456</v>
      </c>
      <c r="R163" s="1207"/>
    </row>
    <row r="164" spans="1:18" s="1159" customFormat="1" ht="60" x14ac:dyDescent="0.3">
      <c r="A164" s="1172">
        <v>2022158</v>
      </c>
      <c r="B164" s="1172">
        <v>7655</v>
      </c>
      <c r="C164" s="1172" t="s">
        <v>668</v>
      </c>
      <c r="D164" s="1190" t="s">
        <v>695</v>
      </c>
      <c r="E164" s="1202">
        <v>80111600</v>
      </c>
      <c r="F164" s="1203" t="s">
        <v>860</v>
      </c>
      <c r="G164" s="1204" t="s">
        <v>1414</v>
      </c>
      <c r="H164" s="1204" t="s">
        <v>1414</v>
      </c>
      <c r="I164" s="1204" t="s">
        <v>1461</v>
      </c>
      <c r="J164" s="1195" t="s">
        <v>1455</v>
      </c>
      <c r="K164" s="1176" t="s">
        <v>674</v>
      </c>
      <c r="L164" s="1205" t="s">
        <v>675</v>
      </c>
      <c r="M164" s="1179">
        <v>45544000</v>
      </c>
      <c r="N164" s="1206" t="s">
        <v>730</v>
      </c>
      <c r="O164" s="1206" t="s">
        <v>1456</v>
      </c>
      <c r="R164" s="1207"/>
    </row>
    <row r="165" spans="1:18" s="1159" customFormat="1" ht="60" x14ac:dyDescent="0.3">
      <c r="A165" s="1172">
        <v>2022159</v>
      </c>
      <c r="B165" s="1172">
        <v>7655</v>
      </c>
      <c r="C165" s="1172" t="s">
        <v>668</v>
      </c>
      <c r="D165" s="1190" t="s">
        <v>695</v>
      </c>
      <c r="E165" s="1202">
        <v>80111600</v>
      </c>
      <c r="F165" s="1203" t="s">
        <v>865</v>
      </c>
      <c r="G165" s="1204" t="s">
        <v>1414</v>
      </c>
      <c r="H165" s="1204" t="s">
        <v>1414</v>
      </c>
      <c r="I165" s="1204" t="s">
        <v>1461</v>
      </c>
      <c r="J165" s="1195" t="s">
        <v>1455</v>
      </c>
      <c r="K165" s="1176" t="s">
        <v>674</v>
      </c>
      <c r="L165" s="1205" t="s">
        <v>675</v>
      </c>
      <c r="M165" s="1179">
        <v>19600000</v>
      </c>
      <c r="N165" s="1206" t="s">
        <v>730</v>
      </c>
      <c r="O165" s="1206" t="s">
        <v>1456</v>
      </c>
      <c r="R165" s="1207"/>
    </row>
    <row r="166" spans="1:18" s="1159" customFormat="1" ht="60" x14ac:dyDescent="0.3">
      <c r="A166" s="1172">
        <v>2022160</v>
      </c>
      <c r="B166" s="1172">
        <v>7655</v>
      </c>
      <c r="C166" s="1172" t="s">
        <v>668</v>
      </c>
      <c r="D166" s="1190" t="s">
        <v>695</v>
      </c>
      <c r="E166" s="1202">
        <v>80111600</v>
      </c>
      <c r="F166" s="1203" t="s">
        <v>866</v>
      </c>
      <c r="G166" s="1204" t="s">
        <v>1414</v>
      </c>
      <c r="H166" s="1204" t="s">
        <v>1414</v>
      </c>
      <c r="I166" s="1204" t="s">
        <v>1417</v>
      </c>
      <c r="J166" s="1195" t="s">
        <v>1455</v>
      </c>
      <c r="K166" s="1176" t="s">
        <v>674</v>
      </c>
      <c r="L166" s="1205" t="s">
        <v>675</v>
      </c>
      <c r="M166" s="1179">
        <v>31306000</v>
      </c>
      <c r="N166" s="1206" t="s">
        <v>730</v>
      </c>
      <c r="O166" s="1206" t="s">
        <v>1456</v>
      </c>
      <c r="R166" s="1207"/>
    </row>
    <row r="167" spans="1:18" s="1159" customFormat="1" ht="90" x14ac:dyDescent="0.3">
      <c r="A167" s="1172">
        <v>2022161</v>
      </c>
      <c r="B167" s="1172">
        <v>7655</v>
      </c>
      <c r="C167" s="1172" t="s">
        <v>668</v>
      </c>
      <c r="D167" s="1190" t="s">
        <v>695</v>
      </c>
      <c r="E167" s="1202">
        <v>80111600</v>
      </c>
      <c r="F167" s="1208" t="s">
        <v>867</v>
      </c>
      <c r="G167" s="1204" t="s">
        <v>1414</v>
      </c>
      <c r="H167" s="1204" t="s">
        <v>1414</v>
      </c>
      <c r="I167" s="1204" t="s">
        <v>1461</v>
      </c>
      <c r="J167" s="1195" t="s">
        <v>1455</v>
      </c>
      <c r="K167" s="1176" t="s">
        <v>674</v>
      </c>
      <c r="L167" s="1205" t="s">
        <v>675</v>
      </c>
      <c r="M167" s="1179">
        <v>34776000</v>
      </c>
      <c r="N167" s="1206" t="s">
        <v>730</v>
      </c>
      <c r="O167" s="1206" t="s">
        <v>1456</v>
      </c>
      <c r="R167" s="1207"/>
    </row>
    <row r="168" spans="1:18" s="1159" customFormat="1" ht="60" x14ac:dyDescent="0.3">
      <c r="A168" s="1172">
        <v>2022162</v>
      </c>
      <c r="B168" s="1172">
        <v>7655</v>
      </c>
      <c r="C168" s="1172" t="s">
        <v>668</v>
      </c>
      <c r="D168" s="1190" t="s">
        <v>695</v>
      </c>
      <c r="E168" s="1202">
        <v>80111600</v>
      </c>
      <c r="F168" s="1203" t="s">
        <v>868</v>
      </c>
      <c r="G168" s="1204" t="s">
        <v>1414</v>
      </c>
      <c r="H168" s="1204" t="s">
        <v>1414</v>
      </c>
      <c r="I168" s="1204" t="s">
        <v>1461</v>
      </c>
      <c r="J168" s="1195" t="s">
        <v>1455</v>
      </c>
      <c r="K168" s="1176" t="s">
        <v>674</v>
      </c>
      <c r="L168" s="1205" t="s">
        <v>675</v>
      </c>
      <c r="M168" s="1179">
        <v>34776000</v>
      </c>
      <c r="N168" s="1206" t="s">
        <v>730</v>
      </c>
      <c r="O168" s="1206" t="s">
        <v>1456</v>
      </c>
      <c r="R168" s="1207"/>
    </row>
    <row r="169" spans="1:18" s="1159" customFormat="1" ht="90" x14ac:dyDescent="0.3">
      <c r="A169" s="1172">
        <v>2022163</v>
      </c>
      <c r="B169" s="1172">
        <v>7655</v>
      </c>
      <c r="C169" s="1172" t="s">
        <v>668</v>
      </c>
      <c r="D169" s="1190" t="s">
        <v>695</v>
      </c>
      <c r="E169" s="1202">
        <v>80111600</v>
      </c>
      <c r="F169" s="1208" t="s">
        <v>869</v>
      </c>
      <c r="G169" s="1204" t="s">
        <v>1414</v>
      </c>
      <c r="H169" s="1204" t="s">
        <v>1414</v>
      </c>
      <c r="I169" s="1204" t="s">
        <v>1417</v>
      </c>
      <c r="J169" s="1195" t="s">
        <v>1455</v>
      </c>
      <c r="K169" s="1176" t="s">
        <v>674</v>
      </c>
      <c r="L169" s="1205" t="s">
        <v>675</v>
      </c>
      <c r="M169" s="1179">
        <v>36850000</v>
      </c>
      <c r="N169" s="1206" t="s">
        <v>730</v>
      </c>
      <c r="O169" s="1206" t="s">
        <v>1456</v>
      </c>
      <c r="R169" s="1207"/>
    </row>
    <row r="170" spans="1:18" s="1159" customFormat="1" ht="60" x14ac:dyDescent="0.3">
      <c r="A170" s="1172">
        <v>2022164</v>
      </c>
      <c r="B170" s="1172">
        <v>7655</v>
      </c>
      <c r="C170" s="1172" t="s">
        <v>668</v>
      </c>
      <c r="D170" s="1190" t="s">
        <v>695</v>
      </c>
      <c r="E170" s="1202">
        <v>80111600</v>
      </c>
      <c r="F170" s="1203" t="s">
        <v>870</v>
      </c>
      <c r="G170" s="1204" t="s">
        <v>1414</v>
      </c>
      <c r="H170" s="1204" t="s">
        <v>1414</v>
      </c>
      <c r="I170" s="1204" t="s">
        <v>1458</v>
      </c>
      <c r="J170" s="1195" t="s">
        <v>1455</v>
      </c>
      <c r="K170" s="1176" t="s">
        <v>674</v>
      </c>
      <c r="L170" s="1205" t="s">
        <v>675</v>
      </c>
      <c r="M170" s="1179">
        <v>26950000</v>
      </c>
      <c r="N170" s="1206" t="s">
        <v>730</v>
      </c>
      <c r="O170" s="1206" t="s">
        <v>1456</v>
      </c>
      <c r="R170" s="1207"/>
    </row>
    <row r="171" spans="1:18" s="1159" customFormat="1" ht="60" x14ac:dyDescent="0.3">
      <c r="A171" s="1172">
        <v>2022165</v>
      </c>
      <c r="B171" s="1172">
        <v>7655</v>
      </c>
      <c r="C171" s="1172" t="s">
        <v>668</v>
      </c>
      <c r="D171" s="1190" t="s">
        <v>695</v>
      </c>
      <c r="E171" s="1202">
        <v>80111600</v>
      </c>
      <c r="F171" s="1203" t="s">
        <v>871</v>
      </c>
      <c r="G171" s="1204" t="s">
        <v>1414</v>
      </c>
      <c r="H171" s="1204" t="s">
        <v>1414</v>
      </c>
      <c r="I171" s="1204" t="s">
        <v>1461</v>
      </c>
      <c r="J171" s="1195" t="s">
        <v>1455</v>
      </c>
      <c r="K171" s="1176" t="s">
        <v>674</v>
      </c>
      <c r="L171" s="1205" t="s">
        <v>675</v>
      </c>
      <c r="M171" s="1179">
        <v>41400000</v>
      </c>
      <c r="N171" s="1206" t="s">
        <v>730</v>
      </c>
      <c r="O171" s="1206" t="s">
        <v>1456</v>
      </c>
      <c r="R171" s="1207"/>
    </row>
    <row r="172" spans="1:18" s="1159" customFormat="1" ht="60" x14ac:dyDescent="0.3">
      <c r="A172" s="1172">
        <v>2022166</v>
      </c>
      <c r="B172" s="1172">
        <v>7655</v>
      </c>
      <c r="C172" s="1172" t="s">
        <v>668</v>
      </c>
      <c r="D172" s="1190" t="s">
        <v>695</v>
      </c>
      <c r="E172" s="1202">
        <v>80111600</v>
      </c>
      <c r="F172" s="1203" t="s">
        <v>872</v>
      </c>
      <c r="G172" s="1204" t="s">
        <v>1414</v>
      </c>
      <c r="H172" s="1204" t="s">
        <v>1414</v>
      </c>
      <c r="I172" s="1204" t="s">
        <v>1461</v>
      </c>
      <c r="J172" s="1195" t="s">
        <v>1455</v>
      </c>
      <c r="K172" s="1176" t="s">
        <v>674</v>
      </c>
      <c r="L172" s="1205" t="s">
        <v>675</v>
      </c>
      <c r="M172" s="1179">
        <v>41400000</v>
      </c>
      <c r="N172" s="1206" t="s">
        <v>730</v>
      </c>
      <c r="O172" s="1206" t="s">
        <v>1456</v>
      </c>
      <c r="R172" s="1207"/>
    </row>
    <row r="173" spans="1:18" s="1159" customFormat="1" ht="60" x14ac:dyDescent="0.3">
      <c r="A173" s="1172">
        <v>2022167</v>
      </c>
      <c r="B173" s="1172">
        <v>7655</v>
      </c>
      <c r="C173" s="1172" t="s">
        <v>668</v>
      </c>
      <c r="D173" s="1190" t="s">
        <v>695</v>
      </c>
      <c r="E173" s="1202">
        <v>80111600</v>
      </c>
      <c r="F173" s="1203" t="s">
        <v>873</v>
      </c>
      <c r="G173" s="1204" t="s">
        <v>1414</v>
      </c>
      <c r="H173" s="1204" t="s">
        <v>1414</v>
      </c>
      <c r="I173" s="1204" t="s">
        <v>1417</v>
      </c>
      <c r="J173" s="1195" t="s">
        <v>1455</v>
      </c>
      <c r="K173" s="1176" t="s">
        <v>674</v>
      </c>
      <c r="L173" s="1205" t="s">
        <v>675</v>
      </c>
      <c r="M173" s="1179">
        <v>80036000</v>
      </c>
      <c r="N173" s="1206" t="s">
        <v>730</v>
      </c>
      <c r="O173" s="1206" t="s">
        <v>1456</v>
      </c>
      <c r="R173" s="1207"/>
    </row>
    <row r="174" spans="1:18" s="1159" customFormat="1" ht="60" x14ac:dyDescent="0.3">
      <c r="A174" s="1172">
        <v>2022168</v>
      </c>
      <c r="B174" s="1172">
        <v>7655</v>
      </c>
      <c r="C174" s="1172" t="s">
        <v>668</v>
      </c>
      <c r="D174" s="1190" t="s">
        <v>695</v>
      </c>
      <c r="E174" s="1202">
        <v>80111600</v>
      </c>
      <c r="F174" s="1209" t="s">
        <v>871</v>
      </c>
      <c r="G174" s="1204" t="s">
        <v>1414</v>
      </c>
      <c r="H174" s="1204" t="s">
        <v>1414</v>
      </c>
      <c r="I174" s="1204" t="s">
        <v>1459</v>
      </c>
      <c r="J174" s="1195" t="s">
        <v>1455</v>
      </c>
      <c r="K174" s="1176" t="s">
        <v>674</v>
      </c>
      <c r="L174" s="1205" t="s">
        <v>675</v>
      </c>
      <c r="M174" s="1179">
        <v>60000000</v>
      </c>
      <c r="N174" s="1206" t="s">
        <v>730</v>
      </c>
      <c r="O174" s="1206" t="s">
        <v>1456</v>
      </c>
      <c r="R174" s="1207"/>
    </row>
    <row r="175" spans="1:18" s="1159" customFormat="1" ht="90" x14ac:dyDescent="0.3">
      <c r="A175" s="1172">
        <v>2022169</v>
      </c>
      <c r="B175" s="1172">
        <v>7655</v>
      </c>
      <c r="C175" s="1172" t="s">
        <v>668</v>
      </c>
      <c r="D175" s="1190" t="s">
        <v>695</v>
      </c>
      <c r="E175" s="1202">
        <v>80111600</v>
      </c>
      <c r="F175" s="1208" t="s">
        <v>869</v>
      </c>
      <c r="G175" s="1204" t="s">
        <v>1414</v>
      </c>
      <c r="H175" s="1204" t="s">
        <v>1414</v>
      </c>
      <c r="I175" s="1204" t="s">
        <v>1417</v>
      </c>
      <c r="J175" s="1195" t="s">
        <v>1455</v>
      </c>
      <c r="K175" s="1176" t="s">
        <v>674</v>
      </c>
      <c r="L175" s="1205" t="s">
        <v>675</v>
      </c>
      <c r="M175" s="1179">
        <v>34155000</v>
      </c>
      <c r="N175" s="1206" t="s">
        <v>730</v>
      </c>
      <c r="O175" s="1206" t="s">
        <v>1456</v>
      </c>
      <c r="R175" s="1207"/>
    </row>
    <row r="176" spans="1:18" s="1159" customFormat="1" ht="60" x14ac:dyDescent="0.3">
      <c r="A176" s="1172">
        <v>2022170</v>
      </c>
      <c r="B176" s="1172">
        <v>7655</v>
      </c>
      <c r="C176" s="1172" t="s">
        <v>668</v>
      </c>
      <c r="D176" s="1190" t="s">
        <v>695</v>
      </c>
      <c r="E176" s="1202">
        <v>80111600</v>
      </c>
      <c r="F176" s="1203" t="s">
        <v>872</v>
      </c>
      <c r="G176" s="1204" t="s">
        <v>1414</v>
      </c>
      <c r="H176" s="1204" t="s">
        <v>1414</v>
      </c>
      <c r="I176" s="1204" t="s">
        <v>1457</v>
      </c>
      <c r="J176" s="1195" t="s">
        <v>1455</v>
      </c>
      <c r="K176" s="1176" t="s">
        <v>674</v>
      </c>
      <c r="L176" s="1205" t="s">
        <v>675</v>
      </c>
      <c r="M176" s="1179">
        <v>26082000</v>
      </c>
      <c r="N176" s="1206" t="s">
        <v>730</v>
      </c>
      <c r="O176" s="1206" t="s">
        <v>1456</v>
      </c>
      <c r="R176" s="1207"/>
    </row>
    <row r="177" spans="1:18" s="1159" customFormat="1" ht="60" x14ac:dyDescent="0.3">
      <c r="A177" s="1172">
        <v>2022171</v>
      </c>
      <c r="B177" s="1172">
        <v>7655</v>
      </c>
      <c r="C177" s="1172" t="s">
        <v>668</v>
      </c>
      <c r="D177" s="1190" t="s">
        <v>695</v>
      </c>
      <c r="E177" s="1202">
        <v>80111600</v>
      </c>
      <c r="F177" s="1209" t="s">
        <v>874</v>
      </c>
      <c r="G177" s="1204" t="s">
        <v>1414</v>
      </c>
      <c r="H177" s="1204" t="s">
        <v>1414</v>
      </c>
      <c r="I177" s="1204" t="s">
        <v>1458</v>
      </c>
      <c r="J177" s="1195" t="s">
        <v>1455</v>
      </c>
      <c r="K177" s="1176" t="s">
        <v>674</v>
      </c>
      <c r="L177" s="1205" t="s">
        <v>675</v>
      </c>
      <c r="M177" s="1179">
        <v>36225000</v>
      </c>
      <c r="N177" s="1206" t="s">
        <v>730</v>
      </c>
      <c r="O177" s="1206" t="s">
        <v>1456</v>
      </c>
      <c r="R177" s="1207"/>
    </row>
    <row r="178" spans="1:18" s="1159" customFormat="1" ht="60" x14ac:dyDescent="0.3">
      <c r="A178" s="1172">
        <v>2022172</v>
      </c>
      <c r="B178" s="1172">
        <v>7655</v>
      </c>
      <c r="C178" s="1172" t="s">
        <v>668</v>
      </c>
      <c r="D178" s="1190" t="s">
        <v>695</v>
      </c>
      <c r="E178" s="1202">
        <v>80111600</v>
      </c>
      <c r="F178" s="1209" t="s">
        <v>871</v>
      </c>
      <c r="G178" s="1204" t="s">
        <v>1414</v>
      </c>
      <c r="H178" s="1204" t="s">
        <v>1414</v>
      </c>
      <c r="I178" s="1204" t="s">
        <v>1458</v>
      </c>
      <c r="J178" s="1195" t="s">
        <v>1455</v>
      </c>
      <c r="K178" s="1176" t="s">
        <v>674</v>
      </c>
      <c r="L178" s="1205" t="s">
        <v>675</v>
      </c>
      <c r="M178" s="1179">
        <v>36225000</v>
      </c>
      <c r="N178" s="1206" t="s">
        <v>730</v>
      </c>
      <c r="O178" s="1206" t="s">
        <v>1456</v>
      </c>
      <c r="R178" s="1207"/>
    </row>
    <row r="179" spans="1:18" s="1159" customFormat="1" ht="60" x14ac:dyDescent="0.3">
      <c r="A179" s="1172">
        <v>2022173</v>
      </c>
      <c r="B179" s="1172">
        <v>7655</v>
      </c>
      <c r="C179" s="1172" t="s">
        <v>668</v>
      </c>
      <c r="D179" s="1190" t="s">
        <v>695</v>
      </c>
      <c r="E179" s="1202">
        <v>80111600</v>
      </c>
      <c r="F179" s="1209" t="s">
        <v>875</v>
      </c>
      <c r="G179" s="1204" t="s">
        <v>1414</v>
      </c>
      <c r="H179" s="1204" t="s">
        <v>1414</v>
      </c>
      <c r="I179" s="1204" t="s">
        <v>1457</v>
      </c>
      <c r="J179" s="1195" t="s">
        <v>1455</v>
      </c>
      <c r="K179" s="1176" t="s">
        <v>674</v>
      </c>
      <c r="L179" s="1205" t="s">
        <v>675</v>
      </c>
      <c r="M179" s="1179">
        <v>12000000</v>
      </c>
      <c r="N179" s="1206" t="s">
        <v>730</v>
      </c>
      <c r="O179" s="1206" t="s">
        <v>1456</v>
      </c>
      <c r="R179" s="1207"/>
    </row>
    <row r="180" spans="1:18" s="1159" customFormat="1" ht="60" x14ac:dyDescent="0.3">
      <c r="A180" s="1172">
        <v>2022174</v>
      </c>
      <c r="B180" s="1172">
        <v>7655</v>
      </c>
      <c r="C180" s="1172" t="s">
        <v>668</v>
      </c>
      <c r="D180" s="1190" t="s">
        <v>695</v>
      </c>
      <c r="E180" s="1202">
        <v>80111600</v>
      </c>
      <c r="F180" s="1209" t="s">
        <v>876</v>
      </c>
      <c r="G180" s="1204" t="s">
        <v>1414</v>
      </c>
      <c r="H180" s="1204" t="s">
        <v>1429</v>
      </c>
      <c r="I180" s="1204" t="s">
        <v>1371</v>
      </c>
      <c r="J180" s="1195" t="s">
        <v>1455</v>
      </c>
      <c r="K180" s="1176" t="s">
        <v>674</v>
      </c>
      <c r="L180" s="1205" t="s">
        <v>675</v>
      </c>
      <c r="M180" s="1179">
        <v>282051000</v>
      </c>
      <c r="N180" s="1206" t="s">
        <v>730</v>
      </c>
      <c r="O180" s="1206" t="s">
        <v>1456</v>
      </c>
      <c r="R180" s="1207"/>
    </row>
    <row r="181" spans="1:18" s="1159" customFormat="1" ht="60" x14ac:dyDescent="0.3">
      <c r="A181" s="1172">
        <v>2022175</v>
      </c>
      <c r="B181" s="1172">
        <v>7655</v>
      </c>
      <c r="C181" s="1172" t="s">
        <v>668</v>
      </c>
      <c r="D181" s="1190" t="s">
        <v>701</v>
      </c>
      <c r="E181" s="1210">
        <v>80111600</v>
      </c>
      <c r="F181" s="1211" t="s">
        <v>877</v>
      </c>
      <c r="G181" s="1193" t="s">
        <v>1414</v>
      </c>
      <c r="H181" s="1212" t="s">
        <v>1414</v>
      </c>
      <c r="I181" s="1176" t="s">
        <v>1457</v>
      </c>
      <c r="J181" s="1210" t="s">
        <v>1462</v>
      </c>
      <c r="K181" s="1176" t="s">
        <v>674</v>
      </c>
      <c r="L181" s="1213" t="s">
        <v>675</v>
      </c>
      <c r="M181" s="1179">
        <v>1000000000</v>
      </c>
      <c r="N181" s="1214" t="s">
        <v>726</v>
      </c>
      <c r="O181" s="1206" t="s">
        <v>1456</v>
      </c>
      <c r="R181" s="1207"/>
    </row>
    <row r="182" spans="1:18" s="1159" customFormat="1" ht="54.75" customHeight="1" x14ac:dyDescent="0.35">
      <c r="A182" s="1172">
        <v>2022176</v>
      </c>
      <c r="B182" s="1172">
        <v>7655</v>
      </c>
      <c r="C182" s="1172" t="s">
        <v>668</v>
      </c>
      <c r="D182" s="1190" t="s">
        <v>701</v>
      </c>
      <c r="E182" s="1191">
        <v>80111600</v>
      </c>
      <c r="F182" s="1192" t="s">
        <v>878</v>
      </c>
      <c r="G182" s="1193" t="s">
        <v>1414</v>
      </c>
      <c r="H182" s="1212" t="s">
        <v>1414</v>
      </c>
      <c r="I182" s="1215" t="s">
        <v>1463</v>
      </c>
      <c r="J182" s="1195" t="s">
        <v>1455</v>
      </c>
      <c r="K182" s="1176" t="s">
        <v>674</v>
      </c>
      <c r="L182" s="1176" t="s">
        <v>675</v>
      </c>
      <c r="M182" s="1196">
        <f>80500000-42000000</f>
        <v>38500000</v>
      </c>
      <c r="N182" s="1214" t="s">
        <v>726</v>
      </c>
      <c r="O182" s="1206" t="s">
        <v>1456</v>
      </c>
    </row>
    <row r="183" spans="1:18" s="1159" customFormat="1" ht="60" x14ac:dyDescent="0.35">
      <c r="A183" s="1172">
        <v>2022177</v>
      </c>
      <c r="B183" s="1172">
        <v>7655</v>
      </c>
      <c r="C183" s="1172" t="s">
        <v>668</v>
      </c>
      <c r="D183" s="1190" t="s">
        <v>698</v>
      </c>
      <c r="E183" s="1172">
        <v>80111600</v>
      </c>
      <c r="F183" s="1216" t="s">
        <v>879</v>
      </c>
      <c r="G183" s="1204" t="s">
        <v>1414</v>
      </c>
      <c r="H183" s="1217" t="s">
        <v>1424</v>
      </c>
      <c r="I183" s="1204" t="s">
        <v>1417</v>
      </c>
      <c r="J183" s="1195" t="s">
        <v>1455</v>
      </c>
      <c r="K183" s="1176" t="s">
        <v>674</v>
      </c>
      <c r="L183" s="1218" t="s">
        <v>675</v>
      </c>
      <c r="M183" s="1179">
        <v>80000000</v>
      </c>
      <c r="N183" s="1206" t="s">
        <v>730</v>
      </c>
      <c r="O183" s="1206" t="s">
        <v>1456</v>
      </c>
    </row>
    <row r="184" spans="1:18" s="1159" customFormat="1" ht="60" x14ac:dyDescent="0.35">
      <c r="A184" s="1172">
        <v>2022178</v>
      </c>
      <c r="B184" s="1172">
        <v>7655</v>
      </c>
      <c r="C184" s="1172" t="s">
        <v>668</v>
      </c>
      <c r="D184" s="1190" t="s">
        <v>692</v>
      </c>
      <c r="E184" s="1172">
        <v>80111600</v>
      </c>
      <c r="F184" s="1216" t="s">
        <v>880</v>
      </c>
      <c r="G184" s="1204" t="s">
        <v>1414</v>
      </c>
      <c r="H184" s="1217" t="s">
        <v>1424</v>
      </c>
      <c r="I184" s="1204" t="s">
        <v>1459</v>
      </c>
      <c r="J184" s="1195" t="s">
        <v>1455</v>
      </c>
      <c r="K184" s="1176" t="s">
        <v>674</v>
      </c>
      <c r="L184" s="1218" t="s">
        <v>675</v>
      </c>
      <c r="M184" s="1179">
        <v>80000000</v>
      </c>
      <c r="N184" s="1206" t="s">
        <v>730</v>
      </c>
      <c r="O184" s="1206" t="s">
        <v>1456</v>
      </c>
    </row>
    <row r="185" spans="1:18" s="1159" customFormat="1" ht="60" x14ac:dyDescent="0.35">
      <c r="A185" s="1172">
        <v>2022179</v>
      </c>
      <c r="B185" s="1172">
        <v>7655</v>
      </c>
      <c r="C185" s="1172" t="s">
        <v>668</v>
      </c>
      <c r="D185" s="1190" t="s">
        <v>686</v>
      </c>
      <c r="E185" s="1210">
        <v>80111600</v>
      </c>
      <c r="F185" s="1216" t="s">
        <v>881</v>
      </c>
      <c r="G185" s="1204" t="s">
        <v>1414</v>
      </c>
      <c r="H185" s="1204" t="s">
        <v>1414</v>
      </c>
      <c r="I185" s="1204" t="s">
        <v>1460</v>
      </c>
      <c r="J185" s="1195" t="s">
        <v>1455</v>
      </c>
      <c r="K185" s="1176" t="s">
        <v>674</v>
      </c>
      <c r="L185" s="1218" t="s">
        <v>675</v>
      </c>
      <c r="M185" s="1179">
        <v>39371000</v>
      </c>
      <c r="N185" s="1197" t="s">
        <v>730</v>
      </c>
      <c r="O185" s="1206" t="s">
        <v>1456</v>
      </c>
    </row>
    <row r="186" spans="1:18" s="1159" customFormat="1" ht="60" x14ac:dyDescent="0.35">
      <c r="A186" s="1172">
        <v>2022180</v>
      </c>
      <c r="B186" s="1172">
        <v>7655</v>
      </c>
      <c r="C186" s="1172" t="s">
        <v>668</v>
      </c>
      <c r="D186" s="1190" t="s">
        <v>686</v>
      </c>
      <c r="E186" s="1210">
        <v>80111600</v>
      </c>
      <c r="F186" s="1216" t="s">
        <v>882</v>
      </c>
      <c r="G186" s="1204" t="s">
        <v>1414</v>
      </c>
      <c r="H186" s="1204" t="s">
        <v>1414</v>
      </c>
      <c r="I186" s="1204" t="s">
        <v>1460</v>
      </c>
      <c r="J186" s="1195" t="s">
        <v>1455</v>
      </c>
      <c r="K186" s="1176" t="s">
        <v>674</v>
      </c>
      <c r="L186" s="1218" t="s">
        <v>675</v>
      </c>
      <c r="M186" s="1179">
        <v>45697000</v>
      </c>
      <c r="N186" s="1197" t="s">
        <v>730</v>
      </c>
      <c r="O186" s="1206" t="s">
        <v>1456</v>
      </c>
    </row>
    <row r="187" spans="1:18" s="1159" customFormat="1" ht="60" x14ac:dyDescent="0.35">
      <c r="A187" s="1172">
        <v>2022181</v>
      </c>
      <c r="B187" s="1172">
        <v>7655</v>
      </c>
      <c r="C187" s="1172" t="s">
        <v>668</v>
      </c>
      <c r="D187" s="1190" t="s">
        <v>686</v>
      </c>
      <c r="E187" s="1210">
        <v>80111600</v>
      </c>
      <c r="F187" s="1216" t="s">
        <v>882</v>
      </c>
      <c r="G187" s="1204" t="s">
        <v>1414</v>
      </c>
      <c r="H187" s="1204" t="s">
        <v>1414</v>
      </c>
      <c r="I187" s="1204" t="s">
        <v>1460</v>
      </c>
      <c r="J187" s="1195" t="s">
        <v>1455</v>
      </c>
      <c r="K187" s="1176" t="s">
        <v>674</v>
      </c>
      <c r="L187" s="1218" t="s">
        <v>675</v>
      </c>
      <c r="M187" s="1179">
        <v>79351000</v>
      </c>
      <c r="N187" s="1197" t="s">
        <v>730</v>
      </c>
      <c r="O187" s="1206" t="s">
        <v>1456</v>
      </c>
    </row>
    <row r="188" spans="1:18" s="1159" customFormat="1" ht="60" x14ac:dyDescent="0.35">
      <c r="A188" s="1172">
        <v>2022182</v>
      </c>
      <c r="B188" s="1172">
        <v>7655</v>
      </c>
      <c r="C188" s="1172" t="s">
        <v>668</v>
      </c>
      <c r="D188" s="1190" t="s">
        <v>686</v>
      </c>
      <c r="E188" s="1210">
        <v>80111600</v>
      </c>
      <c r="F188" s="1216" t="s">
        <v>882</v>
      </c>
      <c r="G188" s="1204" t="s">
        <v>1414</v>
      </c>
      <c r="H188" s="1204" t="s">
        <v>1414</v>
      </c>
      <c r="I188" s="1204" t="s">
        <v>1460</v>
      </c>
      <c r="J188" s="1195" t="s">
        <v>1455</v>
      </c>
      <c r="K188" s="1176" t="s">
        <v>674</v>
      </c>
      <c r="L188" s="1218" t="s">
        <v>675</v>
      </c>
      <c r="M188" s="1179">
        <v>79351000</v>
      </c>
      <c r="N188" s="1197" t="s">
        <v>730</v>
      </c>
      <c r="O188" s="1206" t="s">
        <v>1456</v>
      </c>
    </row>
    <row r="189" spans="1:18" s="1159" customFormat="1" ht="60" x14ac:dyDescent="0.35">
      <c r="A189" s="1172">
        <v>2022183</v>
      </c>
      <c r="B189" s="1172">
        <v>7655</v>
      </c>
      <c r="C189" s="1172" t="s">
        <v>668</v>
      </c>
      <c r="D189" s="1190" t="s">
        <v>686</v>
      </c>
      <c r="E189" s="1210">
        <v>80111600</v>
      </c>
      <c r="F189" s="1216" t="s">
        <v>882</v>
      </c>
      <c r="G189" s="1204" t="s">
        <v>1414</v>
      </c>
      <c r="H189" s="1204" t="s">
        <v>1414</v>
      </c>
      <c r="I189" s="1204" t="s">
        <v>1460</v>
      </c>
      <c r="J189" s="1195" t="s">
        <v>1455</v>
      </c>
      <c r="K189" s="1176" t="s">
        <v>674</v>
      </c>
      <c r="L189" s="1218" t="s">
        <v>675</v>
      </c>
      <c r="M189" s="1179">
        <v>79351000</v>
      </c>
      <c r="N189" s="1197" t="s">
        <v>730</v>
      </c>
      <c r="O189" s="1206" t="s">
        <v>1456</v>
      </c>
    </row>
    <row r="190" spans="1:18" s="1159" customFormat="1" ht="60" x14ac:dyDescent="0.35">
      <c r="A190" s="1172">
        <v>2022184</v>
      </c>
      <c r="B190" s="1172">
        <v>7655</v>
      </c>
      <c r="C190" s="1172" t="s">
        <v>668</v>
      </c>
      <c r="D190" s="1190" t="s">
        <v>682</v>
      </c>
      <c r="E190" s="1191">
        <v>80111600</v>
      </c>
      <c r="F190" s="1198" t="s">
        <v>883</v>
      </c>
      <c r="G190" s="1193">
        <v>44566</v>
      </c>
      <c r="H190" s="1193">
        <v>44568</v>
      </c>
      <c r="I190" s="1204" t="s">
        <v>1464</v>
      </c>
      <c r="J190" s="1195" t="s">
        <v>1455</v>
      </c>
      <c r="K190" s="1176" t="s">
        <v>674</v>
      </c>
      <c r="L190" s="1178" t="s">
        <v>782</v>
      </c>
      <c r="M190" s="1196">
        <v>106950000</v>
      </c>
      <c r="N190" s="1197" t="s">
        <v>730</v>
      </c>
      <c r="O190" s="1206" t="s">
        <v>1456</v>
      </c>
    </row>
    <row r="191" spans="1:18" s="1159" customFormat="1" ht="60" x14ac:dyDescent="0.35">
      <c r="A191" s="1172">
        <v>2022185</v>
      </c>
      <c r="B191" s="1172">
        <v>7655</v>
      </c>
      <c r="C191" s="1172" t="s">
        <v>668</v>
      </c>
      <c r="D191" s="1190" t="s">
        <v>682</v>
      </c>
      <c r="E191" s="1191">
        <v>80111600</v>
      </c>
      <c r="F191" s="1198" t="s">
        <v>884</v>
      </c>
      <c r="G191" s="1193">
        <v>44566</v>
      </c>
      <c r="H191" s="1193">
        <v>44568</v>
      </c>
      <c r="I191" s="1204" t="s">
        <v>1464</v>
      </c>
      <c r="J191" s="1195" t="s">
        <v>1455</v>
      </c>
      <c r="K191" s="1176" t="s">
        <v>674</v>
      </c>
      <c r="L191" s="1178" t="s">
        <v>782</v>
      </c>
      <c r="M191" s="1196">
        <v>78200000</v>
      </c>
      <c r="N191" s="1197" t="s">
        <v>730</v>
      </c>
      <c r="O191" s="1206" t="s">
        <v>1456</v>
      </c>
    </row>
    <row r="192" spans="1:18" s="1159" customFormat="1" ht="60" x14ac:dyDescent="0.35">
      <c r="A192" s="1172">
        <v>2022186</v>
      </c>
      <c r="B192" s="1172">
        <v>7655</v>
      </c>
      <c r="C192" s="1172" t="s">
        <v>668</v>
      </c>
      <c r="D192" s="1190" t="s">
        <v>682</v>
      </c>
      <c r="E192" s="1191">
        <v>80111600</v>
      </c>
      <c r="F192" s="1198" t="s">
        <v>885</v>
      </c>
      <c r="G192" s="1193">
        <v>44566</v>
      </c>
      <c r="H192" s="1193">
        <v>44568</v>
      </c>
      <c r="I192" s="1204" t="s">
        <v>1464</v>
      </c>
      <c r="J192" s="1195" t="s">
        <v>1455</v>
      </c>
      <c r="K192" s="1176" t="s">
        <v>674</v>
      </c>
      <c r="L192" s="1178" t="s">
        <v>782</v>
      </c>
      <c r="M192" s="1196">
        <v>92000000</v>
      </c>
      <c r="N192" s="1197" t="s">
        <v>730</v>
      </c>
      <c r="O192" s="1206" t="s">
        <v>1456</v>
      </c>
    </row>
    <row r="193" spans="1:15" s="1159" customFormat="1" ht="60" x14ac:dyDescent="0.35">
      <c r="A193" s="1172">
        <v>2022187</v>
      </c>
      <c r="B193" s="1172">
        <v>7655</v>
      </c>
      <c r="C193" s="1172" t="s">
        <v>668</v>
      </c>
      <c r="D193" s="1190" t="s">
        <v>682</v>
      </c>
      <c r="E193" s="1191">
        <v>80111600</v>
      </c>
      <c r="F193" s="1198" t="s">
        <v>886</v>
      </c>
      <c r="G193" s="1193">
        <v>44566</v>
      </c>
      <c r="H193" s="1193">
        <v>44568</v>
      </c>
      <c r="I193" s="1204" t="s">
        <v>1464</v>
      </c>
      <c r="J193" s="1195" t="s">
        <v>1455</v>
      </c>
      <c r="K193" s="1176" t="s">
        <v>674</v>
      </c>
      <c r="L193" s="1178" t="s">
        <v>675</v>
      </c>
      <c r="M193" s="1196">
        <v>80500000</v>
      </c>
      <c r="N193" s="1197" t="s">
        <v>730</v>
      </c>
      <c r="O193" s="1206" t="s">
        <v>1456</v>
      </c>
    </row>
    <row r="194" spans="1:15" s="1159" customFormat="1" ht="60" x14ac:dyDescent="0.35">
      <c r="A194" s="1172">
        <v>2022188</v>
      </c>
      <c r="B194" s="1172">
        <v>7655</v>
      </c>
      <c r="C194" s="1172" t="s">
        <v>668</v>
      </c>
      <c r="D194" s="1190" t="s">
        <v>682</v>
      </c>
      <c r="E194" s="1191">
        <v>80111600</v>
      </c>
      <c r="F194" s="1198" t="s">
        <v>887</v>
      </c>
      <c r="G194" s="1193">
        <v>44566</v>
      </c>
      <c r="H194" s="1193">
        <v>44568</v>
      </c>
      <c r="I194" s="1204" t="s">
        <v>1464</v>
      </c>
      <c r="J194" s="1195" t="s">
        <v>1455</v>
      </c>
      <c r="K194" s="1176" t="s">
        <v>674</v>
      </c>
      <c r="L194" s="1178" t="s">
        <v>782</v>
      </c>
      <c r="M194" s="1196">
        <v>87975000</v>
      </c>
      <c r="N194" s="1197" t="s">
        <v>730</v>
      </c>
      <c r="O194" s="1206" t="s">
        <v>1456</v>
      </c>
    </row>
    <row r="195" spans="1:15" s="1159" customFormat="1" ht="60" x14ac:dyDescent="0.35">
      <c r="A195" s="1172">
        <v>2022189</v>
      </c>
      <c r="B195" s="1172">
        <v>7655</v>
      </c>
      <c r="C195" s="1172" t="s">
        <v>668</v>
      </c>
      <c r="D195" s="1190" t="s">
        <v>682</v>
      </c>
      <c r="E195" s="1191">
        <v>80111600</v>
      </c>
      <c r="F195" s="1198" t="s">
        <v>887</v>
      </c>
      <c r="G195" s="1193">
        <v>44566</v>
      </c>
      <c r="H195" s="1193">
        <v>44568</v>
      </c>
      <c r="I195" s="1204" t="s">
        <v>1464</v>
      </c>
      <c r="J195" s="1195" t="s">
        <v>1455</v>
      </c>
      <c r="K195" s="1176" t="s">
        <v>674</v>
      </c>
      <c r="L195" s="1178" t="s">
        <v>782</v>
      </c>
      <c r="M195" s="1196">
        <v>87975000</v>
      </c>
      <c r="N195" s="1197" t="s">
        <v>730</v>
      </c>
      <c r="O195" s="1206" t="s">
        <v>1456</v>
      </c>
    </row>
    <row r="196" spans="1:15" s="1159" customFormat="1" ht="60" x14ac:dyDescent="0.35">
      <c r="A196" s="1172">
        <v>2022190</v>
      </c>
      <c r="B196" s="1172">
        <v>7655</v>
      </c>
      <c r="C196" s="1172" t="s">
        <v>668</v>
      </c>
      <c r="D196" s="1190" t="s">
        <v>682</v>
      </c>
      <c r="E196" s="1191">
        <v>80111600</v>
      </c>
      <c r="F196" s="1198" t="s">
        <v>887</v>
      </c>
      <c r="G196" s="1193">
        <v>44566</v>
      </c>
      <c r="H196" s="1193">
        <v>44568</v>
      </c>
      <c r="I196" s="1204" t="s">
        <v>1464</v>
      </c>
      <c r="J196" s="1195" t="s">
        <v>1455</v>
      </c>
      <c r="K196" s="1176" t="s">
        <v>674</v>
      </c>
      <c r="L196" s="1178" t="s">
        <v>782</v>
      </c>
      <c r="M196" s="1196">
        <v>87975000</v>
      </c>
      <c r="N196" s="1197" t="s">
        <v>730</v>
      </c>
      <c r="O196" s="1206" t="s">
        <v>1456</v>
      </c>
    </row>
    <row r="197" spans="1:15" s="1159" customFormat="1" ht="60" x14ac:dyDescent="0.35">
      <c r="A197" s="1172">
        <v>2022191</v>
      </c>
      <c r="B197" s="1172">
        <v>7655</v>
      </c>
      <c r="C197" s="1172" t="s">
        <v>668</v>
      </c>
      <c r="D197" s="1190" t="s">
        <v>682</v>
      </c>
      <c r="E197" s="1191">
        <v>80111600</v>
      </c>
      <c r="F197" s="1198" t="s">
        <v>887</v>
      </c>
      <c r="G197" s="1193">
        <v>44566</v>
      </c>
      <c r="H197" s="1193">
        <v>44568</v>
      </c>
      <c r="I197" s="1204" t="s">
        <v>1464</v>
      </c>
      <c r="J197" s="1195" t="s">
        <v>1455</v>
      </c>
      <c r="K197" s="1176" t="s">
        <v>674</v>
      </c>
      <c r="L197" s="1178" t="s">
        <v>782</v>
      </c>
      <c r="M197" s="1196">
        <v>87975000</v>
      </c>
      <c r="N197" s="1197" t="s">
        <v>730</v>
      </c>
      <c r="O197" s="1206" t="s">
        <v>1456</v>
      </c>
    </row>
    <row r="198" spans="1:15" s="1159" customFormat="1" ht="60" x14ac:dyDescent="0.35">
      <c r="A198" s="1172">
        <v>2022192</v>
      </c>
      <c r="B198" s="1172">
        <v>7655</v>
      </c>
      <c r="C198" s="1172" t="s">
        <v>668</v>
      </c>
      <c r="D198" s="1190" t="s">
        <v>682</v>
      </c>
      <c r="E198" s="1191">
        <v>80111600</v>
      </c>
      <c r="F198" s="1198" t="s">
        <v>887</v>
      </c>
      <c r="G198" s="1193">
        <v>44566</v>
      </c>
      <c r="H198" s="1193">
        <v>44568</v>
      </c>
      <c r="I198" s="1204" t="s">
        <v>1464</v>
      </c>
      <c r="J198" s="1195" t="s">
        <v>1455</v>
      </c>
      <c r="K198" s="1176" t="s">
        <v>674</v>
      </c>
      <c r="L198" s="1178" t="s">
        <v>782</v>
      </c>
      <c r="M198" s="1196">
        <v>87975000</v>
      </c>
      <c r="N198" s="1197" t="s">
        <v>730</v>
      </c>
      <c r="O198" s="1206" t="s">
        <v>1456</v>
      </c>
    </row>
    <row r="199" spans="1:15" s="1159" customFormat="1" ht="60" x14ac:dyDescent="0.35">
      <c r="A199" s="1172">
        <v>2022193</v>
      </c>
      <c r="B199" s="1172">
        <v>7655</v>
      </c>
      <c r="C199" s="1172" t="s">
        <v>668</v>
      </c>
      <c r="D199" s="1190" t="s">
        <v>682</v>
      </c>
      <c r="E199" s="1191">
        <v>80111600</v>
      </c>
      <c r="F199" s="1198" t="s">
        <v>887</v>
      </c>
      <c r="G199" s="1193">
        <v>44566</v>
      </c>
      <c r="H199" s="1193">
        <v>44568</v>
      </c>
      <c r="I199" s="1204" t="s">
        <v>1464</v>
      </c>
      <c r="J199" s="1195" t="s">
        <v>1455</v>
      </c>
      <c r="K199" s="1176" t="s">
        <v>674</v>
      </c>
      <c r="L199" s="1178" t="s">
        <v>782</v>
      </c>
      <c r="M199" s="1196">
        <v>87975000</v>
      </c>
      <c r="N199" s="1197" t="s">
        <v>730</v>
      </c>
      <c r="O199" s="1206" t="s">
        <v>1456</v>
      </c>
    </row>
    <row r="200" spans="1:15" s="1159" customFormat="1" ht="60" x14ac:dyDescent="0.35">
      <c r="A200" s="1172">
        <v>2022194</v>
      </c>
      <c r="B200" s="1172">
        <v>7655</v>
      </c>
      <c r="C200" s="1172" t="s">
        <v>668</v>
      </c>
      <c r="D200" s="1190" t="s">
        <v>682</v>
      </c>
      <c r="E200" s="1191">
        <v>80111600</v>
      </c>
      <c r="F200" s="1198" t="s">
        <v>888</v>
      </c>
      <c r="G200" s="1193">
        <v>44566</v>
      </c>
      <c r="H200" s="1193">
        <v>44568</v>
      </c>
      <c r="I200" s="1204" t="s">
        <v>1464</v>
      </c>
      <c r="J200" s="1195" t="s">
        <v>1455</v>
      </c>
      <c r="K200" s="1176" t="s">
        <v>674</v>
      </c>
      <c r="L200" s="1178" t="s">
        <v>782</v>
      </c>
      <c r="M200" s="1196">
        <v>42642000</v>
      </c>
      <c r="N200" s="1197" t="s">
        <v>730</v>
      </c>
      <c r="O200" s="1206" t="s">
        <v>1456</v>
      </c>
    </row>
    <row r="201" spans="1:15" s="1159" customFormat="1" ht="60" x14ac:dyDescent="0.35">
      <c r="A201" s="1172">
        <v>2022195</v>
      </c>
      <c r="B201" s="1172">
        <v>7655</v>
      </c>
      <c r="C201" s="1172" t="s">
        <v>668</v>
      </c>
      <c r="D201" s="1190" t="s">
        <v>682</v>
      </c>
      <c r="E201" s="1191">
        <v>80111600</v>
      </c>
      <c r="F201" s="1198" t="s">
        <v>888</v>
      </c>
      <c r="G201" s="1193">
        <v>44566</v>
      </c>
      <c r="H201" s="1193">
        <v>44568</v>
      </c>
      <c r="I201" s="1204" t="s">
        <v>1464</v>
      </c>
      <c r="J201" s="1195" t="s">
        <v>1455</v>
      </c>
      <c r="K201" s="1176" t="s">
        <v>674</v>
      </c>
      <c r="L201" s="1178" t="s">
        <v>782</v>
      </c>
      <c r="M201" s="1196">
        <v>42642000</v>
      </c>
      <c r="N201" s="1197" t="s">
        <v>730</v>
      </c>
      <c r="O201" s="1206" t="s">
        <v>1456</v>
      </c>
    </row>
    <row r="202" spans="1:15" s="1159" customFormat="1" ht="60" x14ac:dyDescent="0.35">
      <c r="A202" s="1172">
        <v>2022196</v>
      </c>
      <c r="B202" s="1172">
        <v>7655</v>
      </c>
      <c r="C202" s="1172" t="s">
        <v>668</v>
      </c>
      <c r="D202" s="1190" t="s">
        <v>682</v>
      </c>
      <c r="E202" s="1191">
        <v>80111600</v>
      </c>
      <c r="F202" s="1198" t="s">
        <v>887</v>
      </c>
      <c r="G202" s="1193">
        <v>44566</v>
      </c>
      <c r="H202" s="1193">
        <v>44568</v>
      </c>
      <c r="I202" s="1204" t="s">
        <v>1465</v>
      </c>
      <c r="J202" s="1195" t="s">
        <v>1455</v>
      </c>
      <c r="K202" s="1176" t="s">
        <v>674</v>
      </c>
      <c r="L202" s="1178" t="s">
        <v>782</v>
      </c>
      <c r="M202" s="1196">
        <v>71103000</v>
      </c>
      <c r="N202" s="1197" t="s">
        <v>730</v>
      </c>
      <c r="O202" s="1206" t="s">
        <v>1456</v>
      </c>
    </row>
    <row r="203" spans="1:15" s="1159" customFormat="1" ht="60" x14ac:dyDescent="0.35">
      <c r="A203" s="1172">
        <v>2022197</v>
      </c>
      <c r="B203" s="1172">
        <v>7655</v>
      </c>
      <c r="C203" s="1172" t="s">
        <v>668</v>
      </c>
      <c r="D203" s="1190" t="s">
        <v>682</v>
      </c>
      <c r="E203" s="1191">
        <v>80111600</v>
      </c>
      <c r="F203" s="1198" t="s">
        <v>889</v>
      </c>
      <c r="G203" s="1193">
        <v>44566</v>
      </c>
      <c r="H203" s="1193">
        <v>44568</v>
      </c>
      <c r="I203" s="1204" t="s">
        <v>1464</v>
      </c>
      <c r="J203" s="1195" t="s">
        <v>1455</v>
      </c>
      <c r="K203" s="1176" t="s">
        <v>674</v>
      </c>
      <c r="L203" s="1178" t="s">
        <v>782</v>
      </c>
      <c r="M203" s="1196">
        <v>61295000</v>
      </c>
      <c r="N203" s="1197" t="s">
        <v>730</v>
      </c>
      <c r="O203" s="1206" t="s">
        <v>1456</v>
      </c>
    </row>
    <row r="204" spans="1:15" s="1159" customFormat="1" ht="60" x14ac:dyDescent="0.35">
      <c r="A204" s="1172">
        <v>2022198</v>
      </c>
      <c r="B204" s="1172">
        <v>7655</v>
      </c>
      <c r="C204" s="1172" t="s">
        <v>668</v>
      </c>
      <c r="D204" s="1190" t="s">
        <v>682</v>
      </c>
      <c r="E204" s="1191">
        <v>80111600</v>
      </c>
      <c r="F204" s="1198" t="s">
        <v>890</v>
      </c>
      <c r="G204" s="1193">
        <v>44566</v>
      </c>
      <c r="H204" s="1193">
        <v>44568</v>
      </c>
      <c r="I204" s="1204" t="s">
        <v>1464</v>
      </c>
      <c r="J204" s="1195" t="s">
        <v>1455</v>
      </c>
      <c r="K204" s="1176" t="s">
        <v>674</v>
      </c>
      <c r="L204" s="1178" t="s">
        <v>782</v>
      </c>
      <c r="M204" s="1196">
        <v>358041000</v>
      </c>
      <c r="N204" s="1197" t="s">
        <v>730</v>
      </c>
      <c r="O204" s="1206" t="s">
        <v>1456</v>
      </c>
    </row>
    <row r="205" spans="1:15" s="1159" customFormat="1" ht="60" x14ac:dyDescent="0.35">
      <c r="A205" s="1172">
        <v>2022199</v>
      </c>
      <c r="B205" s="1172">
        <v>7655</v>
      </c>
      <c r="C205" s="1172" t="s">
        <v>668</v>
      </c>
      <c r="D205" s="1190" t="s">
        <v>682</v>
      </c>
      <c r="E205" s="1191">
        <v>80111600</v>
      </c>
      <c r="F205" s="1198" t="s">
        <v>891</v>
      </c>
      <c r="G205" s="1193">
        <v>44566</v>
      </c>
      <c r="H205" s="1193">
        <v>44568</v>
      </c>
      <c r="I205" s="1204" t="s">
        <v>1464</v>
      </c>
      <c r="J205" s="1195" t="s">
        <v>1455</v>
      </c>
      <c r="K205" s="1176" t="s">
        <v>674</v>
      </c>
      <c r="L205" s="1178" t="s">
        <v>675</v>
      </c>
      <c r="M205" s="1196">
        <v>38525000</v>
      </c>
      <c r="N205" s="1197" t="s">
        <v>730</v>
      </c>
      <c r="O205" s="1206" t="s">
        <v>1456</v>
      </c>
    </row>
    <row r="206" spans="1:15" s="1159" customFormat="1" ht="60" x14ac:dyDescent="0.35">
      <c r="A206" s="1172">
        <v>2022200</v>
      </c>
      <c r="B206" s="1172">
        <v>7655</v>
      </c>
      <c r="C206" s="1172" t="s">
        <v>668</v>
      </c>
      <c r="D206" s="1190" t="s">
        <v>682</v>
      </c>
      <c r="E206" s="1191">
        <v>80111600</v>
      </c>
      <c r="F206" s="1198" t="s">
        <v>892</v>
      </c>
      <c r="G206" s="1193">
        <v>44566</v>
      </c>
      <c r="H206" s="1193">
        <v>44568</v>
      </c>
      <c r="I206" s="1204" t="s">
        <v>1464</v>
      </c>
      <c r="J206" s="1195" t="s">
        <v>1455</v>
      </c>
      <c r="K206" s="1176" t="s">
        <v>674</v>
      </c>
      <c r="L206" s="1178" t="s">
        <v>675</v>
      </c>
      <c r="M206" s="1196">
        <v>32200000</v>
      </c>
      <c r="N206" s="1197" t="s">
        <v>730</v>
      </c>
      <c r="O206" s="1206" t="s">
        <v>1456</v>
      </c>
    </row>
    <row r="207" spans="1:15" s="1159" customFormat="1" ht="60" x14ac:dyDescent="0.35">
      <c r="A207" s="1172">
        <v>2022201</v>
      </c>
      <c r="B207" s="1172">
        <v>7655</v>
      </c>
      <c r="C207" s="1172" t="s">
        <v>668</v>
      </c>
      <c r="D207" s="1190" t="s">
        <v>682</v>
      </c>
      <c r="E207" s="1191">
        <v>80111600</v>
      </c>
      <c r="F207" s="1198" t="s">
        <v>892</v>
      </c>
      <c r="G207" s="1193">
        <v>44566</v>
      </c>
      <c r="H207" s="1193">
        <v>44568</v>
      </c>
      <c r="I207" s="1204" t="s">
        <v>1464</v>
      </c>
      <c r="J207" s="1195" t="s">
        <v>1455</v>
      </c>
      <c r="K207" s="1176" t="s">
        <v>674</v>
      </c>
      <c r="L207" s="1178" t="s">
        <v>675</v>
      </c>
      <c r="M207" s="1196">
        <v>32200000</v>
      </c>
      <c r="N207" s="1197" t="s">
        <v>730</v>
      </c>
      <c r="O207" s="1206" t="s">
        <v>1456</v>
      </c>
    </row>
    <row r="208" spans="1:15" s="1159" customFormat="1" ht="60" x14ac:dyDescent="0.35">
      <c r="A208" s="1172">
        <v>2022202</v>
      </c>
      <c r="B208" s="1172">
        <v>7655</v>
      </c>
      <c r="C208" s="1172" t="s">
        <v>668</v>
      </c>
      <c r="D208" s="1190" t="s">
        <v>682</v>
      </c>
      <c r="E208" s="1191">
        <v>80111600</v>
      </c>
      <c r="F208" s="1198" t="s">
        <v>892</v>
      </c>
      <c r="G208" s="1193">
        <v>44566</v>
      </c>
      <c r="H208" s="1193">
        <v>44568</v>
      </c>
      <c r="I208" s="1204" t="s">
        <v>1464</v>
      </c>
      <c r="J208" s="1195" t="s">
        <v>1455</v>
      </c>
      <c r="K208" s="1176" t="s">
        <v>674</v>
      </c>
      <c r="L208" s="1178" t="s">
        <v>675</v>
      </c>
      <c r="M208" s="1196">
        <v>32200000</v>
      </c>
      <c r="N208" s="1197" t="s">
        <v>730</v>
      </c>
      <c r="O208" s="1206" t="s">
        <v>1456</v>
      </c>
    </row>
    <row r="209" spans="1:17" s="1159" customFormat="1" ht="60" x14ac:dyDescent="0.35">
      <c r="A209" s="1172">
        <v>2022203</v>
      </c>
      <c r="B209" s="1172">
        <v>7655</v>
      </c>
      <c r="C209" s="1172" t="s">
        <v>668</v>
      </c>
      <c r="D209" s="1190" t="s">
        <v>682</v>
      </c>
      <c r="E209" s="1191">
        <v>80111600</v>
      </c>
      <c r="F209" s="1198" t="s">
        <v>892</v>
      </c>
      <c r="G209" s="1193">
        <v>44566</v>
      </c>
      <c r="H209" s="1193">
        <v>44568</v>
      </c>
      <c r="I209" s="1204" t="s">
        <v>1464</v>
      </c>
      <c r="J209" s="1195" t="s">
        <v>1455</v>
      </c>
      <c r="K209" s="1176" t="s">
        <v>674</v>
      </c>
      <c r="L209" s="1178" t="s">
        <v>675</v>
      </c>
      <c r="M209" s="1196">
        <v>37950000</v>
      </c>
      <c r="N209" s="1197" t="s">
        <v>730</v>
      </c>
      <c r="O209" s="1206" t="s">
        <v>1456</v>
      </c>
    </row>
    <row r="210" spans="1:17" s="1159" customFormat="1" ht="60" x14ac:dyDescent="0.35">
      <c r="A210" s="1172">
        <v>2022204</v>
      </c>
      <c r="B210" s="1172">
        <v>7655</v>
      </c>
      <c r="C210" s="1172" t="s">
        <v>668</v>
      </c>
      <c r="D210" s="1190" t="s">
        <v>682</v>
      </c>
      <c r="E210" s="1191">
        <v>80111600</v>
      </c>
      <c r="F210" s="1198" t="s">
        <v>893</v>
      </c>
      <c r="G210" s="1193">
        <v>44566</v>
      </c>
      <c r="H210" s="1193">
        <v>44568</v>
      </c>
      <c r="I210" s="1204" t="s">
        <v>1464</v>
      </c>
      <c r="J210" s="1195" t="s">
        <v>1455</v>
      </c>
      <c r="K210" s="1176" t="s">
        <v>674</v>
      </c>
      <c r="L210" s="1178" t="s">
        <v>675</v>
      </c>
      <c r="M210" s="1196">
        <v>52900000</v>
      </c>
      <c r="N210" s="1197" t="s">
        <v>730</v>
      </c>
      <c r="O210" s="1206" t="s">
        <v>1456</v>
      </c>
    </row>
    <row r="211" spans="1:17" s="1159" customFormat="1" ht="60" x14ac:dyDescent="0.35">
      <c r="A211" s="1172">
        <v>2022205</v>
      </c>
      <c r="B211" s="1172">
        <v>7655</v>
      </c>
      <c r="C211" s="1172" t="s">
        <v>668</v>
      </c>
      <c r="D211" s="1190" t="s">
        <v>682</v>
      </c>
      <c r="E211" s="1191">
        <v>80111600</v>
      </c>
      <c r="F211" s="1198" t="s">
        <v>894</v>
      </c>
      <c r="G211" s="1193">
        <v>44566</v>
      </c>
      <c r="H211" s="1193">
        <v>44568</v>
      </c>
      <c r="I211" s="1204" t="s">
        <v>1457</v>
      </c>
      <c r="J211" s="1195" t="s">
        <v>1455</v>
      </c>
      <c r="K211" s="1176" t="s">
        <v>674</v>
      </c>
      <c r="L211" s="1178" t="s">
        <v>675</v>
      </c>
      <c r="M211" s="1196">
        <v>37080000</v>
      </c>
      <c r="N211" s="1197" t="s">
        <v>730</v>
      </c>
      <c r="O211" s="1206" t="s">
        <v>1456</v>
      </c>
    </row>
    <row r="212" spans="1:17" s="1159" customFormat="1" ht="60" x14ac:dyDescent="0.35">
      <c r="A212" s="1172">
        <v>2022206</v>
      </c>
      <c r="B212" s="1172">
        <v>7655</v>
      </c>
      <c r="C212" s="1172" t="s">
        <v>668</v>
      </c>
      <c r="D212" s="1190" t="s">
        <v>682</v>
      </c>
      <c r="E212" s="1172">
        <v>80111600</v>
      </c>
      <c r="F212" s="1192" t="s">
        <v>895</v>
      </c>
      <c r="G212" s="1193">
        <v>44566</v>
      </c>
      <c r="H212" s="1193">
        <v>44568</v>
      </c>
      <c r="I212" s="1204" t="s">
        <v>1457</v>
      </c>
      <c r="J212" s="1195" t="s">
        <v>1455</v>
      </c>
      <c r="K212" s="1176" t="s">
        <v>674</v>
      </c>
      <c r="L212" s="1178" t="s">
        <v>675</v>
      </c>
      <c r="M212" s="1179">
        <v>16800000</v>
      </c>
      <c r="N212" s="1197" t="s">
        <v>730</v>
      </c>
      <c r="O212" s="1206" t="s">
        <v>1456</v>
      </c>
    </row>
    <row r="213" spans="1:17" s="1159" customFormat="1" ht="60" x14ac:dyDescent="0.35">
      <c r="A213" s="1172">
        <v>2022207</v>
      </c>
      <c r="B213" s="1172">
        <v>7655</v>
      </c>
      <c r="C213" s="1172" t="s">
        <v>668</v>
      </c>
      <c r="D213" s="1190" t="s">
        <v>682</v>
      </c>
      <c r="E213" s="1172">
        <v>80111600</v>
      </c>
      <c r="F213" s="1192" t="s">
        <v>896</v>
      </c>
      <c r="G213" s="1193">
        <v>44566</v>
      </c>
      <c r="H213" s="1193">
        <v>44568</v>
      </c>
      <c r="I213" s="1204" t="s">
        <v>1466</v>
      </c>
      <c r="J213" s="1195" t="s">
        <v>1455</v>
      </c>
      <c r="K213" s="1176" t="s">
        <v>674</v>
      </c>
      <c r="L213" s="1178" t="s">
        <v>675</v>
      </c>
      <c r="M213" s="1179">
        <v>17500000</v>
      </c>
      <c r="N213" s="1197" t="s">
        <v>730</v>
      </c>
      <c r="O213" s="1206" t="s">
        <v>1456</v>
      </c>
    </row>
    <row r="214" spans="1:17" s="1159" customFormat="1" ht="60" x14ac:dyDescent="0.35">
      <c r="A214" s="1172">
        <v>2022208</v>
      </c>
      <c r="B214" s="1172">
        <v>7655</v>
      </c>
      <c r="C214" s="1172" t="s">
        <v>668</v>
      </c>
      <c r="D214" s="1190" t="s">
        <v>671</v>
      </c>
      <c r="E214" s="1191">
        <v>80111600</v>
      </c>
      <c r="F214" s="1192" t="s">
        <v>897</v>
      </c>
      <c r="G214" s="1193" t="s">
        <v>1414</v>
      </c>
      <c r="H214" s="1212" t="s">
        <v>1414</v>
      </c>
      <c r="I214" s="1215" t="s">
        <v>1467</v>
      </c>
      <c r="J214" s="1195" t="s">
        <v>1455</v>
      </c>
      <c r="K214" s="1176" t="s">
        <v>674</v>
      </c>
      <c r="L214" s="1219" t="s">
        <v>675</v>
      </c>
      <c r="M214" s="1196">
        <v>106950000</v>
      </c>
      <c r="N214" s="1197" t="s">
        <v>730</v>
      </c>
      <c r="O214" s="1206" t="s">
        <v>1456</v>
      </c>
    </row>
    <row r="215" spans="1:17" s="1159" customFormat="1" ht="60" x14ac:dyDescent="0.35">
      <c r="A215" s="1172">
        <v>2022209</v>
      </c>
      <c r="B215" s="1172">
        <v>7655</v>
      </c>
      <c r="C215" s="1172" t="s">
        <v>668</v>
      </c>
      <c r="D215" s="1190" t="s">
        <v>671</v>
      </c>
      <c r="E215" s="1191">
        <v>80111600</v>
      </c>
      <c r="F215" s="1175" t="s">
        <v>898</v>
      </c>
      <c r="G215" s="1193" t="s">
        <v>1414</v>
      </c>
      <c r="H215" s="1212" t="s">
        <v>1414</v>
      </c>
      <c r="I215" s="1215" t="s">
        <v>1467</v>
      </c>
      <c r="J215" s="1195" t="s">
        <v>1455</v>
      </c>
      <c r="K215" s="1176" t="s">
        <v>674</v>
      </c>
      <c r="L215" s="1219" t="s">
        <v>675</v>
      </c>
      <c r="M215" s="1196">
        <v>97750000</v>
      </c>
      <c r="N215" s="1197" t="s">
        <v>730</v>
      </c>
      <c r="O215" s="1206" t="s">
        <v>1456</v>
      </c>
    </row>
    <row r="216" spans="1:17" s="1159" customFormat="1" ht="60" x14ac:dyDescent="0.35">
      <c r="A216" s="1172">
        <v>2022210</v>
      </c>
      <c r="B216" s="1172">
        <v>7655</v>
      </c>
      <c r="C216" s="1172" t="s">
        <v>668</v>
      </c>
      <c r="D216" s="1190" t="s">
        <v>671</v>
      </c>
      <c r="E216" s="1191">
        <v>80111600</v>
      </c>
      <c r="F216" s="1192" t="s">
        <v>899</v>
      </c>
      <c r="G216" s="1193" t="s">
        <v>1414</v>
      </c>
      <c r="H216" s="1212" t="s">
        <v>1414</v>
      </c>
      <c r="I216" s="1215" t="s">
        <v>1467</v>
      </c>
      <c r="J216" s="1195" t="s">
        <v>1455</v>
      </c>
      <c r="K216" s="1176" t="s">
        <v>674</v>
      </c>
      <c r="L216" s="1219" t="s">
        <v>675</v>
      </c>
      <c r="M216" s="1196">
        <v>92000000</v>
      </c>
      <c r="N216" s="1197" t="s">
        <v>730</v>
      </c>
      <c r="O216" s="1206" t="s">
        <v>1456</v>
      </c>
    </row>
    <row r="217" spans="1:17" s="1159" customFormat="1" ht="60" x14ac:dyDescent="0.35">
      <c r="A217" s="1172">
        <v>2022211</v>
      </c>
      <c r="B217" s="1172">
        <v>7655</v>
      </c>
      <c r="C217" s="1172" t="s">
        <v>668</v>
      </c>
      <c r="D217" s="1190" t="s">
        <v>671</v>
      </c>
      <c r="E217" s="1191">
        <v>80111600</v>
      </c>
      <c r="F217" s="1192" t="s">
        <v>900</v>
      </c>
      <c r="G217" s="1193" t="s">
        <v>1414</v>
      </c>
      <c r="H217" s="1212" t="s">
        <v>1414</v>
      </c>
      <c r="I217" s="1215" t="s">
        <v>1467</v>
      </c>
      <c r="J217" s="1195" t="s">
        <v>1455</v>
      </c>
      <c r="K217" s="1176" t="s">
        <v>674</v>
      </c>
      <c r="L217" s="1219" t="s">
        <v>675</v>
      </c>
      <c r="M217" s="1196">
        <v>80500000</v>
      </c>
      <c r="N217" s="1197" t="s">
        <v>730</v>
      </c>
      <c r="O217" s="1206" t="s">
        <v>1456</v>
      </c>
    </row>
    <row r="218" spans="1:17" s="1159" customFormat="1" ht="60" x14ac:dyDescent="0.35">
      <c r="A218" s="1172">
        <v>2022212</v>
      </c>
      <c r="B218" s="1172">
        <v>7655</v>
      </c>
      <c r="C218" s="1172" t="s">
        <v>668</v>
      </c>
      <c r="D218" s="1190" t="s">
        <v>671</v>
      </c>
      <c r="E218" s="1191">
        <v>80111600</v>
      </c>
      <c r="F218" s="1192" t="s">
        <v>901</v>
      </c>
      <c r="G218" s="1193" t="s">
        <v>1414</v>
      </c>
      <c r="H218" s="1212" t="s">
        <v>1414</v>
      </c>
      <c r="I218" s="1215" t="s">
        <v>1467</v>
      </c>
      <c r="J218" s="1195" t="s">
        <v>1455</v>
      </c>
      <c r="K218" s="1176" t="s">
        <v>674</v>
      </c>
      <c r="L218" s="1219" t="s">
        <v>782</v>
      </c>
      <c r="M218" s="1196">
        <v>92000000</v>
      </c>
      <c r="N218" s="1197" t="s">
        <v>730</v>
      </c>
      <c r="O218" s="1206" t="s">
        <v>1456</v>
      </c>
    </row>
    <row r="219" spans="1:17" s="1159" customFormat="1" ht="60" x14ac:dyDescent="0.35">
      <c r="A219" s="1172">
        <v>2022213</v>
      </c>
      <c r="B219" s="1172">
        <v>7655</v>
      </c>
      <c r="C219" s="1172" t="s">
        <v>668</v>
      </c>
      <c r="D219" s="1190" t="s">
        <v>671</v>
      </c>
      <c r="E219" s="1191">
        <v>80111600</v>
      </c>
      <c r="F219" s="1192" t="s">
        <v>902</v>
      </c>
      <c r="G219" s="1193" t="s">
        <v>1414</v>
      </c>
      <c r="H219" s="1212" t="s">
        <v>1414</v>
      </c>
      <c r="I219" s="1215" t="s">
        <v>1467</v>
      </c>
      <c r="J219" s="1195" t="s">
        <v>1455</v>
      </c>
      <c r="K219" s="1176" t="s">
        <v>674</v>
      </c>
      <c r="L219" s="1219" t="s">
        <v>782</v>
      </c>
      <c r="M219" s="1196">
        <v>51750000</v>
      </c>
      <c r="N219" s="1197" t="s">
        <v>730</v>
      </c>
      <c r="O219" s="1206" t="s">
        <v>1456</v>
      </c>
    </row>
    <row r="220" spans="1:17" s="1159" customFormat="1" ht="60" x14ac:dyDescent="0.35">
      <c r="A220" s="1172">
        <v>2022214</v>
      </c>
      <c r="B220" s="1172">
        <v>7655</v>
      </c>
      <c r="C220" s="1172" t="s">
        <v>668</v>
      </c>
      <c r="D220" s="1190" t="s">
        <v>671</v>
      </c>
      <c r="E220" s="1191">
        <v>80111600</v>
      </c>
      <c r="F220" s="1192" t="s">
        <v>903</v>
      </c>
      <c r="G220" s="1193" t="s">
        <v>1414</v>
      </c>
      <c r="H220" s="1212" t="s">
        <v>1414</v>
      </c>
      <c r="I220" s="1215" t="s">
        <v>1468</v>
      </c>
      <c r="J220" s="1195" t="s">
        <v>1455</v>
      </c>
      <c r="K220" s="1176" t="s">
        <v>674</v>
      </c>
      <c r="L220" s="1219" t="s">
        <v>675</v>
      </c>
      <c r="M220" s="1196">
        <f>4500000*10.6666666</f>
        <v>47999999.699999996</v>
      </c>
      <c r="N220" s="1197" t="s">
        <v>730</v>
      </c>
      <c r="O220" s="1206" t="s">
        <v>1456</v>
      </c>
      <c r="Q220" s="1220">
        <f>80500000-M220</f>
        <v>32500000.300000004</v>
      </c>
    </row>
    <row r="221" spans="1:17" s="1159" customFormat="1" ht="60" x14ac:dyDescent="0.35">
      <c r="A221" s="1172">
        <v>2022215</v>
      </c>
      <c r="B221" s="1172">
        <v>7655</v>
      </c>
      <c r="C221" s="1172" t="s">
        <v>668</v>
      </c>
      <c r="D221" s="1190" t="s">
        <v>671</v>
      </c>
      <c r="E221" s="1191">
        <v>80111600</v>
      </c>
      <c r="F221" s="1192" t="s">
        <v>904</v>
      </c>
      <c r="G221" s="1193" t="s">
        <v>1414</v>
      </c>
      <c r="H221" s="1212" t="s">
        <v>1414</v>
      </c>
      <c r="I221" s="1215" t="s">
        <v>1467</v>
      </c>
      <c r="J221" s="1195" t="s">
        <v>1455</v>
      </c>
      <c r="K221" s="1176" t="s">
        <v>674</v>
      </c>
      <c r="L221" s="1219" t="s">
        <v>675</v>
      </c>
      <c r="M221" s="1196">
        <v>57500000</v>
      </c>
      <c r="N221" s="1197" t="s">
        <v>730</v>
      </c>
      <c r="O221" s="1206" t="s">
        <v>1456</v>
      </c>
      <c r="Q221" s="1168"/>
    </row>
    <row r="222" spans="1:17" s="1159" customFormat="1" ht="60" x14ac:dyDescent="0.35">
      <c r="A222" s="1172">
        <v>2022216</v>
      </c>
      <c r="B222" s="1172">
        <v>7655</v>
      </c>
      <c r="C222" s="1172" t="s">
        <v>668</v>
      </c>
      <c r="D222" s="1190" t="s">
        <v>671</v>
      </c>
      <c r="E222" s="1191">
        <v>80111600</v>
      </c>
      <c r="F222" s="1192" t="s">
        <v>905</v>
      </c>
      <c r="G222" s="1193" t="s">
        <v>1414</v>
      </c>
      <c r="H222" s="1212" t="s">
        <v>1414</v>
      </c>
      <c r="I222" s="1215" t="s">
        <v>1467</v>
      </c>
      <c r="J222" s="1195" t="s">
        <v>1455</v>
      </c>
      <c r="K222" s="1176" t="s">
        <v>674</v>
      </c>
      <c r="L222" s="1219" t="s">
        <v>675</v>
      </c>
      <c r="M222" s="1196">
        <v>80500000</v>
      </c>
      <c r="N222" s="1197" t="s">
        <v>730</v>
      </c>
      <c r="O222" s="1206" t="s">
        <v>1456</v>
      </c>
    </row>
    <row r="223" spans="1:17" s="1159" customFormat="1" ht="60" x14ac:dyDescent="0.35">
      <c r="A223" s="1172">
        <v>2022217</v>
      </c>
      <c r="B223" s="1172">
        <v>7655</v>
      </c>
      <c r="C223" s="1172" t="s">
        <v>668</v>
      </c>
      <c r="D223" s="1190" t="s">
        <v>671</v>
      </c>
      <c r="E223" s="1191">
        <v>80111600</v>
      </c>
      <c r="F223" s="1192" t="s">
        <v>906</v>
      </c>
      <c r="G223" s="1193" t="s">
        <v>1414</v>
      </c>
      <c r="H223" s="1212" t="s">
        <v>1414</v>
      </c>
      <c r="I223" s="1215" t="s">
        <v>1467</v>
      </c>
      <c r="J223" s="1195" t="s">
        <v>1455</v>
      </c>
      <c r="K223" s="1176" t="s">
        <v>674</v>
      </c>
      <c r="L223" s="1219" t="s">
        <v>675</v>
      </c>
      <c r="M223" s="1196">
        <v>57500000</v>
      </c>
      <c r="N223" s="1197" t="s">
        <v>730</v>
      </c>
      <c r="O223" s="1206" t="s">
        <v>1456</v>
      </c>
    </row>
    <row r="224" spans="1:17" s="1159" customFormat="1" ht="75" x14ac:dyDescent="0.35">
      <c r="A224" s="1172">
        <v>2022218</v>
      </c>
      <c r="B224" s="1172">
        <v>7655</v>
      </c>
      <c r="C224" s="1172" t="s">
        <v>668</v>
      </c>
      <c r="D224" s="1190" t="s">
        <v>671</v>
      </c>
      <c r="E224" s="1191">
        <v>80111600</v>
      </c>
      <c r="F224" s="1192" t="s">
        <v>907</v>
      </c>
      <c r="G224" s="1193" t="s">
        <v>1414</v>
      </c>
      <c r="H224" s="1212" t="s">
        <v>1414</v>
      </c>
      <c r="I224" s="1215" t="s">
        <v>1467</v>
      </c>
      <c r="J224" s="1195" t="s">
        <v>1455</v>
      </c>
      <c r="K224" s="1176" t="s">
        <v>674</v>
      </c>
      <c r="L224" s="1219" t="s">
        <v>675</v>
      </c>
      <c r="M224" s="1196">
        <v>57500000</v>
      </c>
      <c r="N224" s="1197" t="s">
        <v>730</v>
      </c>
      <c r="O224" s="1206" t="s">
        <v>1456</v>
      </c>
    </row>
    <row r="225" spans="1:17" s="1159" customFormat="1" ht="60" x14ac:dyDescent="0.35">
      <c r="A225" s="1172">
        <v>2022219</v>
      </c>
      <c r="B225" s="1172">
        <v>7655</v>
      </c>
      <c r="C225" s="1172" t="s">
        <v>668</v>
      </c>
      <c r="D225" s="1190" t="s">
        <v>671</v>
      </c>
      <c r="E225" s="1191">
        <v>80111600</v>
      </c>
      <c r="F225" s="1192" t="s">
        <v>908</v>
      </c>
      <c r="G225" s="1193" t="s">
        <v>1414</v>
      </c>
      <c r="H225" s="1212" t="s">
        <v>1414</v>
      </c>
      <c r="I225" s="1215" t="s">
        <v>1467</v>
      </c>
      <c r="J225" s="1195" t="s">
        <v>1455</v>
      </c>
      <c r="K225" s="1176" t="s">
        <v>674</v>
      </c>
      <c r="L225" s="1219" t="s">
        <v>675</v>
      </c>
      <c r="M225" s="1196">
        <v>57500000</v>
      </c>
      <c r="N225" s="1197" t="s">
        <v>730</v>
      </c>
      <c r="O225" s="1206" t="s">
        <v>1456</v>
      </c>
    </row>
    <row r="226" spans="1:17" s="1159" customFormat="1" ht="60" x14ac:dyDescent="0.35">
      <c r="A226" s="1172">
        <v>2022220</v>
      </c>
      <c r="B226" s="1172">
        <v>7655</v>
      </c>
      <c r="C226" s="1172" t="s">
        <v>668</v>
      </c>
      <c r="D226" s="1190" t="s">
        <v>671</v>
      </c>
      <c r="E226" s="1191">
        <v>80111600</v>
      </c>
      <c r="F226" s="1192" t="s">
        <v>909</v>
      </c>
      <c r="G226" s="1193" t="s">
        <v>1414</v>
      </c>
      <c r="H226" s="1212" t="s">
        <v>1414</v>
      </c>
      <c r="I226" s="1215" t="s">
        <v>1459</v>
      </c>
      <c r="J226" s="1195" t="s">
        <v>1455</v>
      </c>
      <c r="K226" s="1176" t="s">
        <v>674</v>
      </c>
      <c r="L226" s="1219" t="s">
        <v>675</v>
      </c>
      <c r="M226" s="1196">
        <f>10*4500000</f>
        <v>45000000</v>
      </c>
      <c r="N226" s="1197" t="s">
        <v>730</v>
      </c>
      <c r="O226" s="1206" t="s">
        <v>1456</v>
      </c>
      <c r="Q226" s="1168">
        <f>57500000-M226</f>
        <v>12500000</v>
      </c>
    </row>
    <row r="227" spans="1:17" s="1159" customFormat="1" ht="60" x14ac:dyDescent="0.35">
      <c r="A227" s="1172">
        <v>2022221</v>
      </c>
      <c r="B227" s="1172">
        <v>7655</v>
      </c>
      <c r="C227" s="1172" t="s">
        <v>668</v>
      </c>
      <c r="D227" s="1190" t="s">
        <v>671</v>
      </c>
      <c r="E227" s="1191">
        <v>80111600</v>
      </c>
      <c r="F227" s="1192" t="s">
        <v>910</v>
      </c>
      <c r="G227" s="1193" t="s">
        <v>1414</v>
      </c>
      <c r="H227" s="1212" t="s">
        <v>1414</v>
      </c>
      <c r="I227" s="1215" t="s">
        <v>1467</v>
      </c>
      <c r="J227" s="1195" t="s">
        <v>1455</v>
      </c>
      <c r="K227" s="1176" t="s">
        <v>674</v>
      </c>
      <c r="L227" s="1219" t="s">
        <v>675</v>
      </c>
      <c r="M227" s="1196">
        <v>57500000</v>
      </c>
      <c r="N227" s="1197" t="s">
        <v>730</v>
      </c>
      <c r="O227" s="1206" t="s">
        <v>1456</v>
      </c>
    </row>
    <row r="228" spans="1:17" s="1159" customFormat="1" ht="60" x14ac:dyDescent="0.35">
      <c r="A228" s="1172">
        <v>2022222</v>
      </c>
      <c r="B228" s="1172">
        <v>7655</v>
      </c>
      <c r="C228" s="1172" t="s">
        <v>668</v>
      </c>
      <c r="D228" s="1190" t="s">
        <v>671</v>
      </c>
      <c r="E228" s="1191">
        <v>80111600</v>
      </c>
      <c r="F228" s="1192" t="s">
        <v>911</v>
      </c>
      <c r="G228" s="1193" t="s">
        <v>1414</v>
      </c>
      <c r="H228" s="1212" t="s">
        <v>1414</v>
      </c>
      <c r="I228" s="1215" t="s">
        <v>1467</v>
      </c>
      <c r="J228" s="1195" t="s">
        <v>1455</v>
      </c>
      <c r="K228" s="1176" t="s">
        <v>674</v>
      </c>
      <c r="L228" s="1219" t="s">
        <v>675</v>
      </c>
      <c r="M228" s="1196">
        <v>57500000</v>
      </c>
      <c r="N228" s="1197" t="s">
        <v>730</v>
      </c>
      <c r="O228" s="1206" t="s">
        <v>1456</v>
      </c>
    </row>
    <row r="229" spans="1:17" s="1159" customFormat="1" ht="60" x14ac:dyDescent="0.35">
      <c r="A229" s="1172">
        <v>2022223</v>
      </c>
      <c r="B229" s="1172">
        <v>7655</v>
      </c>
      <c r="C229" s="1172" t="s">
        <v>668</v>
      </c>
      <c r="D229" s="1190" t="s">
        <v>671</v>
      </c>
      <c r="E229" s="1191">
        <v>80111600</v>
      </c>
      <c r="F229" s="1192" t="s">
        <v>912</v>
      </c>
      <c r="G229" s="1193" t="s">
        <v>1414</v>
      </c>
      <c r="H229" s="1212" t="s">
        <v>1414</v>
      </c>
      <c r="I229" s="1215" t="s">
        <v>1467</v>
      </c>
      <c r="J229" s="1195" t="s">
        <v>1455</v>
      </c>
      <c r="K229" s="1176" t="s">
        <v>674</v>
      </c>
      <c r="L229" s="1219" t="s">
        <v>675</v>
      </c>
      <c r="M229" s="1196">
        <v>72450000</v>
      </c>
      <c r="N229" s="1197" t="s">
        <v>730</v>
      </c>
      <c r="O229" s="1206" t="s">
        <v>1456</v>
      </c>
    </row>
    <row r="230" spans="1:17" s="1159" customFormat="1" ht="60" x14ac:dyDescent="0.35">
      <c r="A230" s="1172">
        <v>2022224</v>
      </c>
      <c r="B230" s="1172">
        <v>7655</v>
      </c>
      <c r="C230" s="1172" t="s">
        <v>668</v>
      </c>
      <c r="D230" s="1190" t="s">
        <v>671</v>
      </c>
      <c r="E230" s="1191">
        <v>80111600</v>
      </c>
      <c r="F230" s="1192" t="s">
        <v>913</v>
      </c>
      <c r="G230" s="1193" t="s">
        <v>1414</v>
      </c>
      <c r="H230" s="1212" t="s">
        <v>1414</v>
      </c>
      <c r="I230" s="1215" t="s">
        <v>1467</v>
      </c>
      <c r="J230" s="1195" t="s">
        <v>1455</v>
      </c>
      <c r="K230" s="1176" t="s">
        <v>674</v>
      </c>
      <c r="L230" s="1219" t="s">
        <v>675</v>
      </c>
      <c r="M230" s="1179">
        <v>59800000</v>
      </c>
      <c r="N230" s="1197" t="s">
        <v>730</v>
      </c>
      <c r="O230" s="1206" t="s">
        <v>1456</v>
      </c>
    </row>
    <row r="231" spans="1:17" s="1159" customFormat="1" ht="60" x14ac:dyDescent="0.35">
      <c r="A231" s="1172">
        <v>2022225</v>
      </c>
      <c r="B231" s="1172">
        <v>7655</v>
      </c>
      <c r="C231" s="1172" t="s">
        <v>668</v>
      </c>
      <c r="D231" s="1190" t="s">
        <v>671</v>
      </c>
      <c r="E231" s="1191">
        <v>80111600</v>
      </c>
      <c r="F231" s="1192" t="s">
        <v>914</v>
      </c>
      <c r="G231" s="1193" t="s">
        <v>1414</v>
      </c>
      <c r="H231" s="1212" t="s">
        <v>1414</v>
      </c>
      <c r="I231" s="1215" t="s">
        <v>1469</v>
      </c>
      <c r="J231" s="1195" t="s">
        <v>1455</v>
      </c>
      <c r="K231" s="1176" t="s">
        <v>674</v>
      </c>
      <c r="L231" s="1219" t="s">
        <v>675</v>
      </c>
      <c r="M231" s="1179">
        <v>57000000</v>
      </c>
      <c r="N231" s="1197" t="s">
        <v>730</v>
      </c>
      <c r="O231" s="1206" t="s">
        <v>1456</v>
      </c>
    </row>
    <row r="232" spans="1:17" s="1159" customFormat="1" ht="60" x14ac:dyDescent="0.35">
      <c r="A232" s="1172">
        <v>2022226</v>
      </c>
      <c r="B232" s="1172">
        <v>7655</v>
      </c>
      <c r="C232" s="1172" t="s">
        <v>668</v>
      </c>
      <c r="D232" s="1190" t="s">
        <v>671</v>
      </c>
      <c r="E232" s="1191">
        <v>80111600</v>
      </c>
      <c r="F232" s="1197" t="s">
        <v>915</v>
      </c>
      <c r="G232" s="1221"/>
      <c r="H232" s="1221"/>
      <c r="I232" s="1178"/>
      <c r="J232" s="1195" t="s">
        <v>1455</v>
      </c>
      <c r="K232" s="1176" t="s">
        <v>674</v>
      </c>
      <c r="L232" s="1219" t="s">
        <v>675</v>
      </c>
      <c r="M232" s="1222">
        <v>13800000</v>
      </c>
      <c r="N232" s="1197" t="s">
        <v>730</v>
      </c>
      <c r="O232" s="1206" t="s">
        <v>1456</v>
      </c>
    </row>
    <row r="233" spans="1:17" s="1159" customFormat="1" ht="60" x14ac:dyDescent="0.35">
      <c r="A233" s="1172">
        <v>2022227</v>
      </c>
      <c r="B233" s="1172">
        <v>7655</v>
      </c>
      <c r="C233" s="1172" t="s">
        <v>668</v>
      </c>
      <c r="D233" s="1190" t="s">
        <v>669</v>
      </c>
      <c r="E233" s="1191">
        <v>80111600</v>
      </c>
      <c r="F233" s="1223" t="s">
        <v>916</v>
      </c>
      <c r="G233" s="1224" t="s">
        <v>1414</v>
      </c>
      <c r="H233" s="1204" t="s">
        <v>1414</v>
      </c>
      <c r="I233" s="1225" t="s">
        <v>1470</v>
      </c>
      <c r="J233" s="1195" t="s">
        <v>1455</v>
      </c>
      <c r="K233" s="1176" t="s">
        <v>674</v>
      </c>
      <c r="L233" s="1219" t="s">
        <v>675</v>
      </c>
      <c r="M233" s="1196">
        <v>29920000</v>
      </c>
      <c r="N233" s="1197" t="s">
        <v>730</v>
      </c>
      <c r="O233" s="1206" t="s">
        <v>1456</v>
      </c>
    </row>
    <row r="234" spans="1:17" s="1159" customFormat="1" ht="60" x14ac:dyDescent="0.35">
      <c r="A234" s="1172">
        <v>2022228</v>
      </c>
      <c r="B234" s="1172">
        <v>7655</v>
      </c>
      <c r="C234" s="1172" t="s">
        <v>668</v>
      </c>
      <c r="D234" s="1190" t="s">
        <v>669</v>
      </c>
      <c r="E234" s="1191">
        <v>80111600</v>
      </c>
      <c r="F234" s="1223" t="s">
        <v>917</v>
      </c>
      <c r="G234" s="1224" t="s">
        <v>1414</v>
      </c>
      <c r="H234" s="1204" t="s">
        <v>1414</v>
      </c>
      <c r="I234" s="1225" t="s">
        <v>1470</v>
      </c>
      <c r="J234" s="1195" t="s">
        <v>1455</v>
      </c>
      <c r="K234" s="1176" t="s">
        <v>674</v>
      </c>
      <c r="L234" s="1219" t="s">
        <v>675</v>
      </c>
      <c r="M234" s="1196">
        <v>30800000</v>
      </c>
      <c r="N234" s="1197" t="s">
        <v>730</v>
      </c>
      <c r="O234" s="1206" t="s">
        <v>1456</v>
      </c>
    </row>
    <row r="235" spans="1:17" s="1159" customFormat="1" ht="60" x14ac:dyDescent="0.35">
      <c r="A235" s="1172">
        <v>2022229</v>
      </c>
      <c r="B235" s="1172">
        <v>7655</v>
      </c>
      <c r="C235" s="1172" t="s">
        <v>668</v>
      </c>
      <c r="D235" s="1190" t="s">
        <v>669</v>
      </c>
      <c r="E235" s="1191">
        <v>80111600</v>
      </c>
      <c r="F235" s="1223" t="s">
        <v>918</v>
      </c>
      <c r="G235" s="1224" t="s">
        <v>1414</v>
      </c>
      <c r="H235" s="1204" t="s">
        <v>1414</v>
      </c>
      <c r="I235" s="1225" t="s">
        <v>1470</v>
      </c>
      <c r="J235" s="1195" t="s">
        <v>1455</v>
      </c>
      <c r="K235" s="1176" t="s">
        <v>674</v>
      </c>
      <c r="L235" s="1219" t="s">
        <v>675</v>
      </c>
      <c r="M235" s="1196">
        <v>78320000</v>
      </c>
      <c r="N235" s="1197" t="s">
        <v>730</v>
      </c>
      <c r="O235" s="1206" t="s">
        <v>1456</v>
      </c>
    </row>
    <row r="236" spans="1:17" s="1159" customFormat="1" ht="60" x14ac:dyDescent="0.35">
      <c r="A236" s="1172">
        <v>2022230</v>
      </c>
      <c r="B236" s="1172">
        <v>7655</v>
      </c>
      <c r="C236" s="1172" t="s">
        <v>668</v>
      </c>
      <c r="D236" s="1190" t="s">
        <v>669</v>
      </c>
      <c r="E236" s="1191">
        <v>80111600</v>
      </c>
      <c r="F236" s="1223" t="s">
        <v>919</v>
      </c>
      <c r="G236" s="1224" t="s">
        <v>1414</v>
      </c>
      <c r="H236" s="1204" t="s">
        <v>1414</v>
      </c>
      <c r="I236" s="1225" t="s">
        <v>1470</v>
      </c>
      <c r="J236" s="1195" t="s">
        <v>1455</v>
      </c>
      <c r="K236" s="1176" t="s">
        <v>674</v>
      </c>
      <c r="L236" s="1219" t="s">
        <v>675</v>
      </c>
      <c r="M236" s="1196">
        <v>102520000</v>
      </c>
      <c r="N236" s="1197" t="s">
        <v>730</v>
      </c>
      <c r="O236" s="1206" t="s">
        <v>1456</v>
      </c>
    </row>
    <row r="237" spans="1:17" s="1159" customFormat="1" ht="75" x14ac:dyDescent="0.35">
      <c r="A237" s="1172">
        <v>2022231</v>
      </c>
      <c r="B237" s="1172">
        <v>7655</v>
      </c>
      <c r="C237" s="1172" t="s">
        <v>668</v>
      </c>
      <c r="D237" s="1190" t="s">
        <v>669</v>
      </c>
      <c r="E237" s="1191">
        <v>80111600</v>
      </c>
      <c r="F237" s="1223" t="s">
        <v>920</v>
      </c>
      <c r="G237" s="1224" t="s">
        <v>1414</v>
      </c>
      <c r="H237" s="1204" t="s">
        <v>1414</v>
      </c>
      <c r="I237" s="1225" t="s">
        <v>1470</v>
      </c>
      <c r="J237" s="1195" t="s">
        <v>1455</v>
      </c>
      <c r="K237" s="1176" t="s">
        <v>674</v>
      </c>
      <c r="L237" s="1219" t="s">
        <v>675</v>
      </c>
      <c r="M237" s="1196">
        <f>101200000-8800000-19200000</f>
        <v>73200000</v>
      </c>
      <c r="N237" s="1197" t="s">
        <v>730</v>
      </c>
      <c r="O237" s="1206" t="s">
        <v>1456</v>
      </c>
    </row>
    <row r="238" spans="1:17" s="1159" customFormat="1" ht="60" x14ac:dyDescent="0.35">
      <c r="A238" s="1172">
        <v>2022232</v>
      </c>
      <c r="B238" s="1172">
        <v>7655</v>
      </c>
      <c r="C238" s="1172" t="s">
        <v>668</v>
      </c>
      <c r="D238" s="1190" t="s">
        <v>669</v>
      </c>
      <c r="E238" s="1191">
        <v>80111600</v>
      </c>
      <c r="F238" s="1216" t="s">
        <v>921</v>
      </c>
      <c r="G238" s="1224" t="s">
        <v>1414</v>
      </c>
      <c r="H238" s="1204" t="s">
        <v>1414</v>
      </c>
      <c r="I238" s="1225" t="s">
        <v>1470</v>
      </c>
      <c r="J238" s="1195" t="s">
        <v>1455</v>
      </c>
      <c r="K238" s="1176" t="s">
        <v>674</v>
      </c>
      <c r="L238" s="1219" t="s">
        <v>675</v>
      </c>
      <c r="M238" s="1179">
        <v>58080000</v>
      </c>
      <c r="N238" s="1197" t="s">
        <v>730</v>
      </c>
      <c r="O238" s="1206" t="s">
        <v>1456</v>
      </c>
    </row>
    <row r="239" spans="1:17" s="1159" customFormat="1" ht="90" x14ac:dyDescent="0.35">
      <c r="A239" s="1172">
        <v>2022233</v>
      </c>
      <c r="B239" s="1172">
        <v>7655</v>
      </c>
      <c r="C239" s="1172" t="s">
        <v>668</v>
      </c>
      <c r="D239" s="1190" t="s">
        <v>669</v>
      </c>
      <c r="E239" s="1191">
        <v>80111600</v>
      </c>
      <c r="F239" s="1192" t="s">
        <v>922</v>
      </c>
      <c r="G239" s="1224" t="s">
        <v>1414</v>
      </c>
      <c r="H239" s="1204" t="s">
        <v>1414</v>
      </c>
      <c r="I239" s="1225" t="s">
        <v>1470</v>
      </c>
      <c r="J239" s="1195" t="s">
        <v>1455</v>
      </c>
      <c r="K239" s="1176" t="s">
        <v>674</v>
      </c>
      <c r="L239" s="1219" t="s">
        <v>675</v>
      </c>
      <c r="M239" s="1179">
        <v>42350000</v>
      </c>
      <c r="N239" s="1197" t="s">
        <v>730</v>
      </c>
      <c r="O239" s="1206" t="s">
        <v>1456</v>
      </c>
    </row>
    <row r="240" spans="1:17" s="1159" customFormat="1" ht="60" x14ac:dyDescent="0.35">
      <c r="A240" s="1172">
        <v>2022234</v>
      </c>
      <c r="B240" s="1172">
        <v>7655</v>
      </c>
      <c r="C240" s="1172" t="s">
        <v>668</v>
      </c>
      <c r="D240" s="1190" t="s">
        <v>669</v>
      </c>
      <c r="E240" s="1191">
        <v>80111600</v>
      </c>
      <c r="F240" s="1216" t="s">
        <v>923</v>
      </c>
      <c r="G240" s="1224" t="s">
        <v>1414</v>
      </c>
      <c r="H240" s="1204" t="s">
        <v>1414</v>
      </c>
      <c r="I240" s="1225" t="s">
        <v>1417</v>
      </c>
      <c r="J240" s="1195" t="s">
        <v>1455</v>
      </c>
      <c r="K240" s="1176" t="s">
        <v>674</v>
      </c>
      <c r="L240" s="1226" t="s">
        <v>675</v>
      </c>
      <c r="M240" s="1179">
        <v>39600000</v>
      </c>
      <c r="N240" s="1197" t="s">
        <v>730</v>
      </c>
      <c r="O240" s="1206" t="s">
        <v>1456</v>
      </c>
    </row>
    <row r="241" spans="1:15" s="1159" customFormat="1" ht="60" x14ac:dyDescent="0.35">
      <c r="A241" s="1172">
        <v>2022235</v>
      </c>
      <c r="B241" s="1172">
        <v>7655</v>
      </c>
      <c r="C241" s="1172" t="s">
        <v>668</v>
      </c>
      <c r="D241" s="1190" t="s">
        <v>669</v>
      </c>
      <c r="E241" s="1191">
        <v>80111600</v>
      </c>
      <c r="F241" s="1192" t="s">
        <v>924</v>
      </c>
      <c r="G241" s="1224" t="s">
        <v>1414</v>
      </c>
      <c r="H241" s="1204" t="s">
        <v>1414</v>
      </c>
      <c r="I241" s="1225" t="s">
        <v>1470</v>
      </c>
      <c r="J241" s="1195" t="s">
        <v>1455</v>
      </c>
      <c r="K241" s="1176" t="s">
        <v>674</v>
      </c>
      <c r="L241" s="1219" t="s">
        <v>675</v>
      </c>
      <c r="M241" s="1179">
        <v>39600000</v>
      </c>
      <c r="N241" s="1197" t="s">
        <v>730</v>
      </c>
      <c r="O241" s="1206" t="s">
        <v>1456</v>
      </c>
    </row>
    <row r="242" spans="1:15" s="1159" customFormat="1" ht="75" x14ac:dyDescent="0.35">
      <c r="A242" s="1182">
        <v>2022236</v>
      </c>
      <c r="B242" s="1182">
        <v>7658</v>
      </c>
      <c r="C242" s="1182" t="s">
        <v>679</v>
      </c>
      <c r="D242" s="1227" t="s">
        <v>698</v>
      </c>
      <c r="E242" s="1228">
        <v>80111600</v>
      </c>
      <c r="F242" s="1185" t="s">
        <v>925</v>
      </c>
      <c r="G242" s="1184" t="s">
        <v>1414</v>
      </c>
      <c r="H242" s="1184" t="s">
        <v>1414</v>
      </c>
      <c r="I242" s="1184" t="s">
        <v>1467</v>
      </c>
      <c r="J242" s="1184" t="s">
        <v>1455</v>
      </c>
      <c r="K242" s="1184" t="s">
        <v>674</v>
      </c>
      <c r="L242" s="1183" t="s">
        <v>675</v>
      </c>
      <c r="M242" s="1229">
        <f>39100000-1700000</f>
        <v>37400000</v>
      </c>
      <c r="N242" s="1185" t="s">
        <v>724</v>
      </c>
      <c r="O242" s="1185" t="s">
        <v>1473</v>
      </c>
    </row>
    <row r="243" spans="1:15" s="1159" customFormat="1" ht="60" x14ac:dyDescent="0.35">
      <c r="A243" s="1172">
        <v>2022237</v>
      </c>
      <c r="B243" s="1172">
        <v>7655</v>
      </c>
      <c r="C243" s="1172" t="s">
        <v>668</v>
      </c>
      <c r="D243" s="1190" t="s">
        <v>669</v>
      </c>
      <c r="E243" s="1191">
        <v>80111600</v>
      </c>
      <c r="F243" s="1192" t="s">
        <v>1471</v>
      </c>
      <c r="G243" s="1224" t="s">
        <v>1414</v>
      </c>
      <c r="H243" s="1204" t="s">
        <v>1414</v>
      </c>
      <c r="I243" s="1225" t="s">
        <v>1470</v>
      </c>
      <c r="J243" s="1195" t="s">
        <v>1455</v>
      </c>
      <c r="K243" s="1176" t="s">
        <v>674</v>
      </c>
      <c r="L243" s="1219" t="s">
        <v>675</v>
      </c>
      <c r="M243" s="1179">
        <v>48735000</v>
      </c>
      <c r="N243" s="1197" t="s">
        <v>730</v>
      </c>
      <c r="O243" s="1206" t="s">
        <v>1456</v>
      </c>
    </row>
    <row r="244" spans="1:15" s="1159" customFormat="1" ht="60" x14ac:dyDescent="0.35">
      <c r="A244" s="1172">
        <v>2022238</v>
      </c>
      <c r="B244" s="1172">
        <v>7655</v>
      </c>
      <c r="C244" s="1172" t="s">
        <v>668</v>
      </c>
      <c r="D244" s="1190" t="s">
        <v>669</v>
      </c>
      <c r="E244" s="1191">
        <v>80111600</v>
      </c>
      <c r="F244" s="1216" t="s">
        <v>927</v>
      </c>
      <c r="G244" s="1224" t="s">
        <v>1414</v>
      </c>
      <c r="H244" s="1204" t="s">
        <v>1414</v>
      </c>
      <c r="I244" s="1225" t="s">
        <v>1470</v>
      </c>
      <c r="J244" s="1195" t="s">
        <v>1455</v>
      </c>
      <c r="K244" s="1176" t="s">
        <v>674</v>
      </c>
      <c r="L244" s="1219" t="s">
        <v>675</v>
      </c>
      <c r="M244" s="1179">
        <f>44000000+8800000</f>
        <v>52800000</v>
      </c>
      <c r="N244" s="1197" t="s">
        <v>730</v>
      </c>
      <c r="O244" s="1206" t="s">
        <v>1456</v>
      </c>
    </row>
    <row r="245" spans="1:15" s="1159" customFormat="1" ht="60" x14ac:dyDescent="0.35">
      <c r="A245" s="1172">
        <v>2022239</v>
      </c>
      <c r="B245" s="1172">
        <v>7655</v>
      </c>
      <c r="C245" s="1172" t="s">
        <v>668</v>
      </c>
      <c r="D245" s="1190" t="s">
        <v>1472</v>
      </c>
      <c r="E245" s="1191">
        <v>80111600</v>
      </c>
      <c r="F245" s="1216" t="s">
        <v>928</v>
      </c>
      <c r="G245" s="1224" t="s">
        <v>1414</v>
      </c>
      <c r="H245" s="1224" t="s">
        <v>1414</v>
      </c>
      <c r="I245" s="1225" t="s">
        <v>1470</v>
      </c>
      <c r="J245" s="1195" t="s">
        <v>1455</v>
      </c>
      <c r="K245" s="1176" t="s">
        <v>674</v>
      </c>
      <c r="L245" s="1219" t="s">
        <v>675</v>
      </c>
      <c r="M245" s="1179">
        <v>102520000</v>
      </c>
      <c r="N245" s="1197" t="s">
        <v>730</v>
      </c>
      <c r="O245" s="1206" t="s">
        <v>1456</v>
      </c>
    </row>
    <row r="246" spans="1:15" s="1159" customFormat="1" ht="75" x14ac:dyDescent="0.35">
      <c r="A246" s="1172">
        <v>2022240</v>
      </c>
      <c r="B246" s="1172">
        <v>7655</v>
      </c>
      <c r="C246" s="1172" t="s">
        <v>668</v>
      </c>
      <c r="D246" s="1190" t="s">
        <v>1472</v>
      </c>
      <c r="E246" s="1191">
        <v>80111600</v>
      </c>
      <c r="F246" s="1216" t="s">
        <v>929</v>
      </c>
      <c r="G246" s="1224" t="s">
        <v>1414</v>
      </c>
      <c r="H246" s="1224" t="s">
        <v>1414</v>
      </c>
      <c r="I246" s="1225" t="s">
        <v>1470</v>
      </c>
      <c r="J246" s="1195" t="s">
        <v>1455</v>
      </c>
      <c r="K246" s="1176" t="s">
        <v>674</v>
      </c>
      <c r="L246" s="1219" t="s">
        <v>675</v>
      </c>
      <c r="M246" s="1179">
        <v>90200000</v>
      </c>
      <c r="N246" s="1197" t="s">
        <v>730</v>
      </c>
      <c r="O246" s="1206" t="s">
        <v>1456</v>
      </c>
    </row>
    <row r="247" spans="1:15" s="1159" customFormat="1" ht="60" x14ac:dyDescent="0.35">
      <c r="A247" s="1172">
        <v>2022241</v>
      </c>
      <c r="B247" s="1172">
        <v>7655</v>
      </c>
      <c r="C247" s="1172" t="s">
        <v>668</v>
      </c>
      <c r="D247" s="1190" t="s">
        <v>1472</v>
      </c>
      <c r="E247" s="1191">
        <v>80111600</v>
      </c>
      <c r="F247" s="1216" t="s">
        <v>930</v>
      </c>
      <c r="G247" s="1224" t="s">
        <v>1414</v>
      </c>
      <c r="H247" s="1224" t="s">
        <v>1414</v>
      </c>
      <c r="I247" s="1225" t="s">
        <v>1470</v>
      </c>
      <c r="J247" s="1195" t="s">
        <v>1455</v>
      </c>
      <c r="K247" s="1176" t="s">
        <v>674</v>
      </c>
      <c r="L247" s="1219" t="s">
        <v>675</v>
      </c>
      <c r="M247" s="1179">
        <v>82500000</v>
      </c>
      <c r="N247" s="1197" t="s">
        <v>730</v>
      </c>
      <c r="O247" s="1206" t="s">
        <v>1456</v>
      </c>
    </row>
    <row r="248" spans="1:15" s="1159" customFormat="1" ht="60" x14ac:dyDescent="0.35">
      <c r="A248" s="1172">
        <v>2022242</v>
      </c>
      <c r="B248" s="1172">
        <v>7655</v>
      </c>
      <c r="C248" s="1172" t="s">
        <v>668</v>
      </c>
      <c r="D248" s="1190" t="s">
        <v>1472</v>
      </c>
      <c r="E248" s="1191">
        <v>80111600</v>
      </c>
      <c r="F248" s="1216" t="s">
        <v>931</v>
      </c>
      <c r="G248" s="1224" t="s">
        <v>1414</v>
      </c>
      <c r="H248" s="1224" t="s">
        <v>1414</v>
      </c>
      <c r="I248" s="1225" t="s">
        <v>1470</v>
      </c>
      <c r="J248" s="1195" t="s">
        <v>1455</v>
      </c>
      <c r="K248" s="1176" t="s">
        <v>674</v>
      </c>
      <c r="L248" s="1219" t="s">
        <v>675</v>
      </c>
      <c r="M248" s="1179">
        <v>50600000</v>
      </c>
      <c r="N248" s="1197" t="s">
        <v>730</v>
      </c>
      <c r="O248" s="1206" t="s">
        <v>1456</v>
      </c>
    </row>
    <row r="249" spans="1:15" s="1159" customFormat="1" ht="60" x14ac:dyDescent="0.35">
      <c r="A249" s="1172">
        <v>2022243</v>
      </c>
      <c r="B249" s="1172">
        <v>7655</v>
      </c>
      <c r="C249" s="1172" t="s">
        <v>668</v>
      </c>
      <c r="D249" s="1190" t="s">
        <v>1472</v>
      </c>
      <c r="E249" s="1191">
        <v>80111600</v>
      </c>
      <c r="F249" s="1216" t="s">
        <v>932</v>
      </c>
      <c r="G249" s="1224" t="s">
        <v>1414</v>
      </c>
      <c r="H249" s="1224" t="s">
        <v>1414</v>
      </c>
      <c r="I249" s="1225" t="s">
        <v>1470</v>
      </c>
      <c r="J249" s="1195" t="s">
        <v>1455</v>
      </c>
      <c r="K249" s="1176" t="s">
        <v>674</v>
      </c>
      <c r="L249" s="1219" t="s">
        <v>675</v>
      </c>
      <c r="M249" s="1179">
        <v>35200000</v>
      </c>
      <c r="N249" s="1197" t="s">
        <v>730</v>
      </c>
      <c r="O249" s="1206" t="s">
        <v>1456</v>
      </c>
    </row>
    <row r="250" spans="1:15" s="1159" customFormat="1" ht="60" x14ac:dyDescent="0.35">
      <c r="A250" s="1172">
        <v>2022244</v>
      </c>
      <c r="B250" s="1172">
        <v>7655</v>
      </c>
      <c r="C250" s="1172" t="s">
        <v>668</v>
      </c>
      <c r="D250" s="1190" t="s">
        <v>1472</v>
      </c>
      <c r="E250" s="1191">
        <v>80111600</v>
      </c>
      <c r="F250" s="1216" t="s">
        <v>933</v>
      </c>
      <c r="G250" s="1224" t="s">
        <v>1414</v>
      </c>
      <c r="H250" s="1224" t="s">
        <v>1414</v>
      </c>
      <c r="I250" s="1225" t="s">
        <v>1470</v>
      </c>
      <c r="J250" s="1195" t="s">
        <v>1455</v>
      </c>
      <c r="K250" s="1176" t="s">
        <v>674</v>
      </c>
      <c r="L250" s="1219" t="s">
        <v>675</v>
      </c>
      <c r="M250" s="1179">
        <v>39050000</v>
      </c>
      <c r="N250" s="1197" t="s">
        <v>730</v>
      </c>
      <c r="O250" s="1206" t="s">
        <v>1456</v>
      </c>
    </row>
    <row r="251" spans="1:15" s="1159" customFormat="1" ht="60" x14ac:dyDescent="0.35">
      <c r="A251" s="1172">
        <v>2022245</v>
      </c>
      <c r="B251" s="1172">
        <v>7655</v>
      </c>
      <c r="C251" s="1172" t="s">
        <v>668</v>
      </c>
      <c r="D251" s="1190" t="s">
        <v>1472</v>
      </c>
      <c r="E251" s="1191">
        <v>80111600</v>
      </c>
      <c r="F251" s="1216" t="s">
        <v>934</v>
      </c>
      <c r="G251" s="1224" t="s">
        <v>1414</v>
      </c>
      <c r="H251" s="1224" t="s">
        <v>1414</v>
      </c>
      <c r="I251" s="1225" t="s">
        <v>1470</v>
      </c>
      <c r="J251" s="1195" t="s">
        <v>1455</v>
      </c>
      <c r="K251" s="1176" t="s">
        <v>674</v>
      </c>
      <c r="L251" s="1219" t="s">
        <v>675</v>
      </c>
      <c r="M251" s="1179">
        <v>39050000</v>
      </c>
      <c r="N251" s="1197" t="s">
        <v>730</v>
      </c>
      <c r="O251" s="1206" t="s">
        <v>1456</v>
      </c>
    </row>
    <row r="252" spans="1:15" s="1159" customFormat="1" ht="60" x14ac:dyDescent="0.35">
      <c r="A252" s="1172">
        <v>2022246</v>
      </c>
      <c r="B252" s="1172">
        <v>7655</v>
      </c>
      <c r="C252" s="1172" t="s">
        <v>668</v>
      </c>
      <c r="D252" s="1190" t="s">
        <v>1472</v>
      </c>
      <c r="E252" s="1191">
        <v>80111600</v>
      </c>
      <c r="F252" s="1216" t="s">
        <v>935</v>
      </c>
      <c r="G252" s="1224" t="s">
        <v>1414</v>
      </c>
      <c r="H252" s="1224" t="s">
        <v>1414</v>
      </c>
      <c r="I252" s="1225" t="s">
        <v>1470</v>
      </c>
      <c r="J252" s="1195" t="s">
        <v>1455</v>
      </c>
      <c r="K252" s="1176" t="s">
        <v>674</v>
      </c>
      <c r="L252" s="1219" t="s">
        <v>675</v>
      </c>
      <c r="M252" s="1179">
        <v>39050000</v>
      </c>
      <c r="N252" s="1197" t="s">
        <v>730</v>
      </c>
      <c r="O252" s="1206" t="s">
        <v>1456</v>
      </c>
    </row>
    <row r="253" spans="1:15" s="1159" customFormat="1" ht="75" x14ac:dyDescent="0.35">
      <c r="A253" s="1172">
        <v>2022247</v>
      </c>
      <c r="B253" s="1172">
        <v>7655</v>
      </c>
      <c r="C253" s="1172" t="s">
        <v>668</v>
      </c>
      <c r="D253" s="1190" t="s">
        <v>1472</v>
      </c>
      <c r="E253" s="1191">
        <v>80111600</v>
      </c>
      <c r="F253" s="1216" t="s">
        <v>936</v>
      </c>
      <c r="G253" s="1224" t="s">
        <v>1414</v>
      </c>
      <c r="H253" s="1224" t="s">
        <v>1414</v>
      </c>
      <c r="I253" s="1225" t="s">
        <v>1470</v>
      </c>
      <c r="J253" s="1195" t="s">
        <v>1455</v>
      </c>
      <c r="K253" s="1176" t="s">
        <v>674</v>
      </c>
      <c r="L253" s="1219" t="s">
        <v>675</v>
      </c>
      <c r="M253" s="1179">
        <v>30250000</v>
      </c>
      <c r="N253" s="1197" t="s">
        <v>730</v>
      </c>
      <c r="O253" s="1206" t="s">
        <v>1456</v>
      </c>
    </row>
    <row r="254" spans="1:15" s="1159" customFormat="1" ht="60" x14ac:dyDescent="0.35">
      <c r="A254" s="1172">
        <v>2022248</v>
      </c>
      <c r="B254" s="1172">
        <v>7655</v>
      </c>
      <c r="C254" s="1172" t="s">
        <v>668</v>
      </c>
      <c r="D254" s="1190" t="s">
        <v>1472</v>
      </c>
      <c r="E254" s="1191">
        <v>80111600</v>
      </c>
      <c r="F254" s="1216" t="s">
        <v>937</v>
      </c>
      <c r="G254" s="1224" t="s">
        <v>1414</v>
      </c>
      <c r="H254" s="1224" t="s">
        <v>1414</v>
      </c>
      <c r="I254" s="1225" t="s">
        <v>1470</v>
      </c>
      <c r="J254" s="1195" t="s">
        <v>1455</v>
      </c>
      <c r="K254" s="1176" t="s">
        <v>674</v>
      </c>
      <c r="L254" s="1219" t="s">
        <v>675</v>
      </c>
      <c r="M254" s="1179">
        <v>36850000</v>
      </c>
      <c r="N254" s="1197" t="s">
        <v>730</v>
      </c>
      <c r="O254" s="1206" t="s">
        <v>1456</v>
      </c>
    </row>
    <row r="255" spans="1:15" s="1159" customFormat="1" ht="60" x14ac:dyDescent="0.35">
      <c r="A255" s="1172">
        <v>2022249</v>
      </c>
      <c r="B255" s="1172">
        <v>7655</v>
      </c>
      <c r="C255" s="1172" t="s">
        <v>668</v>
      </c>
      <c r="D255" s="1190" t="s">
        <v>1472</v>
      </c>
      <c r="E255" s="1172">
        <v>80111600</v>
      </c>
      <c r="F255" s="1192" t="s">
        <v>938</v>
      </c>
      <c r="G255" s="1224" t="s">
        <v>1414</v>
      </c>
      <c r="H255" s="1204" t="s">
        <v>1414</v>
      </c>
      <c r="I255" s="1225" t="s">
        <v>1470</v>
      </c>
      <c r="J255" s="1195" t="s">
        <v>1455</v>
      </c>
      <c r="K255" s="1176" t="s">
        <v>674</v>
      </c>
      <c r="L255" s="1219" t="s">
        <v>675</v>
      </c>
      <c r="M255" s="1179">
        <v>38500000</v>
      </c>
      <c r="N255" s="1197" t="s">
        <v>730</v>
      </c>
      <c r="O255" s="1206" t="s">
        <v>1456</v>
      </c>
    </row>
    <row r="256" spans="1:15" s="1159" customFormat="1" ht="60" x14ac:dyDescent="0.35">
      <c r="A256" s="1172">
        <v>2022250</v>
      </c>
      <c r="B256" s="1172">
        <v>7655</v>
      </c>
      <c r="C256" s="1172" t="s">
        <v>668</v>
      </c>
      <c r="D256" s="1190" t="s">
        <v>1472</v>
      </c>
      <c r="E256" s="1191">
        <v>80111600</v>
      </c>
      <c r="F256" s="1223" t="s">
        <v>939</v>
      </c>
      <c r="G256" s="1224" t="s">
        <v>1414</v>
      </c>
      <c r="H256" s="1224" t="s">
        <v>1414</v>
      </c>
      <c r="I256" s="1225" t="s">
        <v>1470</v>
      </c>
      <c r="J256" s="1195" t="s">
        <v>1455</v>
      </c>
      <c r="K256" s="1176" t="s">
        <v>674</v>
      </c>
      <c r="L256" s="1219" t="s">
        <v>675</v>
      </c>
      <c r="M256" s="1196">
        <v>95700000</v>
      </c>
      <c r="N256" s="1197" t="s">
        <v>730</v>
      </c>
      <c r="O256" s="1206" t="s">
        <v>1456</v>
      </c>
    </row>
    <row r="257" spans="1:15" s="1159" customFormat="1" ht="75" x14ac:dyDescent="0.35">
      <c r="A257" s="1172">
        <v>2022251</v>
      </c>
      <c r="B257" s="1172">
        <v>7658</v>
      </c>
      <c r="C257" s="1172" t="s">
        <v>679</v>
      </c>
      <c r="D257" s="1190" t="s">
        <v>689</v>
      </c>
      <c r="E257" s="1230">
        <v>80111600</v>
      </c>
      <c r="F257" s="1199" t="s">
        <v>940</v>
      </c>
      <c r="G257" s="1231">
        <v>44575</v>
      </c>
      <c r="H257" s="1231">
        <v>44575</v>
      </c>
      <c r="I257" s="1194" t="s">
        <v>1454</v>
      </c>
      <c r="J257" s="1195" t="s">
        <v>1455</v>
      </c>
      <c r="K257" s="1176" t="s">
        <v>674</v>
      </c>
      <c r="L257" s="1178" t="s">
        <v>675</v>
      </c>
      <c r="M257" s="1196">
        <v>103500000</v>
      </c>
      <c r="N257" s="1175" t="s">
        <v>744</v>
      </c>
      <c r="O257" s="1175" t="s">
        <v>1473</v>
      </c>
    </row>
    <row r="258" spans="1:15" s="1159" customFormat="1" ht="75" x14ac:dyDescent="0.35">
      <c r="A258" s="1172">
        <v>2022252</v>
      </c>
      <c r="B258" s="1172">
        <v>7658</v>
      </c>
      <c r="C258" s="1172" t="s">
        <v>679</v>
      </c>
      <c r="D258" s="1190" t="s">
        <v>689</v>
      </c>
      <c r="E258" s="1230">
        <v>80111600</v>
      </c>
      <c r="F258" s="1199" t="s">
        <v>941</v>
      </c>
      <c r="G258" s="1231">
        <v>44575</v>
      </c>
      <c r="H258" s="1231">
        <v>44575</v>
      </c>
      <c r="I258" s="1194" t="s">
        <v>1454</v>
      </c>
      <c r="J258" s="1195" t="s">
        <v>1455</v>
      </c>
      <c r="K258" s="1176" t="s">
        <v>674</v>
      </c>
      <c r="L258" s="1178" t="s">
        <v>782</v>
      </c>
      <c r="M258" s="1196">
        <v>103500000</v>
      </c>
      <c r="N258" s="1175" t="s">
        <v>744</v>
      </c>
      <c r="O258" s="1175" t="s">
        <v>1473</v>
      </c>
    </row>
    <row r="259" spans="1:15" s="1159" customFormat="1" ht="75" x14ac:dyDescent="0.35">
      <c r="A259" s="1172">
        <v>2022253</v>
      </c>
      <c r="B259" s="1172">
        <v>7658</v>
      </c>
      <c r="C259" s="1172" t="s">
        <v>679</v>
      </c>
      <c r="D259" s="1190" t="s">
        <v>689</v>
      </c>
      <c r="E259" s="1230">
        <v>80111600</v>
      </c>
      <c r="F259" s="1199" t="s">
        <v>942</v>
      </c>
      <c r="G259" s="1231">
        <v>44575</v>
      </c>
      <c r="H259" s="1231">
        <v>44575</v>
      </c>
      <c r="I259" s="1194" t="s">
        <v>1454</v>
      </c>
      <c r="J259" s="1195" t="s">
        <v>1455</v>
      </c>
      <c r="K259" s="1176" t="s">
        <v>674</v>
      </c>
      <c r="L259" s="1178" t="s">
        <v>675</v>
      </c>
      <c r="M259" s="1196">
        <v>32775000</v>
      </c>
      <c r="N259" s="1175" t="s">
        <v>744</v>
      </c>
      <c r="O259" s="1175" t="s">
        <v>1473</v>
      </c>
    </row>
    <row r="260" spans="1:15" s="1159" customFormat="1" ht="75" x14ac:dyDescent="0.35">
      <c r="A260" s="1172">
        <v>2022254</v>
      </c>
      <c r="B260" s="1172">
        <v>7658</v>
      </c>
      <c r="C260" s="1172" t="s">
        <v>679</v>
      </c>
      <c r="D260" s="1190" t="s">
        <v>689</v>
      </c>
      <c r="E260" s="1230">
        <v>80111600</v>
      </c>
      <c r="F260" s="1175" t="s">
        <v>1476</v>
      </c>
      <c r="G260" s="1231">
        <v>44575</v>
      </c>
      <c r="H260" s="1231">
        <v>44575</v>
      </c>
      <c r="I260" s="1194" t="s">
        <v>1454</v>
      </c>
      <c r="J260" s="1195" t="s">
        <v>1455</v>
      </c>
      <c r="K260" s="1176" t="s">
        <v>674</v>
      </c>
      <c r="L260" s="1178" t="s">
        <v>675</v>
      </c>
      <c r="M260" s="1196">
        <v>63250000</v>
      </c>
      <c r="N260" s="1175" t="s">
        <v>744</v>
      </c>
      <c r="O260" s="1175" t="s">
        <v>1473</v>
      </c>
    </row>
    <row r="261" spans="1:15" s="1159" customFormat="1" ht="75" x14ac:dyDescent="0.35">
      <c r="A261" s="1172">
        <v>2022255</v>
      </c>
      <c r="B261" s="1172">
        <v>7658</v>
      </c>
      <c r="C261" s="1172" t="s">
        <v>679</v>
      </c>
      <c r="D261" s="1190" t="s">
        <v>689</v>
      </c>
      <c r="E261" s="1230">
        <v>80111600</v>
      </c>
      <c r="F261" s="1199" t="s">
        <v>943</v>
      </c>
      <c r="G261" s="1231">
        <v>44575</v>
      </c>
      <c r="H261" s="1231">
        <v>44575</v>
      </c>
      <c r="I261" s="1194" t="s">
        <v>1454</v>
      </c>
      <c r="J261" s="1195" t="s">
        <v>1455</v>
      </c>
      <c r="K261" s="1176" t="s">
        <v>674</v>
      </c>
      <c r="L261" s="1178" t="s">
        <v>675</v>
      </c>
      <c r="M261" s="1196">
        <v>83950000</v>
      </c>
      <c r="N261" s="1175" t="s">
        <v>744</v>
      </c>
      <c r="O261" s="1175" t="s">
        <v>1473</v>
      </c>
    </row>
    <row r="262" spans="1:15" s="1159" customFormat="1" ht="75" x14ac:dyDescent="0.35">
      <c r="A262" s="1172">
        <v>2022256</v>
      </c>
      <c r="B262" s="1172">
        <v>7658</v>
      </c>
      <c r="C262" s="1172" t="s">
        <v>679</v>
      </c>
      <c r="D262" s="1190" t="s">
        <v>689</v>
      </c>
      <c r="E262" s="1230">
        <v>80111600</v>
      </c>
      <c r="F262" s="1199" t="s">
        <v>1477</v>
      </c>
      <c r="G262" s="1231">
        <v>44575</v>
      </c>
      <c r="H262" s="1231">
        <v>44575</v>
      </c>
      <c r="I262" s="1194" t="s">
        <v>1454</v>
      </c>
      <c r="J262" s="1195" t="s">
        <v>1455</v>
      </c>
      <c r="K262" s="1176" t="s">
        <v>674</v>
      </c>
      <c r="L262" s="1178" t="s">
        <v>675</v>
      </c>
      <c r="M262" s="1196">
        <v>51750000</v>
      </c>
      <c r="N262" s="1175" t="s">
        <v>744</v>
      </c>
      <c r="O262" s="1175" t="s">
        <v>1473</v>
      </c>
    </row>
    <row r="263" spans="1:15" s="1159" customFormat="1" ht="75" x14ac:dyDescent="0.35">
      <c r="A263" s="1172">
        <v>2022257</v>
      </c>
      <c r="B263" s="1172">
        <v>7658</v>
      </c>
      <c r="C263" s="1172" t="s">
        <v>679</v>
      </c>
      <c r="D263" s="1190" t="s">
        <v>689</v>
      </c>
      <c r="E263" s="1230">
        <v>80111600</v>
      </c>
      <c r="F263" s="1175" t="s">
        <v>944</v>
      </c>
      <c r="G263" s="1231">
        <v>44575</v>
      </c>
      <c r="H263" s="1231">
        <v>44575</v>
      </c>
      <c r="I263" s="1194" t="s">
        <v>1454</v>
      </c>
      <c r="J263" s="1195" t="s">
        <v>1455</v>
      </c>
      <c r="K263" s="1176" t="s">
        <v>674</v>
      </c>
      <c r="L263" s="1178" t="s">
        <v>675</v>
      </c>
      <c r="M263" s="1196">
        <v>83950000</v>
      </c>
      <c r="N263" s="1175" t="s">
        <v>744</v>
      </c>
      <c r="O263" s="1175" t="s">
        <v>1473</v>
      </c>
    </row>
    <row r="264" spans="1:15" s="1159" customFormat="1" ht="75" x14ac:dyDescent="0.35">
      <c r="A264" s="1172">
        <v>2022258</v>
      </c>
      <c r="B264" s="1172">
        <v>7658</v>
      </c>
      <c r="C264" s="1172" t="s">
        <v>679</v>
      </c>
      <c r="D264" s="1190" t="s">
        <v>689</v>
      </c>
      <c r="E264" s="1230">
        <v>80111600</v>
      </c>
      <c r="F264" s="1199" t="s">
        <v>945</v>
      </c>
      <c r="G264" s="1231">
        <v>44575</v>
      </c>
      <c r="H264" s="1231">
        <v>44575</v>
      </c>
      <c r="I264" s="1194" t="s">
        <v>1454</v>
      </c>
      <c r="J264" s="1195" t="s">
        <v>1455</v>
      </c>
      <c r="K264" s="1176" t="s">
        <v>674</v>
      </c>
      <c r="L264" s="1178" t="s">
        <v>675</v>
      </c>
      <c r="M264" s="1196">
        <v>83950000</v>
      </c>
      <c r="N264" s="1175" t="s">
        <v>744</v>
      </c>
      <c r="O264" s="1175" t="s">
        <v>1473</v>
      </c>
    </row>
    <row r="265" spans="1:15" s="1159" customFormat="1" ht="75" x14ac:dyDescent="0.35">
      <c r="A265" s="1172">
        <v>2022259</v>
      </c>
      <c r="B265" s="1172">
        <v>7658</v>
      </c>
      <c r="C265" s="1172" t="s">
        <v>679</v>
      </c>
      <c r="D265" s="1190" t="s">
        <v>689</v>
      </c>
      <c r="E265" s="1230">
        <v>80111600</v>
      </c>
      <c r="F265" s="1175" t="s">
        <v>1478</v>
      </c>
      <c r="G265" s="1231">
        <v>44575</v>
      </c>
      <c r="H265" s="1231">
        <v>44575</v>
      </c>
      <c r="I265" s="1194" t="s">
        <v>1454</v>
      </c>
      <c r="J265" s="1195" t="s">
        <v>1455</v>
      </c>
      <c r="K265" s="1176" t="s">
        <v>674</v>
      </c>
      <c r="L265" s="1178" t="s">
        <v>675</v>
      </c>
      <c r="M265" s="1196">
        <v>94300000</v>
      </c>
      <c r="N265" s="1175" t="s">
        <v>744</v>
      </c>
      <c r="O265" s="1175" t="s">
        <v>1473</v>
      </c>
    </row>
    <row r="266" spans="1:15" s="1159" customFormat="1" ht="75" x14ac:dyDescent="0.35">
      <c r="A266" s="1172">
        <v>2022260</v>
      </c>
      <c r="B266" s="1172">
        <v>7658</v>
      </c>
      <c r="C266" s="1172" t="s">
        <v>679</v>
      </c>
      <c r="D266" s="1190" t="s">
        <v>689</v>
      </c>
      <c r="E266" s="1230">
        <v>80111600</v>
      </c>
      <c r="F266" s="1175" t="s">
        <v>945</v>
      </c>
      <c r="G266" s="1231">
        <v>44575</v>
      </c>
      <c r="H266" s="1231">
        <v>44575</v>
      </c>
      <c r="I266" s="1194" t="s">
        <v>1454</v>
      </c>
      <c r="J266" s="1195" t="s">
        <v>1455</v>
      </c>
      <c r="K266" s="1176" t="s">
        <v>674</v>
      </c>
      <c r="L266" s="1178" t="s">
        <v>675</v>
      </c>
      <c r="M266" s="1196">
        <v>83950000</v>
      </c>
      <c r="N266" s="1175" t="s">
        <v>744</v>
      </c>
      <c r="O266" s="1175" t="s">
        <v>1473</v>
      </c>
    </row>
    <row r="267" spans="1:15" s="1159" customFormat="1" ht="75" x14ac:dyDescent="0.35">
      <c r="A267" s="1172">
        <v>2022261</v>
      </c>
      <c r="B267" s="1172">
        <v>7658</v>
      </c>
      <c r="C267" s="1172" t="s">
        <v>679</v>
      </c>
      <c r="D267" s="1190" t="s">
        <v>689</v>
      </c>
      <c r="E267" s="1230">
        <v>80111600</v>
      </c>
      <c r="F267" s="1175" t="s">
        <v>945</v>
      </c>
      <c r="G267" s="1231">
        <v>44575</v>
      </c>
      <c r="H267" s="1231">
        <v>44575</v>
      </c>
      <c r="I267" s="1194" t="s">
        <v>1454</v>
      </c>
      <c r="J267" s="1195" t="s">
        <v>1455</v>
      </c>
      <c r="K267" s="1176" t="s">
        <v>674</v>
      </c>
      <c r="L267" s="1178" t="s">
        <v>675</v>
      </c>
      <c r="M267" s="1196">
        <v>83950000</v>
      </c>
      <c r="N267" s="1175" t="s">
        <v>744</v>
      </c>
      <c r="O267" s="1175" t="s">
        <v>1473</v>
      </c>
    </row>
    <row r="268" spans="1:15" s="1159" customFormat="1" ht="75" x14ac:dyDescent="0.35">
      <c r="A268" s="1172">
        <v>2022262</v>
      </c>
      <c r="B268" s="1172">
        <v>7658</v>
      </c>
      <c r="C268" s="1172" t="s">
        <v>679</v>
      </c>
      <c r="D268" s="1190" t="s">
        <v>689</v>
      </c>
      <c r="E268" s="1230">
        <v>80111600</v>
      </c>
      <c r="F268" s="1199" t="s">
        <v>945</v>
      </c>
      <c r="G268" s="1231">
        <v>44575</v>
      </c>
      <c r="H268" s="1231">
        <v>44575</v>
      </c>
      <c r="I268" s="1194" t="s">
        <v>1454</v>
      </c>
      <c r="J268" s="1195" t="s">
        <v>1455</v>
      </c>
      <c r="K268" s="1176" t="s">
        <v>674</v>
      </c>
      <c r="L268" s="1178" t="s">
        <v>675</v>
      </c>
      <c r="M268" s="1196">
        <v>83950000</v>
      </c>
      <c r="N268" s="1175" t="s">
        <v>744</v>
      </c>
      <c r="O268" s="1175" t="s">
        <v>1473</v>
      </c>
    </row>
    <row r="269" spans="1:15" s="1159" customFormat="1" ht="75" x14ac:dyDescent="0.35">
      <c r="A269" s="1172">
        <v>2022263</v>
      </c>
      <c r="B269" s="1172">
        <v>7658</v>
      </c>
      <c r="C269" s="1172" t="s">
        <v>679</v>
      </c>
      <c r="D269" s="1190" t="s">
        <v>689</v>
      </c>
      <c r="E269" s="1230">
        <v>80111600</v>
      </c>
      <c r="F269" s="1199" t="s">
        <v>944</v>
      </c>
      <c r="G269" s="1231">
        <v>44575</v>
      </c>
      <c r="H269" s="1231">
        <v>44575</v>
      </c>
      <c r="I269" s="1194" t="s">
        <v>1454</v>
      </c>
      <c r="J269" s="1195" t="s">
        <v>1455</v>
      </c>
      <c r="K269" s="1176" t="s">
        <v>674</v>
      </c>
      <c r="L269" s="1178" t="s">
        <v>675</v>
      </c>
      <c r="M269" s="1196">
        <v>78200000</v>
      </c>
      <c r="N269" s="1175" t="s">
        <v>744</v>
      </c>
      <c r="O269" s="1175" t="s">
        <v>1473</v>
      </c>
    </row>
    <row r="270" spans="1:15" s="1159" customFormat="1" ht="75" x14ac:dyDescent="0.35">
      <c r="A270" s="1172">
        <v>2022264</v>
      </c>
      <c r="B270" s="1172">
        <v>7658</v>
      </c>
      <c r="C270" s="1172" t="s">
        <v>679</v>
      </c>
      <c r="D270" s="1190" t="s">
        <v>689</v>
      </c>
      <c r="E270" s="1230">
        <v>80111600</v>
      </c>
      <c r="F270" s="1199" t="s">
        <v>946</v>
      </c>
      <c r="G270" s="1231">
        <v>44575</v>
      </c>
      <c r="H270" s="1231">
        <v>44575</v>
      </c>
      <c r="I270" s="1194" t="s">
        <v>1454</v>
      </c>
      <c r="J270" s="1195" t="s">
        <v>1455</v>
      </c>
      <c r="K270" s="1176" t="s">
        <v>674</v>
      </c>
      <c r="L270" s="1178" t="s">
        <v>675</v>
      </c>
      <c r="M270" s="1196">
        <v>44275000</v>
      </c>
      <c r="N270" s="1175" t="s">
        <v>744</v>
      </c>
      <c r="O270" s="1175" t="s">
        <v>1473</v>
      </c>
    </row>
    <row r="271" spans="1:15" s="1159" customFormat="1" ht="75" x14ac:dyDescent="0.35">
      <c r="A271" s="1172">
        <v>2022265</v>
      </c>
      <c r="B271" s="1172">
        <v>7658</v>
      </c>
      <c r="C271" s="1172" t="s">
        <v>679</v>
      </c>
      <c r="D271" s="1190" t="s">
        <v>689</v>
      </c>
      <c r="E271" s="1230">
        <v>80111600</v>
      </c>
      <c r="F271" s="1199" t="s">
        <v>947</v>
      </c>
      <c r="G271" s="1231">
        <v>44575</v>
      </c>
      <c r="H271" s="1231">
        <v>44575</v>
      </c>
      <c r="I271" s="1194" t="s">
        <v>1454</v>
      </c>
      <c r="J271" s="1195" t="s">
        <v>1455</v>
      </c>
      <c r="K271" s="1176" t="s">
        <v>674</v>
      </c>
      <c r="L271" s="1178" t="s">
        <v>675</v>
      </c>
      <c r="M271" s="1196">
        <v>28175000</v>
      </c>
      <c r="N271" s="1175" t="s">
        <v>744</v>
      </c>
      <c r="O271" s="1175" t="s">
        <v>1473</v>
      </c>
    </row>
    <row r="272" spans="1:15" s="1159" customFormat="1" ht="75" x14ac:dyDescent="0.35">
      <c r="A272" s="1172">
        <v>2022266</v>
      </c>
      <c r="B272" s="1172">
        <v>7658</v>
      </c>
      <c r="C272" s="1172" t="s">
        <v>679</v>
      </c>
      <c r="D272" s="1190" t="s">
        <v>689</v>
      </c>
      <c r="E272" s="1230">
        <v>80111600</v>
      </c>
      <c r="F272" s="1199" t="s">
        <v>948</v>
      </c>
      <c r="G272" s="1231">
        <v>44575</v>
      </c>
      <c r="H272" s="1231">
        <v>44575</v>
      </c>
      <c r="I272" s="1194" t="s">
        <v>1454</v>
      </c>
      <c r="J272" s="1195" t="s">
        <v>1455</v>
      </c>
      <c r="K272" s="1176" t="s">
        <v>674</v>
      </c>
      <c r="L272" s="1178" t="s">
        <v>675</v>
      </c>
      <c r="M272" s="1196">
        <v>63250000</v>
      </c>
      <c r="N272" s="1175" t="s">
        <v>744</v>
      </c>
      <c r="O272" s="1175" t="s">
        <v>1473</v>
      </c>
    </row>
    <row r="273" spans="1:15" s="1159" customFormat="1" ht="75" x14ac:dyDescent="0.35">
      <c r="A273" s="1172">
        <v>2022267</v>
      </c>
      <c r="B273" s="1172">
        <v>7658</v>
      </c>
      <c r="C273" s="1172" t="s">
        <v>679</v>
      </c>
      <c r="D273" s="1190" t="s">
        <v>689</v>
      </c>
      <c r="E273" s="1230">
        <v>80111600</v>
      </c>
      <c r="F273" s="1199" t="s">
        <v>949</v>
      </c>
      <c r="G273" s="1231">
        <v>44575</v>
      </c>
      <c r="H273" s="1231">
        <v>44575</v>
      </c>
      <c r="I273" s="1194" t="s">
        <v>1454</v>
      </c>
      <c r="J273" s="1195" t="s">
        <v>1455</v>
      </c>
      <c r="K273" s="1176" t="s">
        <v>674</v>
      </c>
      <c r="L273" s="1178" t="s">
        <v>675</v>
      </c>
      <c r="M273" s="1196">
        <v>28175000</v>
      </c>
      <c r="N273" s="1175" t="s">
        <v>744</v>
      </c>
      <c r="O273" s="1175" t="s">
        <v>1473</v>
      </c>
    </row>
    <row r="274" spans="1:15" s="1159" customFormat="1" ht="75" x14ac:dyDescent="0.35">
      <c r="A274" s="1172">
        <v>2022268</v>
      </c>
      <c r="B274" s="1172">
        <v>7658</v>
      </c>
      <c r="C274" s="1172" t="s">
        <v>679</v>
      </c>
      <c r="D274" s="1190" t="s">
        <v>689</v>
      </c>
      <c r="E274" s="1230">
        <v>80111600</v>
      </c>
      <c r="F274" s="1199" t="s">
        <v>949</v>
      </c>
      <c r="G274" s="1231">
        <v>44575</v>
      </c>
      <c r="H274" s="1231">
        <v>44575</v>
      </c>
      <c r="I274" s="1194" t="s">
        <v>1454</v>
      </c>
      <c r="J274" s="1195" t="s">
        <v>1455</v>
      </c>
      <c r="K274" s="1176" t="s">
        <v>674</v>
      </c>
      <c r="L274" s="1178" t="s">
        <v>675</v>
      </c>
      <c r="M274" s="1196">
        <v>28175000</v>
      </c>
      <c r="N274" s="1175" t="s">
        <v>744</v>
      </c>
      <c r="O274" s="1175" t="s">
        <v>1473</v>
      </c>
    </row>
    <row r="275" spans="1:15" s="1159" customFormat="1" ht="75" x14ac:dyDescent="0.35">
      <c r="A275" s="1172">
        <v>2022269</v>
      </c>
      <c r="B275" s="1172">
        <v>7658</v>
      </c>
      <c r="C275" s="1172" t="s">
        <v>679</v>
      </c>
      <c r="D275" s="1190" t="s">
        <v>689</v>
      </c>
      <c r="E275" s="1230">
        <v>80111600</v>
      </c>
      <c r="F275" s="1199" t="s">
        <v>949</v>
      </c>
      <c r="G275" s="1231">
        <v>44575</v>
      </c>
      <c r="H275" s="1231">
        <v>44575</v>
      </c>
      <c r="I275" s="1194" t="s">
        <v>1454</v>
      </c>
      <c r="J275" s="1195" t="s">
        <v>1455</v>
      </c>
      <c r="K275" s="1176" t="s">
        <v>674</v>
      </c>
      <c r="L275" s="1178" t="s">
        <v>675</v>
      </c>
      <c r="M275" s="1196">
        <v>28175000</v>
      </c>
      <c r="N275" s="1175" t="s">
        <v>744</v>
      </c>
      <c r="O275" s="1175" t="s">
        <v>1473</v>
      </c>
    </row>
    <row r="276" spans="1:15" s="1159" customFormat="1" ht="75" x14ac:dyDescent="0.35">
      <c r="A276" s="1172">
        <v>2022270</v>
      </c>
      <c r="B276" s="1172">
        <v>7658</v>
      </c>
      <c r="C276" s="1172" t="s">
        <v>679</v>
      </c>
      <c r="D276" s="1190" t="s">
        <v>689</v>
      </c>
      <c r="E276" s="1230">
        <v>80111600</v>
      </c>
      <c r="F276" s="1199" t="s">
        <v>949</v>
      </c>
      <c r="G276" s="1231">
        <v>44575</v>
      </c>
      <c r="H276" s="1231">
        <v>44575</v>
      </c>
      <c r="I276" s="1194" t="s">
        <v>1454</v>
      </c>
      <c r="J276" s="1195" t="s">
        <v>1455</v>
      </c>
      <c r="K276" s="1176" t="s">
        <v>674</v>
      </c>
      <c r="L276" s="1178" t="s">
        <v>675</v>
      </c>
      <c r="M276" s="1196">
        <v>28175000</v>
      </c>
      <c r="N276" s="1175" t="s">
        <v>744</v>
      </c>
      <c r="O276" s="1175" t="s">
        <v>1473</v>
      </c>
    </row>
    <row r="277" spans="1:15" s="1159" customFormat="1" ht="75" x14ac:dyDescent="0.35">
      <c r="A277" s="1172">
        <v>2022271</v>
      </c>
      <c r="B277" s="1172">
        <v>7658</v>
      </c>
      <c r="C277" s="1172" t="s">
        <v>679</v>
      </c>
      <c r="D277" s="1190" t="s">
        <v>689</v>
      </c>
      <c r="E277" s="1230">
        <v>80111600</v>
      </c>
      <c r="F277" s="1199" t="s">
        <v>949</v>
      </c>
      <c r="G277" s="1231">
        <v>44575</v>
      </c>
      <c r="H277" s="1231">
        <v>44575</v>
      </c>
      <c r="I277" s="1194" t="s">
        <v>1454</v>
      </c>
      <c r="J277" s="1195" t="s">
        <v>1455</v>
      </c>
      <c r="K277" s="1176" t="s">
        <v>674</v>
      </c>
      <c r="L277" s="1178" t="s">
        <v>675</v>
      </c>
      <c r="M277" s="1196">
        <v>28175000</v>
      </c>
      <c r="N277" s="1175" t="s">
        <v>744</v>
      </c>
      <c r="O277" s="1175" t="s">
        <v>1473</v>
      </c>
    </row>
    <row r="278" spans="1:15" s="1159" customFormat="1" ht="75" x14ac:dyDescent="0.35">
      <c r="A278" s="1172">
        <v>2022272</v>
      </c>
      <c r="B278" s="1172">
        <v>7658</v>
      </c>
      <c r="C278" s="1172" t="s">
        <v>679</v>
      </c>
      <c r="D278" s="1190" t="s">
        <v>689</v>
      </c>
      <c r="E278" s="1230">
        <v>80111600</v>
      </c>
      <c r="F278" s="1199" t="s">
        <v>949</v>
      </c>
      <c r="G278" s="1231">
        <v>44575</v>
      </c>
      <c r="H278" s="1231">
        <v>44575</v>
      </c>
      <c r="I278" s="1194" t="s">
        <v>1454</v>
      </c>
      <c r="J278" s="1195" t="s">
        <v>1455</v>
      </c>
      <c r="K278" s="1176" t="s">
        <v>674</v>
      </c>
      <c r="L278" s="1178" t="s">
        <v>675</v>
      </c>
      <c r="M278" s="1196">
        <v>28175000</v>
      </c>
      <c r="N278" s="1175" t="s">
        <v>744</v>
      </c>
      <c r="O278" s="1175" t="s">
        <v>1473</v>
      </c>
    </row>
    <row r="279" spans="1:15" s="1159" customFormat="1" ht="75" x14ac:dyDescent="0.35">
      <c r="A279" s="1172">
        <v>2022273</v>
      </c>
      <c r="B279" s="1172">
        <v>7658</v>
      </c>
      <c r="C279" s="1172" t="s">
        <v>679</v>
      </c>
      <c r="D279" s="1190" t="s">
        <v>689</v>
      </c>
      <c r="E279" s="1230">
        <v>80111600</v>
      </c>
      <c r="F279" s="1199" t="s">
        <v>949</v>
      </c>
      <c r="G279" s="1231">
        <v>44575</v>
      </c>
      <c r="H279" s="1231">
        <v>44575</v>
      </c>
      <c r="I279" s="1194" t="s">
        <v>1454</v>
      </c>
      <c r="J279" s="1195" t="s">
        <v>1455</v>
      </c>
      <c r="K279" s="1176" t="s">
        <v>674</v>
      </c>
      <c r="L279" s="1178" t="s">
        <v>675</v>
      </c>
      <c r="M279" s="1196">
        <v>28175000</v>
      </c>
      <c r="N279" s="1175" t="s">
        <v>744</v>
      </c>
      <c r="O279" s="1175" t="s">
        <v>1473</v>
      </c>
    </row>
    <row r="280" spans="1:15" s="1159" customFormat="1" ht="75" x14ac:dyDescent="0.35">
      <c r="A280" s="1172">
        <v>2022274</v>
      </c>
      <c r="B280" s="1172">
        <v>7658</v>
      </c>
      <c r="C280" s="1172" t="s">
        <v>679</v>
      </c>
      <c r="D280" s="1190" t="s">
        <v>689</v>
      </c>
      <c r="E280" s="1230">
        <v>80111600</v>
      </c>
      <c r="F280" s="1199" t="s">
        <v>949</v>
      </c>
      <c r="G280" s="1231">
        <v>44575</v>
      </c>
      <c r="H280" s="1231">
        <v>44575</v>
      </c>
      <c r="I280" s="1194" t="s">
        <v>1454</v>
      </c>
      <c r="J280" s="1195" t="s">
        <v>1455</v>
      </c>
      <c r="K280" s="1176" t="s">
        <v>674</v>
      </c>
      <c r="L280" s="1178" t="s">
        <v>675</v>
      </c>
      <c r="M280" s="1196">
        <v>28175000</v>
      </c>
      <c r="N280" s="1175" t="s">
        <v>744</v>
      </c>
      <c r="O280" s="1175" t="s">
        <v>1473</v>
      </c>
    </row>
    <row r="281" spans="1:15" s="1159" customFormat="1" ht="75" x14ac:dyDescent="0.35">
      <c r="A281" s="1172">
        <v>2022275</v>
      </c>
      <c r="B281" s="1172">
        <v>7658</v>
      </c>
      <c r="C281" s="1172" t="s">
        <v>679</v>
      </c>
      <c r="D281" s="1190" t="s">
        <v>689</v>
      </c>
      <c r="E281" s="1230">
        <v>80111600</v>
      </c>
      <c r="F281" s="1199" t="s">
        <v>949</v>
      </c>
      <c r="G281" s="1231">
        <v>44575</v>
      </c>
      <c r="H281" s="1231">
        <v>44575</v>
      </c>
      <c r="I281" s="1194" t="s">
        <v>1454</v>
      </c>
      <c r="J281" s="1195" t="s">
        <v>1455</v>
      </c>
      <c r="K281" s="1176" t="s">
        <v>674</v>
      </c>
      <c r="L281" s="1178" t="s">
        <v>675</v>
      </c>
      <c r="M281" s="1196">
        <v>28175000</v>
      </c>
      <c r="N281" s="1175" t="s">
        <v>744</v>
      </c>
      <c r="O281" s="1175" t="s">
        <v>1473</v>
      </c>
    </row>
    <row r="282" spans="1:15" s="1159" customFormat="1" ht="75" x14ac:dyDescent="0.35">
      <c r="A282" s="1172">
        <v>2022276</v>
      </c>
      <c r="B282" s="1172">
        <v>7658</v>
      </c>
      <c r="C282" s="1172" t="s">
        <v>679</v>
      </c>
      <c r="D282" s="1190" t="s">
        <v>689</v>
      </c>
      <c r="E282" s="1230">
        <v>80111600</v>
      </c>
      <c r="F282" s="1199" t="s">
        <v>949</v>
      </c>
      <c r="G282" s="1231">
        <v>44575</v>
      </c>
      <c r="H282" s="1231">
        <v>44575</v>
      </c>
      <c r="I282" s="1194" t="s">
        <v>1454</v>
      </c>
      <c r="J282" s="1195" t="s">
        <v>1455</v>
      </c>
      <c r="K282" s="1176" t="s">
        <v>674</v>
      </c>
      <c r="L282" s="1178" t="s">
        <v>675</v>
      </c>
      <c r="M282" s="1196">
        <v>24150000</v>
      </c>
      <c r="N282" s="1175" t="s">
        <v>744</v>
      </c>
      <c r="O282" s="1175" t="s">
        <v>1473</v>
      </c>
    </row>
    <row r="283" spans="1:15" s="1159" customFormat="1" ht="75" x14ac:dyDescent="0.35">
      <c r="A283" s="1172">
        <v>2022277</v>
      </c>
      <c r="B283" s="1172">
        <v>7658</v>
      </c>
      <c r="C283" s="1172" t="s">
        <v>679</v>
      </c>
      <c r="D283" s="1190" t="s">
        <v>689</v>
      </c>
      <c r="E283" s="1230">
        <v>80111600</v>
      </c>
      <c r="F283" s="1199" t="s">
        <v>949</v>
      </c>
      <c r="G283" s="1231">
        <v>44575</v>
      </c>
      <c r="H283" s="1231">
        <v>44575</v>
      </c>
      <c r="I283" s="1194" t="s">
        <v>1454</v>
      </c>
      <c r="J283" s="1195" t="s">
        <v>1455</v>
      </c>
      <c r="K283" s="1176" t="s">
        <v>674</v>
      </c>
      <c r="L283" s="1178" t="s">
        <v>675</v>
      </c>
      <c r="M283" s="1196">
        <v>28175000</v>
      </c>
      <c r="N283" s="1175" t="s">
        <v>744</v>
      </c>
      <c r="O283" s="1175" t="s">
        <v>1473</v>
      </c>
    </row>
    <row r="284" spans="1:15" s="1159" customFormat="1" ht="75" x14ac:dyDescent="0.35">
      <c r="A284" s="1172">
        <v>2022278</v>
      </c>
      <c r="B284" s="1172">
        <v>7658</v>
      </c>
      <c r="C284" s="1172" t="s">
        <v>679</v>
      </c>
      <c r="D284" s="1190" t="s">
        <v>689</v>
      </c>
      <c r="E284" s="1230">
        <v>80111600</v>
      </c>
      <c r="F284" s="1199" t="s">
        <v>949</v>
      </c>
      <c r="G284" s="1231">
        <v>44575</v>
      </c>
      <c r="H284" s="1231">
        <v>44575</v>
      </c>
      <c r="I284" s="1194" t="s">
        <v>1454</v>
      </c>
      <c r="J284" s="1195" t="s">
        <v>1455</v>
      </c>
      <c r="K284" s="1176" t="s">
        <v>674</v>
      </c>
      <c r="L284" s="1178" t="s">
        <v>675</v>
      </c>
      <c r="M284" s="1196">
        <v>28175000</v>
      </c>
      <c r="N284" s="1175" t="s">
        <v>744</v>
      </c>
      <c r="O284" s="1175" t="s">
        <v>1473</v>
      </c>
    </row>
    <row r="285" spans="1:15" s="1159" customFormat="1" ht="75" x14ac:dyDescent="0.35">
      <c r="A285" s="1172">
        <v>2022279</v>
      </c>
      <c r="B285" s="1172">
        <v>7658</v>
      </c>
      <c r="C285" s="1172" t="s">
        <v>679</v>
      </c>
      <c r="D285" s="1190" t="s">
        <v>689</v>
      </c>
      <c r="E285" s="1230">
        <v>80111600</v>
      </c>
      <c r="F285" s="1199" t="s">
        <v>949</v>
      </c>
      <c r="G285" s="1231">
        <v>44575</v>
      </c>
      <c r="H285" s="1231">
        <v>44575</v>
      </c>
      <c r="I285" s="1194" t="s">
        <v>1454</v>
      </c>
      <c r="J285" s="1195" t="s">
        <v>1455</v>
      </c>
      <c r="K285" s="1176" t="s">
        <v>674</v>
      </c>
      <c r="L285" s="1178" t="s">
        <v>675</v>
      </c>
      <c r="M285" s="1196">
        <v>28175000</v>
      </c>
      <c r="N285" s="1175" t="s">
        <v>744</v>
      </c>
      <c r="O285" s="1175" t="s">
        <v>1473</v>
      </c>
    </row>
    <row r="286" spans="1:15" s="1159" customFormat="1" ht="75" x14ac:dyDescent="0.35">
      <c r="A286" s="1172">
        <v>2022280</v>
      </c>
      <c r="B286" s="1172">
        <v>7658</v>
      </c>
      <c r="C286" s="1172" t="s">
        <v>679</v>
      </c>
      <c r="D286" s="1190" t="s">
        <v>689</v>
      </c>
      <c r="E286" s="1230">
        <v>80111600</v>
      </c>
      <c r="F286" s="1199" t="s">
        <v>949</v>
      </c>
      <c r="G286" s="1231">
        <v>44575</v>
      </c>
      <c r="H286" s="1231">
        <v>44575</v>
      </c>
      <c r="I286" s="1194" t="s">
        <v>1454</v>
      </c>
      <c r="J286" s="1195" t="s">
        <v>1455</v>
      </c>
      <c r="K286" s="1176" t="s">
        <v>674</v>
      </c>
      <c r="L286" s="1178" t="s">
        <v>675</v>
      </c>
      <c r="M286" s="1196">
        <v>28175000</v>
      </c>
      <c r="N286" s="1175" t="s">
        <v>744</v>
      </c>
      <c r="O286" s="1175" t="s">
        <v>1473</v>
      </c>
    </row>
    <row r="287" spans="1:15" s="1159" customFormat="1" ht="75" x14ac:dyDescent="0.35">
      <c r="A287" s="1172">
        <v>2022281</v>
      </c>
      <c r="B287" s="1172">
        <v>7658</v>
      </c>
      <c r="C287" s="1172" t="s">
        <v>679</v>
      </c>
      <c r="D287" s="1190" t="s">
        <v>689</v>
      </c>
      <c r="E287" s="1230">
        <v>80111600</v>
      </c>
      <c r="F287" s="1199" t="s">
        <v>949</v>
      </c>
      <c r="G287" s="1231">
        <v>44575</v>
      </c>
      <c r="H287" s="1231">
        <v>44575</v>
      </c>
      <c r="I287" s="1194" t="s">
        <v>1454</v>
      </c>
      <c r="J287" s="1195" t="s">
        <v>1455</v>
      </c>
      <c r="K287" s="1176" t="s">
        <v>674</v>
      </c>
      <c r="L287" s="1178" t="s">
        <v>675</v>
      </c>
      <c r="M287" s="1196">
        <v>28175000</v>
      </c>
      <c r="N287" s="1175" t="s">
        <v>744</v>
      </c>
      <c r="O287" s="1175" t="s">
        <v>1473</v>
      </c>
    </row>
    <row r="288" spans="1:15" s="1159" customFormat="1" ht="75" x14ac:dyDescent="0.35">
      <c r="A288" s="1172">
        <v>2022282</v>
      </c>
      <c r="B288" s="1172">
        <v>7658</v>
      </c>
      <c r="C288" s="1172" t="s">
        <v>679</v>
      </c>
      <c r="D288" s="1190" t="s">
        <v>689</v>
      </c>
      <c r="E288" s="1230">
        <v>80111600</v>
      </c>
      <c r="F288" s="1199" t="s">
        <v>1479</v>
      </c>
      <c r="G288" s="1231">
        <v>44575</v>
      </c>
      <c r="H288" s="1231">
        <v>44575</v>
      </c>
      <c r="I288" s="1194" t="s">
        <v>1454</v>
      </c>
      <c r="J288" s="1195" t="s">
        <v>1455</v>
      </c>
      <c r="K288" s="1176" t="s">
        <v>674</v>
      </c>
      <c r="L288" s="1178" t="s">
        <v>675</v>
      </c>
      <c r="M288" s="1196">
        <v>92000000</v>
      </c>
      <c r="N288" s="1175" t="s">
        <v>744</v>
      </c>
      <c r="O288" s="1175" t="s">
        <v>1473</v>
      </c>
    </row>
    <row r="289" spans="1:15" s="1159" customFormat="1" ht="75" x14ac:dyDescent="0.35">
      <c r="A289" s="1172">
        <v>2022283</v>
      </c>
      <c r="B289" s="1172">
        <v>7658</v>
      </c>
      <c r="C289" s="1172" t="s">
        <v>679</v>
      </c>
      <c r="D289" s="1190" t="s">
        <v>689</v>
      </c>
      <c r="E289" s="1230">
        <v>80111600</v>
      </c>
      <c r="F289" s="1199" t="s">
        <v>950</v>
      </c>
      <c r="G289" s="1231">
        <v>44575</v>
      </c>
      <c r="H289" s="1231">
        <v>44575</v>
      </c>
      <c r="I289" s="1194" t="s">
        <v>1454</v>
      </c>
      <c r="J289" s="1195" t="s">
        <v>1455</v>
      </c>
      <c r="K289" s="1176" t="s">
        <v>674</v>
      </c>
      <c r="L289" s="1178" t="s">
        <v>675</v>
      </c>
      <c r="M289" s="1196">
        <v>47150000</v>
      </c>
      <c r="N289" s="1175" t="s">
        <v>744</v>
      </c>
      <c r="O289" s="1175" t="s">
        <v>1473</v>
      </c>
    </row>
    <row r="290" spans="1:15" s="1159" customFormat="1" ht="75" x14ac:dyDescent="0.35">
      <c r="A290" s="1172">
        <v>2022284</v>
      </c>
      <c r="B290" s="1172">
        <v>7658</v>
      </c>
      <c r="C290" s="1172" t="s">
        <v>679</v>
      </c>
      <c r="D290" s="1190" t="s">
        <v>689</v>
      </c>
      <c r="E290" s="1230">
        <v>80111600</v>
      </c>
      <c r="F290" s="1199" t="s">
        <v>940</v>
      </c>
      <c r="G290" s="1231">
        <v>44575</v>
      </c>
      <c r="H290" s="1231">
        <v>44575</v>
      </c>
      <c r="I290" s="1194" t="s">
        <v>1454</v>
      </c>
      <c r="J290" s="1195" t="s">
        <v>1455</v>
      </c>
      <c r="K290" s="1176" t="s">
        <v>674</v>
      </c>
      <c r="L290" s="1178" t="s">
        <v>675</v>
      </c>
      <c r="M290" s="1196">
        <v>51750000</v>
      </c>
      <c r="N290" s="1175" t="s">
        <v>744</v>
      </c>
      <c r="O290" s="1175" t="s">
        <v>1473</v>
      </c>
    </row>
    <row r="291" spans="1:15" s="1159" customFormat="1" ht="75" x14ac:dyDescent="0.35">
      <c r="A291" s="1172">
        <v>2022285</v>
      </c>
      <c r="B291" s="1172">
        <v>7658</v>
      </c>
      <c r="C291" s="1172" t="s">
        <v>679</v>
      </c>
      <c r="D291" s="1190" t="s">
        <v>689</v>
      </c>
      <c r="E291" s="1230" t="s">
        <v>951</v>
      </c>
      <c r="F291" s="1199" t="s">
        <v>1480</v>
      </c>
      <c r="G291" s="1231">
        <v>44774</v>
      </c>
      <c r="H291" s="1231">
        <v>44774</v>
      </c>
      <c r="I291" s="1194" t="s">
        <v>1458</v>
      </c>
      <c r="J291" s="1195" t="s">
        <v>1422</v>
      </c>
      <c r="K291" s="1176" t="s">
        <v>674</v>
      </c>
      <c r="L291" s="1178" t="s">
        <v>953</v>
      </c>
      <c r="M291" s="1179">
        <v>100000000</v>
      </c>
      <c r="N291" s="1175" t="s">
        <v>744</v>
      </c>
      <c r="O291" s="1175" t="s">
        <v>1473</v>
      </c>
    </row>
    <row r="292" spans="1:15" s="1159" customFormat="1" ht="75" x14ac:dyDescent="0.35">
      <c r="A292" s="1172">
        <v>2022286</v>
      </c>
      <c r="B292" s="1172">
        <v>7658</v>
      </c>
      <c r="C292" s="1172" t="s">
        <v>679</v>
      </c>
      <c r="D292" s="1190" t="s">
        <v>689</v>
      </c>
      <c r="E292" s="1230" t="s">
        <v>955</v>
      </c>
      <c r="F292" s="1232" t="s">
        <v>1481</v>
      </c>
      <c r="G292" s="1231">
        <v>44774</v>
      </c>
      <c r="H292" s="1231">
        <v>44774</v>
      </c>
      <c r="I292" s="1194" t="s">
        <v>1458</v>
      </c>
      <c r="J292" s="1195" t="s">
        <v>1422</v>
      </c>
      <c r="K292" s="1176" t="s">
        <v>674</v>
      </c>
      <c r="L292" s="1233" t="s">
        <v>957</v>
      </c>
      <c r="M292" s="1179">
        <v>150000000</v>
      </c>
      <c r="N292" s="1175" t="s">
        <v>744</v>
      </c>
      <c r="O292" s="1175" t="s">
        <v>1473</v>
      </c>
    </row>
    <row r="293" spans="1:15" s="1159" customFormat="1" ht="75" x14ac:dyDescent="0.35">
      <c r="A293" s="1172">
        <v>2022287</v>
      </c>
      <c r="B293" s="1172">
        <v>7658</v>
      </c>
      <c r="C293" s="1172" t="s">
        <v>679</v>
      </c>
      <c r="D293" s="1190" t="s">
        <v>689</v>
      </c>
      <c r="E293" s="1230" t="s">
        <v>1482</v>
      </c>
      <c r="F293" s="1232" t="s">
        <v>959</v>
      </c>
      <c r="G293" s="1231">
        <v>44713</v>
      </c>
      <c r="H293" s="1231">
        <v>44713</v>
      </c>
      <c r="I293" s="1194" t="s">
        <v>1457</v>
      </c>
      <c r="J293" s="1195" t="s">
        <v>1422</v>
      </c>
      <c r="K293" s="1176" t="s">
        <v>674</v>
      </c>
      <c r="L293" s="1233" t="s">
        <v>957</v>
      </c>
      <c r="M293" s="1179">
        <v>100000000</v>
      </c>
      <c r="N293" s="1175" t="s">
        <v>744</v>
      </c>
      <c r="O293" s="1175" t="s">
        <v>1473</v>
      </c>
    </row>
    <row r="294" spans="1:15" s="1159" customFormat="1" ht="75" x14ac:dyDescent="0.35">
      <c r="A294" s="1172">
        <v>2022288</v>
      </c>
      <c r="B294" s="1172">
        <v>7658</v>
      </c>
      <c r="C294" s="1172" t="s">
        <v>679</v>
      </c>
      <c r="D294" s="1190" t="s">
        <v>689</v>
      </c>
      <c r="E294" s="1230" t="s">
        <v>960</v>
      </c>
      <c r="F294" s="1232" t="s">
        <v>1483</v>
      </c>
      <c r="G294" s="1231">
        <v>44743</v>
      </c>
      <c r="H294" s="1231">
        <v>44743</v>
      </c>
      <c r="I294" s="1194" t="s">
        <v>1457</v>
      </c>
      <c r="J294" s="1195" t="s">
        <v>1422</v>
      </c>
      <c r="K294" s="1176" t="s">
        <v>674</v>
      </c>
      <c r="L294" s="1233" t="s">
        <v>957</v>
      </c>
      <c r="M294" s="1179">
        <v>80000000</v>
      </c>
      <c r="N294" s="1175" t="s">
        <v>744</v>
      </c>
      <c r="O294" s="1175" t="s">
        <v>1473</v>
      </c>
    </row>
    <row r="295" spans="1:15" s="1159" customFormat="1" ht="105" x14ac:dyDescent="0.35">
      <c r="A295" s="1172">
        <v>2022289</v>
      </c>
      <c r="B295" s="1172">
        <v>7658</v>
      </c>
      <c r="C295" s="1172" t="s">
        <v>679</v>
      </c>
      <c r="D295" s="1190" t="s">
        <v>689</v>
      </c>
      <c r="E295" s="1230" t="s">
        <v>1484</v>
      </c>
      <c r="F295" s="1232" t="s">
        <v>1485</v>
      </c>
      <c r="G295" s="1231">
        <v>44621</v>
      </c>
      <c r="H295" s="1231">
        <v>44621</v>
      </c>
      <c r="I295" s="1194" t="s">
        <v>1459</v>
      </c>
      <c r="J295" s="1195" t="s">
        <v>1422</v>
      </c>
      <c r="K295" s="1176" t="s">
        <v>674</v>
      </c>
      <c r="L295" s="1233" t="s">
        <v>957</v>
      </c>
      <c r="M295" s="1179">
        <v>70000000</v>
      </c>
      <c r="N295" s="1175" t="s">
        <v>744</v>
      </c>
      <c r="O295" s="1175" t="s">
        <v>1473</v>
      </c>
    </row>
    <row r="296" spans="1:15" s="1159" customFormat="1" ht="75" x14ac:dyDescent="0.35">
      <c r="A296" s="1172">
        <v>2022290</v>
      </c>
      <c r="B296" s="1172">
        <v>7658</v>
      </c>
      <c r="C296" s="1172" t="s">
        <v>679</v>
      </c>
      <c r="D296" s="1190" t="s">
        <v>689</v>
      </c>
      <c r="E296" s="1230" t="s">
        <v>962</v>
      </c>
      <c r="F296" s="1232" t="s">
        <v>963</v>
      </c>
      <c r="G296" s="1231">
        <v>44593</v>
      </c>
      <c r="H296" s="1231">
        <v>44593</v>
      </c>
      <c r="I296" s="1194" t="s">
        <v>1417</v>
      </c>
      <c r="J296" s="1195" t="s">
        <v>1422</v>
      </c>
      <c r="K296" s="1176" t="s">
        <v>674</v>
      </c>
      <c r="L296" s="1233" t="s">
        <v>957</v>
      </c>
      <c r="M296" s="1179">
        <v>20000000</v>
      </c>
      <c r="N296" s="1175" t="s">
        <v>744</v>
      </c>
      <c r="O296" s="1175" t="s">
        <v>1473</v>
      </c>
    </row>
    <row r="297" spans="1:15" s="1159" customFormat="1" ht="60" x14ac:dyDescent="0.35">
      <c r="A297" s="1172">
        <v>2022291</v>
      </c>
      <c r="B297" s="1172">
        <v>7658</v>
      </c>
      <c r="C297" s="1172" t="s">
        <v>679</v>
      </c>
      <c r="D297" s="1190" t="s">
        <v>689</v>
      </c>
      <c r="E297" s="1230" t="s">
        <v>964</v>
      </c>
      <c r="F297" s="1232" t="s">
        <v>1486</v>
      </c>
      <c r="G297" s="1231">
        <v>44593</v>
      </c>
      <c r="H297" s="1231">
        <v>44593</v>
      </c>
      <c r="I297" s="1194" t="s">
        <v>1459</v>
      </c>
      <c r="J297" s="1195" t="s">
        <v>1487</v>
      </c>
      <c r="K297" s="1176" t="s">
        <v>770</v>
      </c>
      <c r="L297" s="1178" t="s">
        <v>966</v>
      </c>
      <c r="M297" s="1179">
        <v>900000000</v>
      </c>
      <c r="N297" s="1175" t="s">
        <v>722</v>
      </c>
      <c r="O297" s="1175" t="s">
        <v>1488</v>
      </c>
    </row>
    <row r="298" spans="1:15" s="1159" customFormat="1" ht="75" x14ac:dyDescent="0.35">
      <c r="A298" s="1172">
        <v>2022292</v>
      </c>
      <c r="B298" s="1172">
        <v>7658</v>
      </c>
      <c r="C298" s="1172" t="s">
        <v>679</v>
      </c>
      <c r="D298" s="1190" t="s">
        <v>689</v>
      </c>
      <c r="E298" s="1230" t="s">
        <v>967</v>
      </c>
      <c r="F298" s="1232" t="s">
        <v>1489</v>
      </c>
      <c r="G298" s="1231">
        <v>44593</v>
      </c>
      <c r="H298" s="1231">
        <v>44593</v>
      </c>
      <c r="I298" s="1194" t="s">
        <v>1417</v>
      </c>
      <c r="J298" s="1195" t="s">
        <v>1487</v>
      </c>
      <c r="K298" s="1176" t="s">
        <v>770</v>
      </c>
      <c r="L298" s="1178" t="s">
        <v>966</v>
      </c>
      <c r="M298" s="1179">
        <v>180000000</v>
      </c>
      <c r="N298" s="1175" t="s">
        <v>722</v>
      </c>
      <c r="O298" s="1175" t="s">
        <v>1488</v>
      </c>
    </row>
    <row r="299" spans="1:15" s="1159" customFormat="1" ht="60" x14ac:dyDescent="0.35">
      <c r="A299" s="1172">
        <v>2022293</v>
      </c>
      <c r="B299" s="1172">
        <v>7658</v>
      </c>
      <c r="C299" s="1172" t="s">
        <v>679</v>
      </c>
      <c r="D299" s="1190" t="s">
        <v>689</v>
      </c>
      <c r="E299" s="1230" t="s">
        <v>964</v>
      </c>
      <c r="F299" s="1232" t="s">
        <v>1490</v>
      </c>
      <c r="G299" s="1231">
        <v>44593</v>
      </c>
      <c r="H299" s="1231">
        <v>44593</v>
      </c>
      <c r="I299" s="1194" t="s">
        <v>1459</v>
      </c>
      <c r="J299" s="1195" t="s">
        <v>1487</v>
      </c>
      <c r="K299" s="1176" t="s">
        <v>770</v>
      </c>
      <c r="L299" s="1178" t="s">
        <v>966</v>
      </c>
      <c r="M299" s="1179">
        <v>450000000</v>
      </c>
      <c r="N299" s="1175" t="s">
        <v>722</v>
      </c>
      <c r="O299" s="1175" t="s">
        <v>1488</v>
      </c>
    </row>
    <row r="300" spans="1:15" s="1159" customFormat="1" ht="60" x14ac:dyDescent="0.35">
      <c r="A300" s="1172">
        <v>2022294</v>
      </c>
      <c r="B300" s="1172">
        <v>7658</v>
      </c>
      <c r="C300" s="1172" t="s">
        <v>679</v>
      </c>
      <c r="D300" s="1190" t="s">
        <v>689</v>
      </c>
      <c r="E300" s="1234" t="s">
        <v>967</v>
      </c>
      <c r="F300" s="1232" t="s">
        <v>970</v>
      </c>
      <c r="G300" s="1231">
        <v>44593</v>
      </c>
      <c r="H300" s="1231">
        <v>44593</v>
      </c>
      <c r="I300" s="1194" t="s">
        <v>1417</v>
      </c>
      <c r="J300" s="1195" t="s">
        <v>1487</v>
      </c>
      <c r="K300" s="1176" t="s">
        <v>770</v>
      </c>
      <c r="L300" s="1178" t="s">
        <v>966</v>
      </c>
      <c r="M300" s="1179">
        <v>90000000</v>
      </c>
      <c r="N300" s="1175" t="s">
        <v>722</v>
      </c>
      <c r="O300" s="1175" t="s">
        <v>1488</v>
      </c>
    </row>
    <row r="301" spans="1:15" s="1159" customFormat="1" ht="75" x14ac:dyDescent="0.35">
      <c r="A301" s="1172">
        <v>2022295</v>
      </c>
      <c r="B301" s="1172">
        <v>7658</v>
      </c>
      <c r="C301" s="1172" t="s">
        <v>679</v>
      </c>
      <c r="D301" s="1190" t="s">
        <v>689</v>
      </c>
      <c r="E301" s="1230" t="s">
        <v>971</v>
      </c>
      <c r="F301" s="1232" t="s">
        <v>972</v>
      </c>
      <c r="G301" s="1231">
        <v>44593</v>
      </c>
      <c r="H301" s="1231">
        <v>44593</v>
      </c>
      <c r="I301" s="1194" t="s">
        <v>1457</v>
      </c>
      <c r="J301" s="1195" t="s">
        <v>1422</v>
      </c>
      <c r="K301" s="1176" t="s">
        <v>674</v>
      </c>
      <c r="L301" s="1233" t="s">
        <v>957</v>
      </c>
      <c r="M301" s="1179">
        <v>70000000</v>
      </c>
      <c r="N301" s="1175" t="s">
        <v>744</v>
      </c>
      <c r="O301" s="1175" t="s">
        <v>1473</v>
      </c>
    </row>
    <row r="302" spans="1:15" s="1159" customFormat="1" ht="75" x14ac:dyDescent="0.35">
      <c r="A302" s="1172">
        <v>2022296</v>
      </c>
      <c r="B302" s="1172">
        <v>7658</v>
      </c>
      <c r="C302" s="1172" t="s">
        <v>679</v>
      </c>
      <c r="D302" s="1190" t="s">
        <v>689</v>
      </c>
      <c r="E302" s="1230" t="s">
        <v>973</v>
      </c>
      <c r="F302" s="1232" t="s">
        <v>1491</v>
      </c>
      <c r="G302" s="1231">
        <v>44652</v>
      </c>
      <c r="H302" s="1231">
        <v>44652</v>
      </c>
      <c r="I302" s="1194" t="s">
        <v>1461</v>
      </c>
      <c r="J302" s="1195" t="s">
        <v>1438</v>
      </c>
      <c r="K302" s="1176" t="s">
        <v>674</v>
      </c>
      <c r="L302" s="1178" t="s">
        <v>1492</v>
      </c>
      <c r="M302" s="1179">
        <v>300000000</v>
      </c>
      <c r="N302" s="1175" t="s">
        <v>744</v>
      </c>
      <c r="O302" s="1175" t="s">
        <v>1473</v>
      </c>
    </row>
    <row r="303" spans="1:15" s="1159" customFormat="1" ht="75" x14ac:dyDescent="0.35">
      <c r="A303" s="1172">
        <v>2022297</v>
      </c>
      <c r="B303" s="1172">
        <v>7658</v>
      </c>
      <c r="C303" s="1172" t="s">
        <v>679</v>
      </c>
      <c r="D303" s="1190" t="s">
        <v>689</v>
      </c>
      <c r="E303" s="1191" t="s">
        <v>975</v>
      </c>
      <c r="F303" s="1232" t="s">
        <v>976</v>
      </c>
      <c r="G303" s="1231">
        <v>44593</v>
      </c>
      <c r="H303" s="1231">
        <v>44593</v>
      </c>
      <c r="I303" s="1194" t="s">
        <v>1417</v>
      </c>
      <c r="J303" s="1195" t="s">
        <v>1326</v>
      </c>
      <c r="K303" s="1176" t="s">
        <v>674</v>
      </c>
      <c r="L303" s="1178" t="s">
        <v>966</v>
      </c>
      <c r="M303" s="1179">
        <v>1119870000</v>
      </c>
      <c r="N303" s="1175" t="s">
        <v>744</v>
      </c>
      <c r="O303" s="1175" t="s">
        <v>1473</v>
      </c>
    </row>
    <row r="304" spans="1:15" s="1159" customFormat="1" ht="75" x14ac:dyDescent="0.35">
      <c r="A304" s="1172">
        <v>2022298</v>
      </c>
      <c r="B304" s="1172">
        <v>7658</v>
      </c>
      <c r="C304" s="1172" t="s">
        <v>679</v>
      </c>
      <c r="D304" s="1190" t="s">
        <v>689</v>
      </c>
      <c r="E304" s="1191" t="s">
        <v>967</v>
      </c>
      <c r="F304" s="1232" t="s">
        <v>977</v>
      </c>
      <c r="G304" s="1231">
        <v>44593</v>
      </c>
      <c r="H304" s="1231">
        <v>44593</v>
      </c>
      <c r="I304" s="1194" t="s">
        <v>1417</v>
      </c>
      <c r="J304" s="1195" t="s">
        <v>1487</v>
      </c>
      <c r="K304" s="1176" t="s">
        <v>674</v>
      </c>
      <c r="L304" s="1178" t="s">
        <v>966</v>
      </c>
      <c r="M304" s="1179">
        <v>420000000</v>
      </c>
      <c r="N304" s="1175" t="s">
        <v>744</v>
      </c>
      <c r="O304" s="1175" t="s">
        <v>1473</v>
      </c>
    </row>
    <row r="305" spans="1:15" s="1159" customFormat="1" ht="75" x14ac:dyDescent="0.35">
      <c r="A305" s="1172">
        <v>2022299</v>
      </c>
      <c r="B305" s="1172">
        <v>7658</v>
      </c>
      <c r="C305" s="1172" t="s">
        <v>679</v>
      </c>
      <c r="D305" s="1190" t="s">
        <v>689</v>
      </c>
      <c r="E305" s="1230" t="s">
        <v>1493</v>
      </c>
      <c r="F305" s="1232" t="s">
        <v>1494</v>
      </c>
      <c r="G305" s="1231">
        <v>44621</v>
      </c>
      <c r="H305" s="1231">
        <v>44621</v>
      </c>
      <c r="I305" s="1194" t="s">
        <v>1495</v>
      </c>
      <c r="J305" s="1195" t="s">
        <v>1496</v>
      </c>
      <c r="K305" s="1176" t="s">
        <v>770</v>
      </c>
      <c r="L305" s="1178" t="s">
        <v>1492</v>
      </c>
      <c r="M305" s="1179">
        <v>500000000</v>
      </c>
      <c r="N305" s="1175" t="s">
        <v>744</v>
      </c>
      <c r="O305" s="1175" t="s">
        <v>1473</v>
      </c>
    </row>
    <row r="306" spans="1:15" s="1159" customFormat="1" ht="75" x14ac:dyDescent="0.35">
      <c r="A306" s="1172">
        <v>2022300</v>
      </c>
      <c r="B306" s="1172">
        <v>7658</v>
      </c>
      <c r="C306" s="1172" t="s">
        <v>679</v>
      </c>
      <c r="D306" s="1190" t="s">
        <v>689</v>
      </c>
      <c r="E306" s="1234" t="s">
        <v>978</v>
      </c>
      <c r="F306" s="1235" t="s">
        <v>1497</v>
      </c>
      <c r="G306" s="1231">
        <v>44621</v>
      </c>
      <c r="H306" s="1231">
        <v>44621</v>
      </c>
      <c r="I306" s="1194" t="s">
        <v>1367</v>
      </c>
      <c r="J306" s="1195" t="s">
        <v>1496</v>
      </c>
      <c r="K306" s="1176" t="s">
        <v>770</v>
      </c>
      <c r="L306" s="1178" t="s">
        <v>1492</v>
      </c>
      <c r="M306" s="1179">
        <v>300000000</v>
      </c>
      <c r="N306" s="1175" t="s">
        <v>744</v>
      </c>
      <c r="O306" s="1175" t="s">
        <v>1473</v>
      </c>
    </row>
    <row r="307" spans="1:15" s="1159" customFormat="1" ht="60" x14ac:dyDescent="0.35">
      <c r="A307" s="1172">
        <v>2022301</v>
      </c>
      <c r="B307" s="1172">
        <v>7658</v>
      </c>
      <c r="C307" s="1172" t="s">
        <v>679</v>
      </c>
      <c r="D307" s="1190" t="s">
        <v>689</v>
      </c>
      <c r="E307" s="1191" t="s">
        <v>97</v>
      </c>
      <c r="F307" s="1232" t="s">
        <v>980</v>
      </c>
      <c r="G307" s="1231">
        <v>44621</v>
      </c>
      <c r="H307" s="1231">
        <v>44621</v>
      </c>
      <c r="I307" s="1212" t="s">
        <v>97</v>
      </c>
      <c r="J307" s="1195" t="s">
        <v>814</v>
      </c>
      <c r="K307" s="1176" t="s">
        <v>674</v>
      </c>
      <c r="L307" s="1178" t="s">
        <v>966</v>
      </c>
      <c r="M307" s="1179">
        <v>170000000</v>
      </c>
      <c r="N307" s="1178" t="s">
        <v>722</v>
      </c>
      <c r="O307" s="1178" t="s">
        <v>1488</v>
      </c>
    </row>
    <row r="308" spans="1:15" s="1159" customFormat="1" ht="75" x14ac:dyDescent="0.35">
      <c r="A308" s="1182">
        <v>2022302</v>
      </c>
      <c r="B308" s="1182">
        <v>7658</v>
      </c>
      <c r="C308" s="1182" t="s">
        <v>679</v>
      </c>
      <c r="D308" s="1227" t="s">
        <v>689</v>
      </c>
      <c r="E308" s="1236" t="s">
        <v>983</v>
      </c>
      <c r="F308" s="1237" t="s">
        <v>984</v>
      </c>
      <c r="G308" s="1238">
        <v>44652</v>
      </c>
      <c r="H308" s="1238">
        <v>44652</v>
      </c>
      <c r="I308" s="1239" t="s">
        <v>1459</v>
      </c>
      <c r="J308" s="1240" t="s">
        <v>1326</v>
      </c>
      <c r="K308" s="1184" t="s">
        <v>674</v>
      </c>
      <c r="L308" s="1183" t="s">
        <v>985</v>
      </c>
      <c r="M308" s="1186">
        <v>308129000</v>
      </c>
      <c r="N308" s="1185" t="s">
        <v>744</v>
      </c>
      <c r="O308" s="1185" t="s">
        <v>1473</v>
      </c>
    </row>
    <row r="309" spans="1:15" s="1159" customFormat="1" ht="75" x14ac:dyDescent="0.35">
      <c r="A309" s="1172">
        <v>2022303</v>
      </c>
      <c r="B309" s="1172">
        <v>7658</v>
      </c>
      <c r="C309" s="1172" t="s">
        <v>679</v>
      </c>
      <c r="D309" s="1190" t="s">
        <v>689</v>
      </c>
      <c r="E309" s="1234" t="s">
        <v>986</v>
      </c>
      <c r="F309" s="1235" t="s">
        <v>987</v>
      </c>
      <c r="G309" s="1231">
        <v>44575</v>
      </c>
      <c r="H309" s="1231">
        <v>44575</v>
      </c>
      <c r="I309" s="1194" t="s">
        <v>1499</v>
      </c>
      <c r="J309" s="1195" t="s">
        <v>1475</v>
      </c>
      <c r="K309" s="1176" t="s">
        <v>674</v>
      </c>
      <c r="L309" s="1178" t="s">
        <v>988</v>
      </c>
      <c r="M309" s="1179">
        <v>10600000</v>
      </c>
      <c r="N309" s="1175" t="s">
        <v>744</v>
      </c>
      <c r="O309" s="1175" t="s">
        <v>1473</v>
      </c>
    </row>
    <row r="310" spans="1:15" s="1159" customFormat="1" ht="75" x14ac:dyDescent="0.35">
      <c r="A310" s="1172">
        <v>2022304</v>
      </c>
      <c r="B310" s="1172">
        <v>7658</v>
      </c>
      <c r="C310" s="1172" t="s">
        <v>679</v>
      </c>
      <c r="D310" s="1190" t="s">
        <v>689</v>
      </c>
      <c r="E310" s="1234" t="s">
        <v>986</v>
      </c>
      <c r="F310" s="1235" t="s">
        <v>989</v>
      </c>
      <c r="G310" s="1231">
        <v>44606</v>
      </c>
      <c r="H310" s="1231">
        <v>44606</v>
      </c>
      <c r="I310" s="1194" t="s">
        <v>1474</v>
      </c>
      <c r="J310" s="1195" t="s">
        <v>1475</v>
      </c>
      <c r="K310" s="1176" t="s">
        <v>674</v>
      </c>
      <c r="L310" s="1178" t="s">
        <v>988</v>
      </c>
      <c r="M310" s="1179">
        <v>109400000</v>
      </c>
      <c r="N310" s="1175" t="s">
        <v>744</v>
      </c>
      <c r="O310" s="1175" t="s">
        <v>1473</v>
      </c>
    </row>
    <row r="311" spans="1:15" s="1159" customFormat="1" ht="60" x14ac:dyDescent="0.35">
      <c r="A311" s="1172">
        <v>2022305</v>
      </c>
      <c r="B311" s="1172">
        <v>7658</v>
      </c>
      <c r="C311" s="1172" t="s">
        <v>679</v>
      </c>
      <c r="D311" s="1190" t="s">
        <v>689</v>
      </c>
      <c r="E311" s="1234" t="s">
        <v>1500</v>
      </c>
      <c r="F311" s="1235" t="s">
        <v>1501</v>
      </c>
      <c r="G311" s="1231">
        <v>44606</v>
      </c>
      <c r="H311" s="1231">
        <v>44606</v>
      </c>
      <c r="I311" s="1194" t="s">
        <v>1458</v>
      </c>
      <c r="J311" s="1195" t="s">
        <v>1422</v>
      </c>
      <c r="K311" s="1176" t="s">
        <v>770</v>
      </c>
      <c r="L311" s="1178" t="s">
        <v>966</v>
      </c>
      <c r="M311" s="1179">
        <v>205000000</v>
      </c>
      <c r="N311" s="1175" t="s">
        <v>722</v>
      </c>
      <c r="O311" s="1175" t="s">
        <v>1488</v>
      </c>
    </row>
    <row r="312" spans="1:15" s="1159" customFormat="1" ht="75" x14ac:dyDescent="0.35">
      <c r="A312" s="1172">
        <v>2022306</v>
      </c>
      <c r="B312" s="1172">
        <v>7658</v>
      </c>
      <c r="C312" s="1172" t="s">
        <v>679</v>
      </c>
      <c r="D312" s="1190" t="s">
        <v>689</v>
      </c>
      <c r="E312" s="1234" t="s">
        <v>967</v>
      </c>
      <c r="F312" s="1235" t="s">
        <v>992</v>
      </c>
      <c r="G312" s="1231">
        <v>44606</v>
      </c>
      <c r="H312" s="1231">
        <v>44606</v>
      </c>
      <c r="I312" s="1194" t="s">
        <v>1461</v>
      </c>
      <c r="J312" s="1195" t="s">
        <v>1487</v>
      </c>
      <c r="K312" s="1176" t="s">
        <v>770</v>
      </c>
      <c r="L312" s="1178" t="s">
        <v>966</v>
      </c>
      <c r="M312" s="1179">
        <v>21000000</v>
      </c>
      <c r="N312" s="1175" t="s">
        <v>722</v>
      </c>
      <c r="O312" s="1175" t="s">
        <v>1488</v>
      </c>
    </row>
    <row r="313" spans="1:15" s="1159" customFormat="1" ht="60" x14ac:dyDescent="0.35">
      <c r="A313" s="1172">
        <v>2022307</v>
      </c>
      <c r="B313" s="1172">
        <v>7658</v>
      </c>
      <c r="C313" s="1172" t="s">
        <v>679</v>
      </c>
      <c r="D313" s="1190" t="s">
        <v>689</v>
      </c>
      <c r="E313" s="1230" t="s">
        <v>971</v>
      </c>
      <c r="F313" s="1235" t="s">
        <v>1502</v>
      </c>
      <c r="G313" s="1231">
        <v>44634</v>
      </c>
      <c r="H313" s="1231">
        <v>44634</v>
      </c>
      <c r="I313" s="1194" t="s">
        <v>1371</v>
      </c>
      <c r="J313" s="1195" t="s">
        <v>1326</v>
      </c>
      <c r="K313" s="1176" t="s">
        <v>770</v>
      </c>
      <c r="L313" s="1178" t="s">
        <v>966</v>
      </c>
      <c r="M313" s="1179">
        <v>1000000000</v>
      </c>
      <c r="N313" s="1175" t="s">
        <v>722</v>
      </c>
      <c r="O313" s="1175" t="s">
        <v>1488</v>
      </c>
    </row>
    <row r="314" spans="1:15" s="1159" customFormat="1" ht="60" x14ac:dyDescent="0.35">
      <c r="A314" s="1172">
        <v>2022308</v>
      </c>
      <c r="B314" s="1172">
        <v>7658</v>
      </c>
      <c r="C314" s="1172" t="s">
        <v>679</v>
      </c>
      <c r="D314" s="1190" t="s">
        <v>689</v>
      </c>
      <c r="E314" s="1234" t="s">
        <v>967</v>
      </c>
      <c r="F314" s="1235" t="s">
        <v>1503</v>
      </c>
      <c r="G314" s="1231">
        <v>44634</v>
      </c>
      <c r="H314" s="1231">
        <v>44634</v>
      </c>
      <c r="I314" s="1194" t="s">
        <v>1504</v>
      </c>
      <c r="J314" s="1195" t="s">
        <v>1487</v>
      </c>
      <c r="K314" s="1176" t="s">
        <v>770</v>
      </c>
      <c r="L314" s="1178" t="s">
        <v>966</v>
      </c>
      <c r="M314" s="1179">
        <v>345000000</v>
      </c>
      <c r="N314" s="1175" t="s">
        <v>722</v>
      </c>
      <c r="O314" s="1175" t="s">
        <v>1488</v>
      </c>
    </row>
    <row r="315" spans="1:15" s="1159" customFormat="1" ht="60" x14ac:dyDescent="0.35">
      <c r="A315" s="1172">
        <v>2022309</v>
      </c>
      <c r="B315" s="1172">
        <v>7658</v>
      </c>
      <c r="C315" s="1172" t="s">
        <v>679</v>
      </c>
      <c r="D315" s="1190" t="s">
        <v>689</v>
      </c>
      <c r="E315" s="1230" t="s">
        <v>1505</v>
      </c>
      <c r="F315" s="1232" t="s">
        <v>1506</v>
      </c>
      <c r="G315" s="1231">
        <v>44695</v>
      </c>
      <c r="H315" s="1231">
        <v>44695</v>
      </c>
      <c r="I315" s="1194" t="s">
        <v>1457</v>
      </c>
      <c r="J315" s="1195" t="s">
        <v>1326</v>
      </c>
      <c r="K315" s="1176" t="s">
        <v>770</v>
      </c>
      <c r="L315" s="1178" t="s">
        <v>966</v>
      </c>
      <c r="M315" s="1196">
        <v>175000000</v>
      </c>
      <c r="N315" s="1175" t="s">
        <v>759</v>
      </c>
      <c r="O315" s="1175" t="s">
        <v>1507</v>
      </c>
    </row>
    <row r="316" spans="1:15" s="1159" customFormat="1" ht="75" x14ac:dyDescent="0.35">
      <c r="A316" s="1172">
        <v>2022310</v>
      </c>
      <c r="B316" s="1172">
        <v>7658</v>
      </c>
      <c r="C316" s="1172" t="s">
        <v>679</v>
      </c>
      <c r="D316" s="1190" t="s">
        <v>695</v>
      </c>
      <c r="E316" s="1230">
        <v>80111600</v>
      </c>
      <c r="F316" s="1199" t="s">
        <v>998</v>
      </c>
      <c r="G316" s="1193" t="s">
        <v>1414</v>
      </c>
      <c r="H316" s="1212" t="s">
        <v>1414</v>
      </c>
      <c r="I316" s="1194" t="s">
        <v>1458</v>
      </c>
      <c r="J316" s="1195" t="s">
        <v>1455</v>
      </c>
      <c r="K316" s="1176" t="s">
        <v>674</v>
      </c>
      <c r="L316" s="1241" t="s">
        <v>675</v>
      </c>
      <c r="M316" s="1196">
        <v>30429000</v>
      </c>
      <c r="N316" s="1175" t="s">
        <v>1508</v>
      </c>
      <c r="O316" s="1175" t="s">
        <v>1509</v>
      </c>
    </row>
    <row r="317" spans="1:15" s="1159" customFormat="1" ht="75" x14ac:dyDescent="0.35">
      <c r="A317" s="1172">
        <v>2022311</v>
      </c>
      <c r="B317" s="1172">
        <v>7658</v>
      </c>
      <c r="C317" s="1172" t="s">
        <v>679</v>
      </c>
      <c r="D317" s="1190" t="s">
        <v>695</v>
      </c>
      <c r="E317" s="1230">
        <v>80111600</v>
      </c>
      <c r="F317" s="1199" t="s">
        <v>999</v>
      </c>
      <c r="G317" s="1193" t="s">
        <v>1414</v>
      </c>
      <c r="H317" s="1212" t="s">
        <v>1414</v>
      </c>
      <c r="I317" s="1194" t="s">
        <v>1417</v>
      </c>
      <c r="J317" s="1195" t="s">
        <v>1455</v>
      </c>
      <c r="K317" s="1176" t="s">
        <v>674</v>
      </c>
      <c r="L317" s="1241" t="s">
        <v>675</v>
      </c>
      <c r="M317" s="1196">
        <v>26950000</v>
      </c>
      <c r="N317" s="1175" t="s">
        <v>1508</v>
      </c>
      <c r="O317" s="1175" t="s">
        <v>1509</v>
      </c>
    </row>
    <row r="318" spans="1:15" s="1159" customFormat="1" ht="75" x14ac:dyDescent="0.35">
      <c r="A318" s="1172">
        <v>2022312</v>
      </c>
      <c r="B318" s="1172">
        <v>7658</v>
      </c>
      <c r="C318" s="1172" t="s">
        <v>679</v>
      </c>
      <c r="D318" s="1190" t="s">
        <v>695</v>
      </c>
      <c r="E318" s="1230">
        <v>80111600</v>
      </c>
      <c r="F318" s="1199" t="s">
        <v>999</v>
      </c>
      <c r="G318" s="1193" t="s">
        <v>1414</v>
      </c>
      <c r="H318" s="1212" t="s">
        <v>1414</v>
      </c>
      <c r="I318" s="1194" t="s">
        <v>1417</v>
      </c>
      <c r="J318" s="1195" t="s">
        <v>1455</v>
      </c>
      <c r="K318" s="1176" t="s">
        <v>674</v>
      </c>
      <c r="L318" s="1241" t="s">
        <v>675</v>
      </c>
      <c r="M318" s="1196">
        <v>26950000</v>
      </c>
      <c r="N318" s="1175" t="s">
        <v>1508</v>
      </c>
      <c r="O318" s="1175" t="s">
        <v>1509</v>
      </c>
    </row>
    <row r="319" spans="1:15" s="1159" customFormat="1" ht="75" x14ac:dyDescent="0.35">
      <c r="A319" s="1172">
        <v>2022313</v>
      </c>
      <c r="B319" s="1172">
        <v>7658</v>
      </c>
      <c r="C319" s="1172" t="s">
        <v>679</v>
      </c>
      <c r="D319" s="1190" t="s">
        <v>695</v>
      </c>
      <c r="E319" s="1230">
        <v>80111600</v>
      </c>
      <c r="F319" s="1199" t="s">
        <v>1000</v>
      </c>
      <c r="G319" s="1193" t="s">
        <v>1414</v>
      </c>
      <c r="H319" s="1212" t="s">
        <v>1414</v>
      </c>
      <c r="I319" s="1194" t="s">
        <v>1417</v>
      </c>
      <c r="J319" s="1195" t="s">
        <v>1455</v>
      </c>
      <c r="K319" s="1176" t="s">
        <v>674</v>
      </c>
      <c r="L319" s="1241" t="s">
        <v>675</v>
      </c>
      <c r="M319" s="1196">
        <v>59202000</v>
      </c>
      <c r="N319" s="1175" t="s">
        <v>1508</v>
      </c>
      <c r="O319" s="1175" t="s">
        <v>1509</v>
      </c>
    </row>
    <row r="320" spans="1:15" s="1159" customFormat="1" ht="75" x14ac:dyDescent="0.35">
      <c r="A320" s="1172">
        <v>2022314</v>
      </c>
      <c r="B320" s="1172">
        <v>7658</v>
      </c>
      <c r="C320" s="1172" t="s">
        <v>679</v>
      </c>
      <c r="D320" s="1190" t="s">
        <v>695</v>
      </c>
      <c r="E320" s="1230">
        <v>80111600</v>
      </c>
      <c r="F320" s="1199" t="s">
        <v>1001</v>
      </c>
      <c r="G320" s="1193" t="s">
        <v>1414</v>
      </c>
      <c r="H320" s="1212" t="s">
        <v>1414</v>
      </c>
      <c r="I320" s="1194" t="s">
        <v>1417</v>
      </c>
      <c r="J320" s="1195" t="s">
        <v>1455</v>
      </c>
      <c r="K320" s="1176" t="s">
        <v>674</v>
      </c>
      <c r="L320" s="1241" t="s">
        <v>675</v>
      </c>
      <c r="M320" s="1196">
        <v>36850000</v>
      </c>
      <c r="N320" s="1175" t="s">
        <v>1508</v>
      </c>
      <c r="O320" s="1175" t="s">
        <v>1509</v>
      </c>
    </row>
    <row r="321" spans="1:18" s="1159" customFormat="1" ht="75" x14ac:dyDescent="0.35">
      <c r="A321" s="1172">
        <v>2022315</v>
      </c>
      <c r="B321" s="1172">
        <v>7658</v>
      </c>
      <c r="C321" s="1172" t="s">
        <v>679</v>
      </c>
      <c r="D321" s="1190" t="s">
        <v>695</v>
      </c>
      <c r="E321" s="1230">
        <v>80111600</v>
      </c>
      <c r="F321" s="1199" t="s">
        <v>1002</v>
      </c>
      <c r="G321" s="1193" t="s">
        <v>1414</v>
      </c>
      <c r="H321" s="1212" t="s">
        <v>1414</v>
      </c>
      <c r="I321" s="1194" t="s">
        <v>1417</v>
      </c>
      <c r="J321" s="1195" t="s">
        <v>1455</v>
      </c>
      <c r="K321" s="1176" t="s">
        <v>674</v>
      </c>
      <c r="L321" s="1241" t="s">
        <v>675</v>
      </c>
      <c r="M321" s="1196">
        <v>47817000</v>
      </c>
      <c r="N321" s="1175" t="s">
        <v>1508</v>
      </c>
      <c r="O321" s="1175" t="s">
        <v>1509</v>
      </c>
    </row>
    <row r="322" spans="1:18" s="1159" customFormat="1" ht="75" x14ac:dyDescent="0.35">
      <c r="A322" s="1172">
        <v>2022316</v>
      </c>
      <c r="B322" s="1172">
        <v>7658</v>
      </c>
      <c r="C322" s="1172" t="s">
        <v>679</v>
      </c>
      <c r="D322" s="1190" t="s">
        <v>695</v>
      </c>
      <c r="E322" s="1230">
        <v>80111600</v>
      </c>
      <c r="F322" s="1199" t="s">
        <v>1003</v>
      </c>
      <c r="G322" s="1193" t="s">
        <v>1414</v>
      </c>
      <c r="H322" s="1212" t="s">
        <v>1414</v>
      </c>
      <c r="I322" s="1194" t="s">
        <v>1417</v>
      </c>
      <c r="J322" s="1195" t="s">
        <v>1455</v>
      </c>
      <c r="K322" s="1176" t="s">
        <v>674</v>
      </c>
      <c r="L322" s="1241" t="s">
        <v>675</v>
      </c>
      <c r="M322" s="1196">
        <v>59202000</v>
      </c>
      <c r="N322" s="1175" t="s">
        <v>1508</v>
      </c>
      <c r="O322" s="1175" t="s">
        <v>1509</v>
      </c>
    </row>
    <row r="323" spans="1:18" s="1159" customFormat="1" ht="75" x14ac:dyDescent="0.35">
      <c r="A323" s="1172">
        <v>2022317</v>
      </c>
      <c r="B323" s="1172">
        <v>7658</v>
      </c>
      <c r="C323" s="1172" t="s">
        <v>679</v>
      </c>
      <c r="D323" s="1190" t="s">
        <v>695</v>
      </c>
      <c r="E323" s="1230">
        <v>80111600</v>
      </c>
      <c r="F323" s="1199" t="s">
        <v>1004</v>
      </c>
      <c r="G323" s="1193" t="s">
        <v>1414</v>
      </c>
      <c r="H323" s="1212" t="s">
        <v>1414</v>
      </c>
      <c r="I323" s="1194" t="s">
        <v>1417</v>
      </c>
      <c r="J323" s="1195" t="s">
        <v>1455</v>
      </c>
      <c r="K323" s="1176" t="s">
        <v>674</v>
      </c>
      <c r="L323" s="1241" t="s">
        <v>675</v>
      </c>
      <c r="M323" s="1196">
        <v>31880000</v>
      </c>
      <c r="N323" s="1175" t="s">
        <v>1508</v>
      </c>
      <c r="O323" s="1175" t="s">
        <v>1509</v>
      </c>
    </row>
    <row r="324" spans="1:18" s="1159" customFormat="1" ht="75" x14ac:dyDescent="0.35">
      <c r="A324" s="1172">
        <v>2022318</v>
      </c>
      <c r="B324" s="1172">
        <v>7658</v>
      </c>
      <c r="C324" s="1172" t="s">
        <v>679</v>
      </c>
      <c r="D324" s="1190" t="s">
        <v>695</v>
      </c>
      <c r="E324" s="1230">
        <v>80111600</v>
      </c>
      <c r="F324" s="1199" t="s">
        <v>1005</v>
      </c>
      <c r="G324" s="1193" t="s">
        <v>1414</v>
      </c>
      <c r="H324" s="1212" t="s">
        <v>1414</v>
      </c>
      <c r="I324" s="1194" t="s">
        <v>1417</v>
      </c>
      <c r="J324" s="1195" t="s">
        <v>1455</v>
      </c>
      <c r="K324" s="1176" t="s">
        <v>674</v>
      </c>
      <c r="L324" s="1241" t="s">
        <v>675</v>
      </c>
      <c r="M324" s="1196">
        <v>16146000</v>
      </c>
      <c r="N324" s="1175" t="s">
        <v>1508</v>
      </c>
      <c r="O324" s="1175" t="s">
        <v>1509</v>
      </c>
    </row>
    <row r="325" spans="1:18" s="1159" customFormat="1" ht="75" x14ac:dyDescent="0.35">
      <c r="A325" s="1172">
        <v>2022319</v>
      </c>
      <c r="B325" s="1172">
        <v>7658</v>
      </c>
      <c r="C325" s="1172" t="s">
        <v>679</v>
      </c>
      <c r="D325" s="1190" t="s">
        <v>695</v>
      </c>
      <c r="E325" s="1230">
        <v>80111600</v>
      </c>
      <c r="F325" s="1199" t="s">
        <v>1006</v>
      </c>
      <c r="G325" s="1193" t="s">
        <v>1414</v>
      </c>
      <c r="H325" s="1212" t="s">
        <v>1414</v>
      </c>
      <c r="I325" s="1194" t="s">
        <v>1417</v>
      </c>
      <c r="J325" s="1195" t="s">
        <v>1455</v>
      </c>
      <c r="K325" s="1176" t="s">
        <v>674</v>
      </c>
      <c r="L325" s="1241" t="s">
        <v>675</v>
      </c>
      <c r="M325" s="1196">
        <v>80300000</v>
      </c>
      <c r="N325" s="1175" t="s">
        <v>1508</v>
      </c>
      <c r="O325" s="1175" t="s">
        <v>1509</v>
      </c>
    </row>
    <row r="326" spans="1:18" s="1159" customFormat="1" ht="75" x14ac:dyDescent="0.35">
      <c r="A326" s="1172">
        <v>2022320</v>
      </c>
      <c r="B326" s="1172">
        <v>7658</v>
      </c>
      <c r="C326" s="1172" t="s">
        <v>679</v>
      </c>
      <c r="D326" s="1190" t="s">
        <v>695</v>
      </c>
      <c r="E326" s="1230">
        <v>80111600</v>
      </c>
      <c r="F326" s="1199" t="s">
        <v>1007</v>
      </c>
      <c r="G326" s="1193" t="s">
        <v>1414</v>
      </c>
      <c r="H326" s="1212" t="s">
        <v>1414</v>
      </c>
      <c r="I326" s="1194" t="s">
        <v>1417</v>
      </c>
      <c r="J326" s="1195" t="s">
        <v>1455</v>
      </c>
      <c r="K326" s="1176" t="s">
        <v>674</v>
      </c>
      <c r="L326" s="1241" t="s">
        <v>675</v>
      </c>
      <c r="M326" s="1196">
        <v>56925000</v>
      </c>
      <c r="N326" s="1175" t="s">
        <v>1508</v>
      </c>
      <c r="O326" s="1175" t="s">
        <v>1509</v>
      </c>
    </row>
    <row r="327" spans="1:18" s="1159" customFormat="1" ht="75" x14ac:dyDescent="0.35">
      <c r="A327" s="1172">
        <v>2022321</v>
      </c>
      <c r="B327" s="1172">
        <v>7658</v>
      </c>
      <c r="C327" s="1172" t="s">
        <v>679</v>
      </c>
      <c r="D327" s="1190" t="s">
        <v>695</v>
      </c>
      <c r="E327" s="1230">
        <v>80111600</v>
      </c>
      <c r="F327" s="1199" t="s">
        <v>1008</v>
      </c>
      <c r="G327" s="1193" t="s">
        <v>1414</v>
      </c>
      <c r="H327" s="1212" t="s">
        <v>1414</v>
      </c>
      <c r="I327" s="1194" t="s">
        <v>1459</v>
      </c>
      <c r="J327" s="1195" t="s">
        <v>1455</v>
      </c>
      <c r="K327" s="1176" t="s">
        <v>674</v>
      </c>
      <c r="L327" s="1241" t="s">
        <v>675</v>
      </c>
      <c r="M327" s="1196">
        <v>23100000</v>
      </c>
      <c r="N327" s="1175" t="s">
        <v>1508</v>
      </c>
      <c r="O327" s="1175" t="s">
        <v>1509</v>
      </c>
    </row>
    <row r="328" spans="1:18" s="1159" customFormat="1" ht="75" x14ac:dyDescent="0.35">
      <c r="A328" s="1172">
        <v>2022322</v>
      </c>
      <c r="B328" s="1172">
        <v>7658</v>
      </c>
      <c r="C328" s="1172" t="s">
        <v>679</v>
      </c>
      <c r="D328" s="1190" t="s">
        <v>695</v>
      </c>
      <c r="E328" s="1230">
        <v>80111600</v>
      </c>
      <c r="F328" s="1199" t="s">
        <v>1009</v>
      </c>
      <c r="G328" s="1193" t="s">
        <v>1414</v>
      </c>
      <c r="H328" s="1212" t="s">
        <v>1414</v>
      </c>
      <c r="I328" s="1194" t="s">
        <v>1367</v>
      </c>
      <c r="J328" s="1195" t="s">
        <v>1455</v>
      </c>
      <c r="K328" s="1176" t="s">
        <v>674</v>
      </c>
      <c r="L328" s="1241" t="s">
        <v>675</v>
      </c>
      <c r="M328" s="1196">
        <v>26950000</v>
      </c>
      <c r="N328" s="1175" t="s">
        <v>1508</v>
      </c>
      <c r="O328" s="1175" t="s">
        <v>1509</v>
      </c>
    </row>
    <row r="329" spans="1:18" s="1159" customFormat="1" ht="118.5" customHeight="1" x14ac:dyDescent="0.35">
      <c r="A329" s="1172">
        <v>2022323</v>
      </c>
      <c r="B329" s="1172">
        <v>7658</v>
      </c>
      <c r="C329" s="1172" t="s">
        <v>679</v>
      </c>
      <c r="D329" s="1190" t="s">
        <v>695</v>
      </c>
      <c r="E329" s="1234">
        <v>80111600</v>
      </c>
      <c r="F329" s="1175" t="s">
        <v>1010</v>
      </c>
      <c r="G329" s="1193" t="s">
        <v>1414</v>
      </c>
      <c r="H329" s="1212" t="s">
        <v>1414</v>
      </c>
      <c r="I329" s="1194" t="s">
        <v>1417</v>
      </c>
      <c r="J329" s="1195" t="s">
        <v>1455</v>
      </c>
      <c r="K329" s="1176" t="s">
        <v>674</v>
      </c>
      <c r="L329" s="1241" t="s">
        <v>675</v>
      </c>
      <c r="M329" s="1179">
        <v>47817000</v>
      </c>
      <c r="N329" s="1175" t="s">
        <v>1508</v>
      </c>
      <c r="O329" s="1175" t="s">
        <v>1509</v>
      </c>
    </row>
    <row r="330" spans="1:18" s="1159" customFormat="1" ht="330" x14ac:dyDescent="0.35">
      <c r="A330" s="1172">
        <v>2022324</v>
      </c>
      <c r="B330" s="1172">
        <v>7658</v>
      </c>
      <c r="C330" s="1172" t="s">
        <v>679</v>
      </c>
      <c r="D330" s="1190" t="s">
        <v>695</v>
      </c>
      <c r="E330" s="1242" t="s">
        <v>1011</v>
      </c>
      <c r="F330" s="1175" t="s">
        <v>1012</v>
      </c>
      <c r="G330" s="1193" t="s">
        <v>1420</v>
      </c>
      <c r="H330" s="1212" t="s">
        <v>1428</v>
      </c>
      <c r="I330" s="1194" t="s">
        <v>1457</v>
      </c>
      <c r="J330" s="1195" t="s">
        <v>1510</v>
      </c>
      <c r="K330" s="1176" t="s">
        <v>770</v>
      </c>
      <c r="L330" s="1178" t="s">
        <v>1492</v>
      </c>
      <c r="M330" s="1196">
        <v>200000000</v>
      </c>
      <c r="N330" s="1175" t="s">
        <v>1508</v>
      </c>
      <c r="O330" s="1175" t="s">
        <v>1509</v>
      </c>
    </row>
    <row r="331" spans="1:18" s="1159" customFormat="1" ht="75" x14ac:dyDescent="0.35">
      <c r="A331" s="1172">
        <v>2022325</v>
      </c>
      <c r="B331" s="1172">
        <v>7658</v>
      </c>
      <c r="C331" s="1172" t="s">
        <v>679</v>
      </c>
      <c r="D331" s="1190" t="s">
        <v>695</v>
      </c>
      <c r="E331" s="1234" t="s">
        <v>1013</v>
      </c>
      <c r="F331" s="1175" t="s">
        <v>1511</v>
      </c>
      <c r="G331" s="1193" t="s">
        <v>1414</v>
      </c>
      <c r="H331" s="1212" t="s">
        <v>1420</v>
      </c>
      <c r="I331" s="1194" t="s">
        <v>1457</v>
      </c>
      <c r="J331" s="1195" t="s">
        <v>1326</v>
      </c>
      <c r="K331" s="1176" t="s">
        <v>674</v>
      </c>
      <c r="L331" s="1241" t="s">
        <v>675</v>
      </c>
      <c r="M331" s="1179">
        <v>770904000</v>
      </c>
      <c r="N331" s="1175" t="s">
        <v>1508</v>
      </c>
      <c r="O331" s="1175" t="s">
        <v>1509</v>
      </c>
    </row>
    <row r="332" spans="1:18" s="1159" customFormat="1" ht="75" x14ac:dyDescent="0.35">
      <c r="A332" s="1172">
        <v>2022326</v>
      </c>
      <c r="B332" s="1172">
        <v>7658</v>
      </c>
      <c r="C332" s="1172" t="s">
        <v>679</v>
      </c>
      <c r="D332" s="1190" t="s">
        <v>695</v>
      </c>
      <c r="E332" s="1230">
        <v>46201002</v>
      </c>
      <c r="F332" s="1199" t="s">
        <v>1512</v>
      </c>
      <c r="G332" s="1193" t="s">
        <v>1414</v>
      </c>
      <c r="H332" s="1212" t="s">
        <v>1420</v>
      </c>
      <c r="I332" s="1194" t="s">
        <v>1457</v>
      </c>
      <c r="J332" s="1195" t="s">
        <v>1326</v>
      </c>
      <c r="K332" s="1176" t="s">
        <v>770</v>
      </c>
      <c r="L332" s="1178" t="s">
        <v>1492</v>
      </c>
      <c r="M332" s="1196">
        <v>1100000000</v>
      </c>
      <c r="N332" s="1175" t="s">
        <v>1508</v>
      </c>
      <c r="O332" s="1175" t="s">
        <v>1509</v>
      </c>
      <c r="P332" s="1243"/>
    </row>
    <row r="333" spans="1:18" s="1159" customFormat="1" ht="75" x14ac:dyDescent="0.35">
      <c r="A333" s="1182">
        <v>2022327</v>
      </c>
      <c r="B333" s="1182">
        <v>7658</v>
      </c>
      <c r="C333" s="1182" t="s">
        <v>679</v>
      </c>
      <c r="D333" s="1227" t="s">
        <v>695</v>
      </c>
      <c r="E333" s="1228">
        <v>90121800</v>
      </c>
      <c r="F333" s="1244" t="s">
        <v>1017</v>
      </c>
      <c r="G333" s="1245" t="s">
        <v>1414</v>
      </c>
      <c r="H333" s="1246" t="s">
        <v>1414</v>
      </c>
      <c r="I333" s="1239" t="s">
        <v>1460</v>
      </c>
      <c r="J333" s="1240" t="s">
        <v>814</v>
      </c>
      <c r="K333" s="1184" t="s">
        <v>674</v>
      </c>
      <c r="L333" s="1247" t="s">
        <v>675</v>
      </c>
      <c r="M333" s="1188">
        <f>40000000+10000000+10000000</f>
        <v>60000000</v>
      </c>
      <c r="N333" s="1185" t="s">
        <v>1508</v>
      </c>
      <c r="O333" s="1185" t="s">
        <v>1509</v>
      </c>
      <c r="P333" s="1248"/>
      <c r="R333" s="1180"/>
    </row>
    <row r="334" spans="1:18" s="1159" customFormat="1" ht="75" x14ac:dyDescent="0.35">
      <c r="A334" s="1172">
        <v>2022328</v>
      </c>
      <c r="B334" s="1172">
        <v>7658</v>
      </c>
      <c r="C334" s="1172" t="s">
        <v>679</v>
      </c>
      <c r="D334" s="1190" t="s">
        <v>695</v>
      </c>
      <c r="E334" s="1230">
        <v>90121800</v>
      </c>
      <c r="F334" s="1199" t="s">
        <v>1018</v>
      </c>
      <c r="G334" s="1193" t="s">
        <v>1414</v>
      </c>
      <c r="H334" s="1212" t="s">
        <v>1414</v>
      </c>
      <c r="I334" s="1194" t="s">
        <v>1460</v>
      </c>
      <c r="J334" s="1195" t="s">
        <v>814</v>
      </c>
      <c r="K334" s="1176" t="s">
        <v>674</v>
      </c>
      <c r="L334" s="1241" t="s">
        <v>675</v>
      </c>
      <c r="M334" s="1249">
        <v>80000000</v>
      </c>
      <c r="N334" s="1175" t="s">
        <v>1508</v>
      </c>
      <c r="O334" s="1175" t="s">
        <v>1509</v>
      </c>
      <c r="P334" s="1248"/>
    </row>
    <row r="335" spans="1:18" s="1159" customFormat="1" ht="75" x14ac:dyDescent="0.35">
      <c r="A335" s="1172">
        <v>2022329</v>
      </c>
      <c r="B335" s="1172">
        <v>7658</v>
      </c>
      <c r="C335" s="1172" t="s">
        <v>679</v>
      </c>
      <c r="D335" s="1190" t="s">
        <v>695</v>
      </c>
      <c r="E335" s="1230">
        <v>80111600</v>
      </c>
      <c r="F335" s="1199" t="s">
        <v>1019</v>
      </c>
      <c r="G335" s="1193" t="s">
        <v>1414</v>
      </c>
      <c r="H335" s="1212" t="s">
        <v>1414</v>
      </c>
      <c r="I335" s="1194" t="s">
        <v>1459</v>
      </c>
      <c r="J335" s="1195" t="s">
        <v>1455</v>
      </c>
      <c r="K335" s="1176" t="s">
        <v>674</v>
      </c>
      <c r="L335" s="1241" t="s">
        <v>675</v>
      </c>
      <c r="M335" s="1250">
        <v>39357000</v>
      </c>
      <c r="N335" s="1175" t="s">
        <v>1508</v>
      </c>
      <c r="O335" s="1175" t="s">
        <v>1509</v>
      </c>
      <c r="P335" s="1251"/>
    </row>
    <row r="336" spans="1:18" s="1159" customFormat="1" ht="75" x14ac:dyDescent="0.35">
      <c r="A336" s="1172">
        <v>2022330</v>
      </c>
      <c r="B336" s="1172">
        <v>7658</v>
      </c>
      <c r="C336" s="1172" t="s">
        <v>679</v>
      </c>
      <c r="D336" s="1190" t="s">
        <v>701</v>
      </c>
      <c r="E336" s="1230" t="s">
        <v>1020</v>
      </c>
      <c r="F336" s="1199" t="s">
        <v>1021</v>
      </c>
      <c r="G336" s="1193" t="s">
        <v>1414</v>
      </c>
      <c r="H336" s="1212" t="s">
        <v>1420</v>
      </c>
      <c r="I336" s="1194" t="s">
        <v>1460</v>
      </c>
      <c r="J336" s="1195" t="s">
        <v>1326</v>
      </c>
      <c r="K336" s="1176" t="s">
        <v>770</v>
      </c>
      <c r="L336" s="1178" t="s">
        <v>981</v>
      </c>
      <c r="M336" s="1196">
        <v>5600000000</v>
      </c>
      <c r="N336" s="1175" t="s">
        <v>752</v>
      </c>
      <c r="O336" s="1175" t="s">
        <v>1473</v>
      </c>
    </row>
    <row r="337" spans="1:15" s="1313" customFormat="1" ht="75" x14ac:dyDescent="0.35">
      <c r="A337" s="1301">
        <v>2022331</v>
      </c>
      <c r="B337" s="1301">
        <v>7658</v>
      </c>
      <c r="C337" s="1301" t="s">
        <v>679</v>
      </c>
      <c r="D337" s="1302" t="s">
        <v>701</v>
      </c>
      <c r="E337" s="1303" t="s">
        <v>1022</v>
      </c>
      <c r="F337" s="1304" t="s">
        <v>1023</v>
      </c>
      <c r="G337" s="1305" t="s">
        <v>1414</v>
      </c>
      <c r="H337" s="1306" t="s">
        <v>1420</v>
      </c>
      <c r="I337" s="1307" t="s">
        <v>1513</v>
      </c>
      <c r="J337" s="1308" t="s">
        <v>1326</v>
      </c>
      <c r="K337" s="1309" t="s">
        <v>770</v>
      </c>
      <c r="L337" s="1310" t="s">
        <v>981</v>
      </c>
      <c r="M337" s="1311">
        <v>1325000000</v>
      </c>
      <c r="N337" s="1312" t="s">
        <v>749</v>
      </c>
      <c r="O337" s="1312" t="s">
        <v>1473</v>
      </c>
    </row>
    <row r="338" spans="1:15" s="1159" customFormat="1" ht="75" x14ac:dyDescent="0.35">
      <c r="A338" s="1172">
        <v>2022332</v>
      </c>
      <c r="B338" s="1172">
        <v>7658</v>
      </c>
      <c r="C338" s="1172" t="s">
        <v>679</v>
      </c>
      <c r="D338" s="1190" t="s">
        <v>701</v>
      </c>
      <c r="E338" s="1230" t="s">
        <v>1022</v>
      </c>
      <c r="F338" s="1199" t="s">
        <v>1023</v>
      </c>
      <c r="G338" s="1193" t="s">
        <v>1414</v>
      </c>
      <c r="H338" s="1212" t="s">
        <v>1420</v>
      </c>
      <c r="I338" s="1194" t="s">
        <v>1513</v>
      </c>
      <c r="J338" s="1195" t="s">
        <v>1326</v>
      </c>
      <c r="K338" s="1176" t="s">
        <v>674</v>
      </c>
      <c r="L338" s="1178" t="s">
        <v>981</v>
      </c>
      <c r="M338" s="1196">
        <v>548720000</v>
      </c>
      <c r="N338" s="1175" t="s">
        <v>749</v>
      </c>
      <c r="O338" s="1175" t="s">
        <v>1473</v>
      </c>
    </row>
    <row r="339" spans="1:15" s="1159" customFormat="1" ht="75" x14ac:dyDescent="0.35">
      <c r="A339" s="1172">
        <v>2022333</v>
      </c>
      <c r="B339" s="1172">
        <v>7658</v>
      </c>
      <c r="C339" s="1172" t="s">
        <v>679</v>
      </c>
      <c r="D339" s="1190" t="s">
        <v>701</v>
      </c>
      <c r="E339" s="1230" t="s">
        <v>1514</v>
      </c>
      <c r="F339" s="1199" t="s">
        <v>1026</v>
      </c>
      <c r="G339" s="1193" t="s">
        <v>1414</v>
      </c>
      <c r="H339" s="1212" t="s">
        <v>1515</v>
      </c>
      <c r="I339" s="1194" t="s">
        <v>1513</v>
      </c>
      <c r="J339" s="1195" t="s">
        <v>1326</v>
      </c>
      <c r="K339" s="1176" t="s">
        <v>770</v>
      </c>
      <c r="L339" s="1178" t="s">
        <v>981</v>
      </c>
      <c r="M339" s="1196">
        <v>1078000000</v>
      </c>
      <c r="N339" s="1175" t="s">
        <v>749</v>
      </c>
      <c r="O339" s="1175" t="s">
        <v>1473</v>
      </c>
    </row>
    <row r="340" spans="1:15" s="1159" customFormat="1" ht="75" x14ac:dyDescent="0.35">
      <c r="A340" s="1172">
        <v>2022334</v>
      </c>
      <c r="B340" s="1172">
        <v>7658</v>
      </c>
      <c r="C340" s="1172" t="s">
        <v>679</v>
      </c>
      <c r="D340" s="1190" t="s">
        <v>701</v>
      </c>
      <c r="E340" s="1230" t="s">
        <v>1514</v>
      </c>
      <c r="F340" s="1199" t="s">
        <v>1026</v>
      </c>
      <c r="G340" s="1193" t="s">
        <v>1414</v>
      </c>
      <c r="H340" s="1212" t="s">
        <v>1515</v>
      </c>
      <c r="I340" s="1194" t="s">
        <v>1513</v>
      </c>
      <c r="J340" s="1195" t="s">
        <v>1326</v>
      </c>
      <c r="K340" s="1176" t="s">
        <v>674</v>
      </c>
      <c r="L340" s="1178" t="s">
        <v>981</v>
      </c>
      <c r="M340" s="1196">
        <v>204051000</v>
      </c>
      <c r="N340" s="1175" t="s">
        <v>749</v>
      </c>
      <c r="O340" s="1175" t="s">
        <v>1473</v>
      </c>
    </row>
    <row r="341" spans="1:15" s="1159" customFormat="1" ht="75" x14ac:dyDescent="0.35">
      <c r="A341" s="1172">
        <v>2022335</v>
      </c>
      <c r="B341" s="1172">
        <v>7658</v>
      </c>
      <c r="C341" s="1172" t="s">
        <v>679</v>
      </c>
      <c r="D341" s="1190" t="s">
        <v>701</v>
      </c>
      <c r="E341" s="1230" t="s">
        <v>1516</v>
      </c>
      <c r="F341" s="1199" t="s">
        <v>1517</v>
      </c>
      <c r="G341" s="1193" t="s">
        <v>1414</v>
      </c>
      <c r="H341" s="1212" t="s">
        <v>1515</v>
      </c>
      <c r="I341" s="1194" t="s">
        <v>1518</v>
      </c>
      <c r="J341" s="1195" t="s">
        <v>1422</v>
      </c>
      <c r="K341" s="1176" t="s">
        <v>674</v>
      </c>
      <c r="L341" s="1178" t="s">
        <v>981</v>
      </c>
      <c r="M341" s="1196">
        <v>40000000</v>
      </c>
      <c r="N341" s="1175" t="s">
        <v>749</v>
      </c>
      <c r="O341" s="1175" t="s">
        <v>1473</v>
      </c>
    </row>
    <row r="342" spans="1:15" s="1159" customFormat="1" ht="75" x14ac:dyDescent="0.35">
      <c r="A342" s="1172">
        <v>2022336</v>
      </c>
      <c r="B342" s="1172">
        <v>7658</v>
      </c>
      <c r="C342" s="1172" t="s">
        <v>679</v>
      </c>
      <c r="D342" s="1190" t="s">
        <v>701</v>
      </c>
      <c r="E342" s="1230" t="s">
        <v>1027</v>
      </c>
      <c r="F342" s="1199" t="s">
        <v>1028</v>
      </c>
      <c r="G342" s="1193" t="s">
        <v>1414</v>
      </c>
      <c r="H342" s="1193" t="s">
        <v>1424</v>
      </c>
      <c r="I342" s="1194" t="s">
        <v>1518</v>
      </c>
      <c r="J342" s="1195" t="s">
        <v>1422</v>
      </c>
      <c r="K342" s="1176" t="s">
        <v>674</v>
      </c>
      <c r="L342" s="1178" t="s">
        <v>981</v>
      </c>
      <c r="M342" s="1196">
        <v>125000000</v>
      </c>
      <c r="N342" s="1175" t="s">
        <v>749</v>
      </c>
      <c r="O342" s="1175" t="s">
        <v>1473</v>
      </c>
    </row>
    <row r="343" spans="1:15" s="1159" customFormat="1" ht="75" x14ac:dyDescent="0.35">
      <c r="A343" s="1172">
        <v>2022337</v>
      </c>
      <c r="B343" s="1172">
        <v>7658</v>
      </c>
      <c r="C343" s="1172" t="s">
        <v>679</v>
      </c>
      <c r="D343" s="1190" t="s">
        <v>701</v>
      </c>
      <c r="E343" s="1230">
        <v>80111600</v>
      </c>
      <c r="F343" s="1199" t="s">
        <v>1029</v>
      </c>
      <c r="G343" s="1193" t="s">
        <v>1414</v>
      </c>
      <c r="H343" s="1212" t="s">
        <v>1414</v>
      </c>
      <c r="I343" s="1194" t="s">
        <v>1460</v>
      </c>
      <c r="J343" s="1195" t="s">
        <v>1455</v>
      </c>
      <c r="K343" s="1176" t="s">
        <v>674</v>
      </c>
      <c r="L343" s="1241" t="s">
        <v>675</v>
      </c>
      <c r="M343" s="1196">
        <v>25980000</v>
      </c>
      <c r="N343" s="1175" t="s">
        <v>749</v>
      </c>
      <c r="O343" s="1175" t="s">
        <v>1473</v>
      </c>
    </row>
    <row r="344" spans="1:15" s="1159" customFormat="1" ht="75" x14ac:dyDescent="0.35">
      <c r="A344" s="1172">
        <v>2022338</v>
      </c>
      <c r="B344" s="1172">
        <v>7658</v>
      </c>
      <c r="C344" s="1172" t="s">
        <v>679</v>
      </c>
      <c r="D344" s="1190" t="s">
        <v>701</v>
      </c>
      <c r="E344" s="1230">
        <v>80111600</v>
      </c>
      <c r="F344" s="1199" t="s">
        <v>1029</v>
      </c>
      <c r="G344" s="1193" t="s">
        <v>1414</v>
      </c>
      <c r="H344" s="1212" t="s">
        <v>1414</v>
      </c>
      <c r="I344" s="1194" t="s">
        <v>1460</v>
      </c>
      <c r="J344" s="1195" t="s">
        <v>1455</v>
      </c>
      <c r="K344" s="1176" t="s">
        <v>674</v>
      </c>
      <c r="L344" s="1241" t="s">
        <v>675</v>
      </c>
      <c r="M344" s="1196">
        <v>25980000</v>
      </c>
      <c r="N344" s="1175" t="s">
        <v>749</v>
      </c>
      <c r="O344" s="1175" t="s">
        <v>1473</v>
      </c>
    </row>
    <row r="345" spans="1:15" s="1159" customFormat="1" ht="75" x14ac:dyDescent="0.35">
      <c r="A345" s="1172">
        <v>2022339</v>
      </c>
      <c r="B345" s="1172">
        <v>7658</v>
      </c>
      <c r="C345" s="1172" t="s">
        <v>679</v>
      </c>
      <c r="D345" s="1190" t="s">
        <v>701</v>
      </c>
      <c r="E345" s="1230">
        <v>80111600</v>
      </c>
      <c r="F345" s="1199" t="s">
        <v>1029</v>
      </c>
      <c r="G345" s="1193" t="s">
        <v>1414</v>
      </c>
      <c r="H345" s="1212" t="s">
        <v>1414</v>
      </c>
      <c r="I345" s="1194" t="s">
        <v>1460</v>
      </c>
      <c r="J345" s="1195" t="s">
        <v>1455</v>
      </c>
      <c r="K345" s="1176" t="s">
        <v>674</v>
      </c>
      <c r="L345" s="1241" t="s">
        <v>675</v>
      </c>
      <c r="M345" s="1196">
        <v>25980000</v>
      </c>
      <c r="N345" s="1175" t="s">
        <v>749</v>
      </c>
      <c r="O345" s="1175" t="s">
        <v>1473</v>
      </c>
    </row>
    <row r="346" spans="1:15" s="1159" customFormat="1" ht="75" x14ac:dyDescent="0.35">
      <c r="A346" s="1172">
        <v>2022340</v>
      </c>
      <c r="B346" s="1172">
        <v>7658</v>
      </c>
      <c r="C346" s="1172" t="s">
        <v>679</v>
      </c>
      <c r="D346" s="1190" t="s">
        <v>701</v>
      </c>
      <c r="E346" s="1230">
        <v>80111600</v>
      </c>
      <c r="F346" s="1199" t="s">
        <v>1029</v>
      </c>
      <c r="G346" s="1193" t="s">
        <v>1414</v>
      </c>
      <c r="H346" s="1212" t="s">
        <v>1414</v>
      </c>
      <c r="I346" s="1194" t="s">
        <v>1460</v>
      </c>
      <c r="J346" s="1195" t="s">
        <v>1455</v>
      </c>
      <c r="K346" s="1176" t="s">
        <v>674</v>
      </c>
      <c r="L346" s="1241" t="s">
        <v>675</v>
      </c>
      <c r="M346" s="1196">
        <v>25980000</v>
      </c>
      <c r="N346" s="1175" t="s">
        <v>749</v>
      </c>
      <c r="O346" s="1175" t="s">
        <v>1473</v>
      </c>
    </row>
    <row r="347" spans="1:15" s="1159" customFormat="1" ht="75" x14ac:dyDescent="0.35">
      <c r="A347" s="1172">
        <v>2022341</v>
      </c>
      <c r="B347" s="1172">
        <v>7658</v>
      </c>
      <c r="C347" s="1172" t="s">
        <v>679</v>
      </c>
      <c r="D347" s="1190" t="s">
        <v>701</v>
      </c>
      <c r="E347" s="1230">
        <v>80111600</v>
      </c>
      <c r="F347" s="1199" t="s">
        <v>1029</v>
      </c>
      <c r="G347" s="1193" t="s">
        <v>1414</v>
      </c>
      <c r="H347" s="1212" t="s">
        <v>1414</v>
      </c>
      <c r="I347" s="1194" t="s">
        <v>1460</v>
      </c>
      <c r="J347" s="1195" t="s">
        <v>1455</v>
      </c>
      <c r="K347" s="1176" t="s">
        <v>674</v>
      </c>
      <c r="L347" s="1241" t="s">
        <v>675</v>
      </c>
      <c r="M347" s="1196">
        <v>25980000</v>
      </c>
      <c r="N347" s="1175" t="s">
        <v>749</v>
      </c>
      <c r="O347" s="1175" t="s">
        <v>1473</v>
      </c>
    </row>
    <row r="348" spans="1:15" s="1159" customFormat="1" ht="75" x14ac:dyDescent="0.35">
      <c r="A348" s="1172">
        <v>2022342</v>
      </c>
      <c r="B348" s="1172">
        <v>7658</v>
      </c>
      <c r="C348" s="1172" t="s">
        <v>679</v>
      </c>
      <c r="D348" s="1190" t="s">
        <v>701</v>
      </c>
      <c r="E348" s="1230">
        <v>80111600</v>
      </c>
      <c r="F348" s="1199" t="s">
        <v>1029</v>
      </c>
      <c r="G348" s="1193" t="s">
        <v>1414</v>
      </c>
      <c r="H348" s="1212" t="s">
        <v>1414</v>
      </c>
      <c r="I348" s="1194" t="s">
        <v>1460</v>
      </c>
      <c r="J348" s="1195" t="s">
        <v>1455</v>
      </c>
      <c r="K348" s="1176" t="s">
        <v>674</v>
      </c>
      <c r="L348" s="1241" t="s">
        <v>675</v>
      </c>
      <c r="M348" s="1196">
        <v>25980000</v>
      </c>
      <c r="N348" s="1175" t="s">
        <v>749</v>
      </c>
      <c r="O348" s="1175" t="s">
        <v>1473</v>
      </c>
    </row>
    <row r="349" spans="1:15" s="1159" customFormat="1" ht="75" x14ac:dyDescent="0.35">
      <c r="A349" s="1172">
        <v>2022343</v>
      </c>
      <c r="B349" s="1172">
        <v>7658</v>
      </c>
      <c r="C349" s="1172" t="s">
        <v>679</v>
      </c>
      <c r="D349" s="1190" t="s">
        <v>701</v>
      </c>
      <c r="E349" s="1230">
        <v>80111600</v>
      </c>
      <c r="F349" s="1199" t="s">
        <v>1029</v>
      </c>
      <c r="G349" s="1193" t="s">
        <v>1414</v>
      </c>
      <c r="H349" s="1212" t="s">
        <v>1414</v>
      </c>
      <c r="I349" s="1194" t="s">
        <v>1460</v>
      </c>
      <c r="J349" s="1195" t="s">
        <v>1455</v>
      </c>
      <c r="K349" s="1176" t="s">
        <v>674</v>
      </c>
      <c r="L349" s="1241" t="s">
        <v>675</v>
      </c>
      <c r="M349" s="1196">
        <v>25980000</v>
      </c>
      <c r="N349" s="1175" t="s">
        <v>749</v>
      </c>
      <c r="O349" s="1175" t="s">
        <v>1473</v>
      </c>
    </row>
    <row r="350" spans="1:15" s="1159" customFormat="1" ht="75" x14ac:dyDescent="0.35">
      <c r="A350" s="1172">
        <v>2022344</v>
      </c>
      <c r="B350" s="1172">
        <v>7658</v>
      </c>
      <c r="C350" s="1172" t="s">
        <v>679</v>
      </c>
      <c r="D350" s="1190" t="s">
        <v>701</v>
      </c>
      <c r="E350" s="1230">
        <v>80111600</v>
      </c>
      <c r="F350" s="1199" t="s">
        <v>1029</v>
      </c>
      <c r="G350" s="1193" t="s">
        <v>1414</v>
      </c>
      <c r="H350" s="1212" t="s">
        <v>1414</v>
      </c>
      <c r="I350" s="1194" t="s">
        <v>1460</v>
      </c>
      <c r="J350" s="1195" t="s">
        <v>1455</v>
      </c>
      <c r="K350" s="1176" t="s">
        <v>674</v>
      </c>
      <c r="L350" s="1241" t="s">
        <v>675</v>
      </c>
      <c r="M350" s="1196">
        <v>25980000</v>
      </c>
      <c r="N350" s="1175" t="s">
        <v>749</v>
      </c>
      <c r="O350" s="1175" t="s">
        <v>1473</v>
      </c>
    </row>
    <row r="351" spans="1:15" s="1159" customFormat="1" ht="75" x14ac:dyDescent="0.35">
      <c r="A351" s="1172">
        <v>2022345</v>
      </c>
      <c r="B351" s="1172">
        <v>7658</v>
      </c>
      <c r="C351" s="1172" t="s">
        <v>679</v>
      </c>
      <c r="D351" s="1190" t="s">
        <v>701</v>
      </c>
      <c r="E351" s="1230">
        <v>80111600</v>
      </c>
      <c r="F351" s="1199" t="s">
        <v>1029</v>
      </c>
      <c r="G351" s="1193" t="s">
        <v>1414</v>
      </c>
      <c r="H351" s="1212" t="s">
        <v>1414</v>
      </c>
      <c r="I351" s="1194" t="s">
        <v>1460</v>
      </c>
      <c r="J351" s="1195" t="s">
        <v>1455</v>
      </c>
      <c r="K351" s="1176" t="s">
        <v>674</v>
      </c>
      <c r="L351" s="1241" t="s">
        <v>675</v>
      </c>
      <c r="M351" s="1196">
        <v>25980000</v>
      </c>
      <c r="N351" s="1175" t="s">
        <v>749</v>
      </c>
      <c r="O351" s="1175" t="s">
        <v>1473</v>
      </c>
    </row>
    <row r="352" spans="1:15" s="1159" customFormat="1" ht="75" x14ac:dyDescent="0.35">
      <c r="A352" s="1172">
        <v>2022346</v>
      </c>
      <c r="B352" s="1172">
        <v>7658</v>
      </c>
      <c r="C352" s="1172" t="s">
        <v>679</v>
      </c>
      <c r="D352" s="1190" t="s">
        <v>701</v>
      </c>
      <c r="E352" s="1230">
        <v>80111600</v>
      </c>
      <c r="F352" s="1199" t="s">
        <v>1029</v>
      </c>
      <c r="G352" s="1193" t="s">
        <v>1414</v>
      </c>
      <c r="H352" s="1212" t="s">
        <v>1414</v>
      </c>
      <c r="I352" s="1194" t="s">
        <v>1460</v>
      </c>
      <c r="J352" s="1195" t="s">
        <v>1455</v>
      </c>
      <c r="K352" s="1176" t="s">
        <v>674</v>
      </c>
      <c r="L352" s="1241" t="s">
        <v>675</v>
      </c>
      <c r="M352" s="1196">
        <v>25980000</v>
      </c>
      <c r="N352" s="1175" t="s">
        <v>749</v>
      </c>
      <c r="O352" s="1175" t="s">
        <v>1473</v>
      </c>
    </row>
    <row r="353" spans="1:15" s="1159" customFormat="1" ht="75" x14ac:dyDescent="0.35">
      <c r="A353" s="1172">
        <v>2022347</v>
      </c>
      <c r="B353" s="1172">
        <v>7658</v>
      </c>
      <c r="C353" s="1172" t="s">
        <v>679</v>
      </c>
      <c r="D353" s="1190" t="s">
        <v>701</v>
      </c>
      <c r="E353" s="1230">
        <v>80111600</v>
      </c>
      <c r="F353" s="1199" t="s">
        <v>1029</v>
      </c>
      <c r="G353" s="1193" t="s">
        <v>1414</v>
      </c>
      <c r="H353" s="1212" t="s">
        <v>1414</v>
      </c>
      <c r="I353" s="1194" t="s">
        <v>1460</v>
      </c>
      <c r="J353" s="1195" t="s">
        <v>1455</v>
      </c>
      <c r="K353" s="1176" t="s">
        <v>674</v>
      </c>
      <c r="L353" s="1241" t="s">
        <v>675</v>
      </c>
      <c r="M353" s="1196">
        <f>25980000-25980000</f>
        <v>0</v>
      </c>
      <c r="N353" s="1175" t="s">
        <v>749</v>
      </c>
      <c r="O353" s="1175" t="s">
        <v>1473</v>
      </c>
    </row>
    <row r="354" spans="1:15" s="1159" customFormat="1" ht="75" x14ac:dyDescent="0.35">
      <c r="A354" s="1172">
        <v>2022348</v>
      </c>
      <c r="B354" s="1172">
        <v>7658</v>
      </c>
      <c r="C354" s="1172" t="s">
        <v>679</v>
      </c>
      <c r="D354" s="1190" t="s">
        <v>701</v>
      </c>
      <c r="E354" s="1230">
        <v>80111600</v>
      </c>
      <c r="F354" s="1199" t="s">
        <v>1029</v>
      </c>
      <c r="G354" s="1193" t="s">
        <v>1414</v>
      </c>
      <c r="H354" s="1212" t="s">
        <v>1414</v>
      </c>
      <c r="I354" s="1194" t="s">
        <v>1460</v>
      </c>
      <c r="J354" s="1195" t="s">
        <v>1455</v>
      </c>
      <c r="K354" s="1176" t="s">
        <v>674</v>
      </c>
      <c r="L354" s="1241" t="s">
        <v>675</v>
      </c>
      <c r="M354" s="1196">
        <v>25980000</v>
      </c>
      <c r="N354" s="1175" t="s">
        <v>749</v>
      </c>
      <c r="O354" s="1175" t="s">
        <v>1473</v>
      </c>
    </row>
    <row r="355" spans="1:15" s="1159" customFormat="1" ht="75" x14ac:dyDescent="0.35">
      <c r="A355" s="1172">
        <v>2022349</v>
      </c>
      <c r="B355" s="1172">
        <v>7658</v>
      </c>
      <c r="C355" s="1172" t="s">
        <v>679</v>
      </c>
      <c r="D355" s="1190" t="s">
        <v>701</v>
      </c>
      <c r="E355" s="1230">
        <v>80111600</v>
      </c>
      <c r="F355" s="1199" t="s">
        <v>1029</v>
      </c>
      <c r="G355" s="1193" t="s">
        <v>1414</v>
      </c>
      <c r="H355" s="1212" t="s">
        <v>1414</v>
      </c>
      <c r="I355" s="1194" t="s">
        <v>1460</v>
      </c>
      <c r="J355" s="1195" t="s">
        <v>1455</v>
      </c>
      <c r="K355" s="1176" t="s">
        <v>674</v>
      </c>
      <c r="L355" s="1241" t="s">
        <v>675</v>
      </c>
      <c r="M355" s="1196">
        <v>25980000</v>
      </c>
      <c r="N355" s="1175" t="s">
        <v>749</v>
      </c>
      <c r="O355" s="1175" t="s">
        <v>1473</v>
      </c>
    </row>
    <row r="356" spans="1:15" s="1159" customFormat="1" ht="75" x14ac:dyDescent="0.35">
      <c r="A356" s="1172">
        <v>2022350</v>
      </c>
      <c r="B356" s="1172">
        <v>7658</v>
      </c>
      <c r="C356" s="1172" t="s">
        <v>679</v>
      </c>
      <c r="D356" s="1190" t="s">
        <v>701</v>
      </c>
      <c r="E356" s="1230">
        <v>80111600</v>
      </c>
      <c r="F356" s="1199" t="s">
        <v>1029</v>
      </c>
      <c r="G356" s="1193" t="s">
        <v>1414</v>
      </c>
      <c r="H356" s="1212" t="s">
        <v>1414</v>
      </c>
      <c r="I356" s="1194" t="s">
        <v>1460</v>
      </c>
      <c r="J356" s="1195" t="s">
        <v>1455</v>
      </c>
      <c r="K356" s="1176" t="s">
        <v>674</v>
      </c>
      <c r="L356" s="1241" t="s">
        <v>675</v>
      </c>
      <c r="M356" s="1196">
        <v>25980000</v>
      </c>
      <c r="N356" s="1175" t="s">
        <v>749</v>
      </c>
      <c r="O356" s="1175" t="s">
        <v>1473</v>
      </c>
    </row>
    <row r="357" spans="1:15" s="1159" customFormat="1" ht="75" x14ac:dyDescent="0.35">
      <c r="A357" s="1172">
        <v>2022351</v>
      </c>
      <c r="B357" s="1172">
        <v>7658</v>
      </c>
      <c r="C357" s="1172" t="s">
        <v>679</v>
      </c>
      <c r="D357" s="1190" t="s">
        <v>701</v>
      </c>
      <c r="E357" s="1230">
        <v>80111600</v>
      </c>
      <c r="F357" s="1199" t="s">
        <v>1029</v>
      </c>
      <c r="G357" s="1193" t="s">
        <v>1414</v>
      </c>
      <c r="H357" s="1212" t="s">
        <v>1414</v>
      </c>
      <c r="I357" s="1194" t="s">
        <v>1460</v>
      </c>
      <c r="J357" s="1195" t="s">
        <v>1455</v>
      </c>
      <c r="K357" s="1176" t="s">
        <v>674</v>
      </c>
      <c r="L357" s="1241" t="s">
        <v>675</v>
      </c>
      <c r="M357" s="1196">
        <v>25980000</v>
      </c>
      <c r="N357" s="1175" t="s">
        <v>749</v>
      </c>
      <c r="O357" s="1175" t="s">
        <v>1473</v>
      </c>
    </row>
    <row r="358" spans="1:15" s="1159" customFormat="1" ht="75" x14ac:dyDescent="0.35">
      <c r="A358" s="1172">
        <v>2022352</v>
      </c>
      <c r="B358" s="1172">
        <v>7658</v>
      </c>
      <c r="C358" s="1172" t="s">
        <v>679</v>
      </c>
      <c r="D358" s="1190" t="s">
        <v>701</v>
      </c>
      <c r="E358" s="1230">
        <v>80111600</v>
      </c>
      <c r="F358" s="1199" t="s">
        <v>1029</v>
      </c>
      <c r="G358" s="1193" t="s">
        <v>1414</v>
      </c>
      <c r="H358" s="1212" t="s">
        <v>1414</v>
      </c>
      <c r="I358" s="1194" t="s">
        <v>1460</v>
      </c>
      <c r="J358" s="1195" t="s">
        <v>1455</v>
      </c>
      <c r="K358" s="1176" t="s">
        <v>674</v>
      </c>
      <c r="L358" s="1241" t="s">
        <v>675</v>
      </c>
      <c r="M358" s="1196">
        <v>25980000</v>
      </c>
      <c r="N358" s="1175" t="s">
        <v>749</v>
      </c>
      <c r="O358" s="1175" t="s">
        <v>1473</v>
      </c>
    </row>
    <row r="359" spans="1:15" s="1159" customFormat="1" ht="75" x14ac:dyDescent="0.35">
      <c r="A359" s="1172">
        <v>2022353</v>
      </c>
      <c r="B359" s="1172">
        <v>7658</v>
      </c>
      <c r="C359" s="1172" t="s">
        <v>679</v>
      </c>
      <c r="D359" s="1190" t="s">
        <v>701</v>
      </c>
      <c r="E359" s="1230">
        <v>80111600</v>
      </c>
      <c r="F359" s="1199" t="s">
        <v>1029</v>
      </c>
      <c r="G359" s="1193" t="s">
        <v>1414</v>
      </c>
      <c r="H359" s="1212" t="s">
        <v>1414</v>
      </c>
      <c r="I359" s="1194" t="s">
        <v>1460</v>
      </c>
      <c r="J359" s="1195" t="s">
        <v>1455</v>
      </c>
      <c r="K359" s="1176" t="s">
        <v>674</v>
      </c>
      <c r="L359" s="1241" t="s">
        <v>675</v>
      </c>
      <c r="M359" s="1196">
        <f>25980000+25980000</f>
        <v>51960000</v>
      </c>
      <c r="N359" s="1175" t="s">
        <v>749</v>
      </c>
      <c r="O359" s="1175" t="s">
        <v>1473</v>
      </c>
    </row>
    <row r="360" spans="1:15" s="1159" customFormat="1" ht="75" x14ac:dyDescent="0.35">
      <c r="A360" s="1172">
        <v>2022354</v>
      </c>
      <c r="B360" s="1172">
        <v>7658</v>
      </c>
      <c r="C360" s="1172" t="s">
        <v>679</v>
      </c>
      <c r="D360" s="1190" t="s">
        <v>701</v>
      </c>
      <c r="E360" s="1230">
        <v>80111600</v>
      </c>
      <c r="F360" s="1199" t="s">
        <v>1030</v>
      </c>
      <c r="G360" s="1193" t="s">
        <v>1414</v>
      </c>
      <c r="H360" s="1212" t="s">
        <v>1414</v>
      </c>
      <c r="I360" s="1194" t="s">
        <v>1460</v>
      </c>
      <c r="J360" s="1195" t="s">
        <v>1455</v>
      </c>
      <c r="K360" s="1176" t="s">
        <v>674</v>
      </c>
      <c r="L360" s="1241" t="s">
        <v>675</v>
      </c>
      <c r="M360" s="1196">
        <v>30300000</v>
      </c>
      <c r="N360" s="1175" t="s">
        <v>749</v>
      </c>
      <c r="O360" s="1175" t="s">
        <v>1473</v>
      </c>
    </row>
    <row r="361" spans="1:15" s="1159" customFormat="1" ht="75" x14ac:dyDescent="0.35">
      <c r="A361" s="1172">
        <v>2022355</v>
      </c>
      <c r="B361" s="1172">
        <v>7658</v>
      </c>
      <c r="C361" s="1172" t="s">
        <v>679</v>
      </c>
      <c r="D361" s="1190" t="s">
        <v>701</v>
      </c>
      <c r="E361" s="1230">
        <v>80111600</v>
      </c>
      <c r="F361" s="1199" t="s">
        <v>1030</v>
      </c>
      <c r="G361" s="1193" t="s">
        <v>1414</v>
      </c>
      <c r="H361" s="1212" t="s">
        <v>1414</v>
      </c>
      <c r="I361" s="1194" t="s">
        <v>1460</v>
      </c>
      <c r="J361" s="1195" t="s">
        <v>1455</v>
      </c>
      <c r="K361" s="1176" t="s">
        <v>674</v>
      </c>
      <c r="L361" s="1241" t="s">
        <v>675</v>
      </c>
      <c r="M361" s="1196">
        <v>30300000</v>
      </c>
      <c r="N361" s="1175" t="s">
        <v>749</v>
      </c>
      <c r="O361" s="1175" t="s">
        <v>1473</v>
      </c>
    </row>
    <row r="362" spans="1:15" s="1159" customFormat="1" ht="75" x14ac:dyDescent="0.35">
      <c r="A362" s="1172">
        <v>2022356</v>
      </c>
      <c r="B362" s="1172">
        <v>7658</v>
      </c>
      <c r="C362" s="1172" t="s">
        <v>679</v>
      </c>
      <c r="D362" s="1190" t="s">
        <v>701</v>
      </c>
      <c r="E362" s="1230">
        <v>80111600</v>
      </c>
      <c r="F362" s="1199" t="s">
        <v>1030</v>
      </c>
      <c r="G362" s="1193" t="s">
        <v>1414</v>
      </c>
      <c r="H362" s="1212" t="s">
        <v>1414</v>
      </c>
      <c r="I362" s="1194" t="s">
        <v>1460</v>
      </c>
      <c r="J362" s="1195" t="s">
        <v>1455</v>
      </c>
      <c r="K362" s="1176" t="s">
        <v>674</v>
      </c>
      <c r="L362" s="1241" t="s">
        <v>675</v>
      </c>
      <c r="M362" s="1196">
        <v>30300000</v>
      </c>
      <c r="N362" s="1175" t="s">
        <v>749</v>
      </c>
      <c r="O362" s="1175" t="s">
        <v>1473</v>
      </c>
    </row>
    <row r="363" spans="1:15" s="1159" customFormat="1" ht="75" x14ac:dyDescent="0.35">
      <c r="A363" s="1172">
        <v>2022357</v>
      </c>
      <c r="B363" s="1172">
        <v>7658</v>
      </c>
      <c r="C363" s="1172" t="s">
        <v>679</v>
      </c>
      <c r="D363" s="1190" t="s">
        <v>701</v>
      </c>
      <c r="E363" s="1230">
        <v>80111600</v>
      </c>
      <c r="F363" s="1199" t="s">
        <v>1030</v>
      </c>
      <c r="G363" s="1193" t="s">
        <v>1414</v>
      </c>
      <c r="H363" s="1212" t="s">
        <v>1414</v>
      </c>
      <c r="I363" s="1194" t="s">
        <v>1460</v>
      </c>
      <c r="J363" s="1195" t="s">
        <v>1455</v>
      </c>
      <c r="K363" s="1176" t="s">
        <v>674</v>
      </c>
      <c r="L363" s="1241" t="s">
        <v>675</v>
      </c>
      <c r="M363" s="1196">
        <v>30300000</v>
      </c>
      <c r="N363" s="1175" t="s">
        <v>749</v>
      </c>
      <c r="O363" s="1175" t="s">
        <v>1473</v>
      </c>
    </row>
    <row r="364" spans="1:15" s="1159" customFormat="1" ht="75" x14ac:dyDescent="0.35">
      <c r="A364" s="1172">
        <v>2022358</v>
      </c>
      <c r="B364" s="1172">
        <v>7658</v>
      </c>
      <c r="C364" s="1172" t="s">
        <v>679</v>
      </c>
      <c r="D364" s="1190" t="s">
        <v>701</v>
      </c>
      <c r="E364" s="1230">
        <v>80111600</v>
      </c>
      <c r="F364" s="1199" t="s">
        <v>1030</v>
      </c>
      <c r="G364" s="1193" t="s">
        <v>1414</v>
      </c>
      <c r="H364" s="1212" t="s">
        <v>1414</v>
      </c>
      <c r="I364" s="1194" t="s">
        <v>1417</v>
      </c>
      <c r="J364" s="1195" t="s">
        <v>1455</v>
      </c>
      <c r="K364" s="1176" t="s">
        <v>674</v>
      </c>
      <c r="L364" s="1241" t="s">
        <v>675</v>
      </c>
      <c r="M364" s="1196">
        <v>27775000</v>
      </c>
      <c r="N364" s="1175" t="s">
        <v>749</v>
      </c>
      <c r="O364" s="1175" t="s">
        <v>1473</v>
      </c>
    </row>
    <row r="365" spans="1:15" s="1159" customFormat="1" ht="75" x14ac:dyDescent="0.35">
      <c r="A365" s="1172">
        <v>2022359</v>
      </c>
      <c r="B365" s="1172">
        <v>7658</v>
      </c>
      <c r="C365" s="1172" t="s">
        <v>679</v>
      </c>
      <c r="D365" s="1190" t="s">
        <v>701</v>
      </c>
      <c r="E365" s="1230">
        <v>80111600</v>
      </c>
      <c r="F365" s="1199" t="s">
        <v>1030</v>
      </c>
      <c r="G365" s="1193" t="s">
        <v>1414</v>
      </c>
      <c r="H365" s="1212" t="s">
        <v>1414</v>
      </c>
      <c r="I365" s="1194" t="s">
        <v>1417</v>
      </c>
      <c r="J365" s="1195" t="s">
        <v>1455</v>
      </c>
      <c r="K365" s="1176" t="s">
        <v>674</v>
      </c>
      <c r="L365" s="1241" t="s">
        <v>675</v>
      </c>
      <c r="M365" s="1196">
        <v>27775000</v>
      </c>
      <c r="N365" s="1175" t="s">
        <v>749</v>
      </c>
      <c r="O365" s="1175" t="s">
        <v>1473</v>
      </c>
    </row>
    <row r="366" spans="1:15" s="1159" customFormat="1" ht="75" x14ac:dyDescent="0.35">
      <c r="A366" s="1172">
        <v>2022360</v>
      </c>
      <c r="B366" s="1172">
        <v>7658</v>
      </c>
      <c r="C366" s="1172" t="s">
        <v>679</v>
      </c>
      <c r="D366" s="1190" t="s">
        <v>701</v>
      </c>
      <c r="E366" s="1230">
        <v>80111600</v>
      </c>
      <c r="F366" s="1199" t="s">
        <v>1030</v>
      </c>
      <c r="G366" s="1193" t="s">
        <v>1414</v>
      </c>
      <c r="H366" s="1212" t="s">
        <v>1414</v>
      </c>
      <c r="I366" s="1194" t="s">
        <v>1417</v>
      </c>
      <c r="J366" s="1195" t="s">
        <v>1455</v>
      </c>
      <c r="K366" s="1176" t="s">
        <v>674</v>
      </c>
      <c r="L366" s="1241" t="s">
        <v>675</v>
      </c>
      <c r="M366" s="1196">
        <v>27775000</v>
      </c>
      <c r="N366" s="1175" t="s">
        <v>749</v>
      </c>
      <c r="O366" s="1175" t="s">
        <v>1473</v>
      </c>
    </row>
    <row r="367" spans="1:15" s="1159" customFormat="1" ht="75" x14ac:dyDescent="0.35">
      <c r="A367" s="1172">
        <v>2022361</v>
      </c>
      <c r="B367" s="1172">
        <v>7658</v>
      </c>
      <c r="C367" s="1172" t="s">
        <v>679</v>
      </c>
      <c r="D367" s="1190" t="s">
        <v>701</v>
      </c>
      <c r="E367" s="1230">
        <v>80111600</v>
      </c>
      <c r="F367" s="1199" t="s">
        <v>1030</v>
      </c>
      <c r="G367" s="1193" t="s">
        <v>1414</v>
      </c>
      <c r="H367" s="1212" t="s">
        <v>1414</v>
      </c>
      <c r="I367" s="1194" t="s">
        <v>1417</v>
      </c>
      <c r="J367" s="1195" t="s">
        <v>1455</v>
      </c>
      <c r="K367" s="1176" t="s">
        <v>674</v>
      </c>
      <c r="L367" s="1241" t="s">
        <v>675</v>
      </c>
      <c r="M367" s="1196">
        <v>27775000</v>
      </c>
      <c r="N367" s="1175" t="s">
        <v>749</v>
      </c>
      <c r="O367" s="1175" t="s">
        <v>1473</v>
      </c>
    </row>
    <row r="368" spans="1:15" s="1159" customFormat="1" ht="75" x14ac:dyDescent="0.35">
      <c r="A368" s="1172">
        <v>2022362</v>
      </c>
      <c r="B368" s="1172">
        <v>7658</v>
      </c>
      <c r="C368" s="1172" t="s">
        <v>679</v>
      </c>
      <c r="D368" s="1190" t="s">
        <v>701</v>
      </c>
      <c r="E368" s="1230">
        <v>80111600</v>
      </c>
      <c r="F368" s="1199" t="s">
        <v>1030</v>
      </c>
      <c r="G368" s="1193" t="s">
        <v>1414</v>
      </c>
      <c r="H368" s="1212" t="s">
        <v>1414</v>
      </c>
      <c r="I368" s="1194" t="s">
        <v>1417</v>
      </c>
      <c r="J368" s="1195" t="s">
        <v>1455</v>
      </c>
      <c r="K368" s="1176" t="s">
        <v>674</v>
      </c>
      <c r="L368" s="1241" t="s">
        <v>675</v>
      </c>
      <c r="M368" s="1196">
        <v>27775000</v>
      </c>
      <c r="N368" s="1175" t="s">
        <v>749</v>
      </c>
      <c r="O368" s="1175" t="s">
        <v>1473</v>
      </c>
    </row>
    <row r="369" spans="1:15" s="1159" customFormat="1" ht="75" x14ac:dyDescent="0.35">
      <c r="A369" s="1172">
        <v>2022363</v>
      </c>
      <c r="B369" s="1172">
        <v>7658</v>
      </c>
      <c r="C369" s="1172" t="s">
        <v>679</v>
      </c>
      <c r="D369" s="1190" t="s">
        <v>701</v>
      </c>
      <c r="E369" s="1230">
        <v>80111600</v>
      </c>
      <c r="F369" s="1199" t="s">
        <v>1030</v>
      </c>
      <c r="G369" s="1193" t="s">
        <v>1414</v>
      </c>
      <c r="H369" s="1212" t="s">
        <v>1414</v>
      </c>
      <c r="I369" s="1194" t="s">
        <v>1417</v>
      </c>
      <c r="J369" s="1195" t="s">
        <v>1455</v>
      </c>
      <c r="K369" s="1176" t="s">
        <v>674</v>
      </c>
      <c r="L369" s="1241" t="s">
        <v>675</v>
      </c>
      <c r="M369" s="1196">
        <v>27775000</v>
      </c>
      <c r="N369" s="1175" t="s">
        <v>749</v>
      </c>
      <c r="O369" s="1175" t="s">
        <v>1473</v>
      </c>
    </row>
    <row r="370" spans="1:15" s="1159" customFormat="1" ht="75" x14ac:dyDescent="0.35">
      <c r="A370" s="1172">
        <v>2022364</v>
      </c>
      <c r="B370" s="1172">
        <v>7658</v>
      </c>
      <c r="C370" s="1172" t="s">
        <v>679</v>
      </c>
      <c r="D370" s="1190" t="s">
        <v>701</v>
      </c>
      <c r="E370" s="1230">
        <v>80111600</v>
      </c>
      <c r="F370" s="1199" t="s">
        <v>1030</v>
      </c>
      <c r="G370" s="1193" t="s">
        <v>1414</v>
      </c>
      <c r="H370" s="1212" t="s">
        <v>1414</v>
      </c>
      <c r="I370" s="1194" t="s">
        <v>1459</v>
      </c>
      <c r="J370" s="1195" t="s">
        <v>1455</v>
      </c>
      <c r="K370" s="1176" t="s">
        <v>674</v>
      </c>
      <c r="L370" s="1241" t="s">
        <v>675</v>
      </c>
      <c r="M370" s="1196">
        <v>25250000</v>
      </c>
      <c r="N370" s="1175" t="s">
        <v>749</v>
      </c>
      <c r="O370" s="1175" t="s">
        <v>1473</v>
      </c>
    </row>
    <row r="371" spans="1:15" s="1159" customFormat="1" ht="75" x14ac:dyDescent="0.35">
      <c r="A371" s="1172">
        <v>2022365</v>
      </c>
      <c r="B371" s="1172">
        <v>7658</v>
      </c>
      <c r="C371" s="1172" t="s">
        <v>679</v>
      </c>
      <c r="D371" s="1190" t="s">
        <v>701</v>
      </c>
      <c r="E371" s="1230">
        <v>80111600</v>
      </c>
      <c r="F371" s="1199" t="s">
        <v>1030</v>
      </c>
      <c r="G371" s="1193" t="s">
        <v>1414</v>
      </c>
      <c r="H371" s="1212" t="s">
        <v>1414</v>
      </c>
      <c r="I371" s="1194" t="s">
        <v>1459</v>
      </c>
      <c r="J371" s="1195" t="s">
        <v>1455</v>
      </c>
      <c r="K371" s="1176" t="s">
        <v>674</v>
      </c>
      <c r="L371" s="1241" t="s">
        <v>675</v>
      </c>
      <c r="M371" s="1196">
        <v>25250000</v>
      </c>
      <c r="N371" s="1175" t="s">
        <v>749</v>
      </c>
      <c r="O371" s="1175" t="s">
        <v>1473</v>
      </c>
    </row>
    <row r="372" spans="1:15" s="1159" customFormat="1" ht="75" x14ac:dyDescent="0.35">
      <c r="A372" s="1172">
        <v>2022366</v>
      </c>
      <c r="B372" s="1172">
        <v>7658</v>
      </c>
      <c r="C372" s="1172" t="s">
        <v>679</v>
      </c>
      <c r="D372" s="1190" t="s">
        <v>701</v>
      </c>
      <c r="E372" s="1230">
        <v>80111600</v>
      </c>
      <c r="F372" s="1199" t="s">
        <v>1031</v>
      </c>
      <c r="G372" s="1193" t="s">
        <v>1414</v>
      </c>
      <c r="H372" s="1212" t="s">
        <v>1414</v>
      </c>
      <c r="I372" s="1194" t="s">
        <v>1460</v>
      </c>
      <c r="J372" s="1195" t="s">
        <v>1455</v>
      </c>
      <c r="K372" s="1176" t="s">
        <v>674</v>
      </c>
      <c r="L372" s="1241" t="s">
        <v>675</v>
      </c>
      <c r="M372" s="1196">
        <v>25956000</v>
      </c>
      <c r="N372" s="1175" t="s">
        <v>749</v>
      </c>
      <c r="O372" s="1175" t="s">
        <v>1473</v>
      </c>
    </row>
    <row r="373" spans="1:15" s="1159" customFormat="1" ht="75" x14ac:dyDescent="0.35">
      <c r="A373" s="1172">
        <v>2022367</v>
      </c>
      <c r="B373" s="1172">
        <v>7658</v>
      </c>
      <c r="C373" s="1172" t="s">
        <v>679</v>
      </c>
      <c r="D373" s="1190" t="s">
        <v>701</v>
      </c>
      <c r="E373" s="1230">
        <v>80111600</v>
      </c>
      <c r="F373" s="1199" t="s">
        <v>1032</v>
      </c>
      <c r="G373" s="1193" t="s">
        <v>1414</v>
      </c>
      <c r="H373" s="1212" t="s">
        <v>1414</v>
      </c>
      <c r="I373" s="1194" t="s">
        <v>1460</v>
      </c>
      <c r="J373" s="1195" t="s">
        <v>1455</v>
      </c>
      <c r="K373" s="1176" t="s">
        <v>674</v>
      </c>
      <c r="L373" s="1241" t="s">
        <v>675</v>
      </c>
      <c r="M373" s="1196">
        <v>41400000</v>
      </c>
      <c r="N373" s="1175" t="s">
        <v>749</v>
      </c>
      <c r="O373" s="1175" t="s">
        <v>1473</v>
      </c>
    </row>
    <row r="374" spans="1:15" s="1159" customFormat="1" ht="75" x14ac:dyDescent="0.35">
      <c r="A374" s="1172">
        <v>2022368</v>
      </c>
      <c r="B374" s="1172">
        <v>7658</v>
      </c>
      <c r="C374" s="1172" t="s">
        <v>679</v>
      </c>
      <c r="D374" s="1190" t="s">
        <v>701</v>
      </c>
      <c r="E374" s="1230">
        <v>80111600</v>
      </c>
      <c r="F374" s="1199" t="s">
        <v>1033</v>
      </c>
      <c r="G374" s="1193" t="s">
        <v>1414</v>
      </c>
      <c r="H374" s="1212" t="s">
        <v>1414</v>
      </c>
      <c r="I374" s="1194" t="s">
        <v>1460</v>
      </c>
      <c r="J374" s="1195" t="s">
        <v>1455</v>
      </c>
      <c r="K374" s="1176" t="s">
        <v>674</v>
      </c>
      <c r="L374" s="1241" t="s">
        <v>675</v>
      </c>
      <c r="M374" s="1196">
        <v>25200000</v>
      </c>
      <c r="N374" s="1175" t="s">
        <v>749</v>
      </c>
      <c r="O374" s="1175" t="s">
        <v>1473</v>
      </c>
    </row>
    <row r="375" spans="1:15" s="1159" customFormat="1" ht="75" x14ac:dyDescent="0.35">
      <c r="A375" s="1172">
        <v>2022369</v>
      </c>
      <c r="B375" s="1172">
        <v>7658</v>
      </c>
      <c r="C375" s="1172" t="s">
        <v>679</v>
      </c>
      <c r="D375" s="1190" t="s">
        <v>701</v>
      </c>
      <c r="E375" s="1230">
        <v>80111600</v>
      </c>
      <c r="F375" s="1199" t="s">
        <v>1034</v>
      </c>
      <c r="G375" s="1193" t="s">
        <v>1414</v>
      </c>
      <c r="H375" s="1212" t="s">
        <v>1414</v>
      </c>
      <c r="I375" s="1194" t="s">
        <v>1417</v>
      </c>
      <c r="J375" s="1195" t="s">
        <v>1455</v>
      </c>
      <c r="K375" s="1176" t="s">
        <v>674</v>
      </c>
      <c r="L375" s="1241" t="s">
        <v>675</v>
      </c>
      <c r="M375" s="1196">
        <v>37950000</v>
      </c>
      <c r="N375" s="1175" t="s">
        <v>749</v>
      </c>
      <c r="O375" s="1175" t="s">
        <v>1473</v>
      </c>
    </row>
    <row r="376" spans="1:15" s="1159" customFormat="1" ht="75" x14ac:dyDescent="0.35">
      <c r="A376" s="1172">
        <v>2022370</v>
      </c>
      <c r="B376" s="1172">
        <v>7658</v>
      </c>
      <c r="C376" s="1172" t="s">
        <v>679</v>
      </c>
      <c r="D376" s="1190" t="s">
        <v>701</v>
      </c>
      <c r="E376" s="1230">
        <v>80111600</v>
      </c>
      <c r="F376" s="1199" t="s">
        <v>1035</v>
      </c>
      <c r="G376" s="1193" t="s">
        <v>1414</v>
      </c>
      <c r="H376" s="1212" t="s">
        <v>1414</v>
      </c>
      <c r="I376" s="1194" t="s">
        <v>1460</v>
      </c>
      <c r="J376" s="1195" t="s">
        <v>1455</v>
      </c>
      <c r="K376" s="1176" t="s">
        <v>674</v>
      </c>
      <c r="L376" s="1241" t="s">
        <v>675</v>
      </c>
      <c r="M376" s="1196">
        <v>47586000</v>
      </c>
      <c r="N376" s="1175" t="s">
        <v>749</v>
      </c>
      <c r="O376" s="1175" t="s">
        <v>1473</v>
      </c>
    </row>
    <row r="377" spans="1:15" s="1159" customFormat="1" ht="75" x14ac:dyDescent="0.35">
      <c r="A377" s="1172">
        <v>2022371</v>
      </c>
      <c r="B377" s="1172">
        <v>7658</v>
      </c>
      <c r="C377" s="1172" t="s">
        <v>679</v>
      </c>
      <c r="D377" s="1190" t="s">
        <v>701</v>
      </c>
      <c r="E377" s="1230">
        <v>80111600</v>
      </c>
      <c r="F377" s="1199" t="s">
        <v>1036</v>
      </c>
      <c r="G377" s="1193" t="s">
        <v>1414</v>
      </c>
      <c r="H377" s="1212" t="s">
        <v>1414</v>
      </c>
      <c r="I377" s="1194" t="s">
        <v>1417</v>
      </c>
      <c r="J377" s="1195" t="s">
        <v>1455</v>
      </c>
      <c r="K377" s="1176" t="s">
        <v>674</v>
      </c>
      <c r="L377" s="1241" t="s">
        <v>675</v>
      </c>
      <c r="M377" s="1196">
        <v>37956000</v>
      </c>
      <c r="N377" s="1175" t="s">
        <v>749</v>
      </c>
      <c r="O377" s="1175" t="s">
        <v>1473</v>
      </c>
    </row>
    <row r="378" spans="1:15" s="1159" customFormat="1" ht="75" x14ac:dyDescent="0.35">
      <c r="A378" s="1172">
        <v>2022372</v>
      </c>
      <c r="B378" s="1172">
        <v>7658</v>
      </c>
      <c r="C378" s="1172" t="s">
        <v>679</v>
      </c>
      <c r="D378" s="1190" t="s">
        <v>701</v>
      </c>
      <c r="E378" s="1230">
        <v>80111600</v>
      </c>
      <c r="F378" s="1199" t="s">
        <v>1037</v>
      </c>
      <c r="G378" s="1193" t="s">
        <v>1414</v>
      </c>
      <c r="H378" s="1212" t="s">
        <v>1414</v>
      </c>
      <c r="I378" s="1194" t="s">
        <v>1460</v>
      </c>
      <c r="J378" s="1195" t="s">
        <v>1455</v>
      </c>
      <c r="K378" s="1176" t="s">
        <v>674</v>
      </c>
      <c r="L378" s="1241" t="s">
        <v>675</v>
      </c>
      <c r="M378" s="1196">
        <v>63036000</v>
      </c>
      <c r="N378" s="1175" t="s">
        <v>749</v>
      </c>
      <c r="O378" s="1175" t="s">
        <v>1473</v>
      </c>
    </row>
    <row r="379" spans="1:15" s="1159" customFormat="1" ht="75" x14ac:dyDescent="0.35">
      <c r="A379" s="1172">
        <v>2022373</v>
      </c>
      <c r="B379" s="1172">
        <v>7658</v>
      </c>
      <c r="C379" s="1172" t="s">
        <v>679</v>
      </c>
      <c r="D379" s="1190" t="s">
        <v>701</v>
      </c>
      <c r="E379" s="1230">
        <v>80111600</v>
      </c>
      <c r="F379" s="1199" t="s">
        <v>1037</v>
      </c>
      <c r="G379" s="1193" t="s">
        <v>1414</v>
      </c>
      <c r="H379" s="1212" t="s">
        <v>1414</v>
      </c>
      <c r="I379" s="1194" t="s">
        <v>1459</v>
      </c>
      <c r="J379" s="1195" t="s">
        <v>1455</v>
      </c>
      <c r="K379" s="1176" t="s">
        <v>674</v>
      </c>
      <c r="L379" s="1241" t="s">
        <v>675</v>
      </c>
      <c r="M379" s="1196">
        <v>39700000</v>
      </c>
      <c r="N379" s="1175" t="s">
        <v>749</v>
      </c>
      <c r="O379" s="1175" t="s">
        <v>1473</v>
      </c>
    </row>
    <row r="380" spans="1:15" s="1159" customFormat="1" ht="75" x14ac:dyDescent="0.35">
      <c r="A380" s="1172">
        <v>2022374</v>
      </c>
      <c r="B380" s="1172">
        <v>7658</v>
      </c>
      <c r="C380" s="1172" t="s">
        <v>679</v>
      </c>
      <c r="D380" s="1190" t="s">
        <v>701</v>
      </c>
      <c r="E380" s="1230">
        <v>80111600</v>
      </c>
      <c r="F380" s="1199" t="s">
        <v>1037</v>
      </c>
      <c r="G380" s="1193" t="s">
        <v>1414</v>
      </c>
      <c r="H380" s="1212" t="s">
        <v>1414</v>
      </c>
      <c r="I380" s="1194" t="s">
        <v>1417</v>
      </c>
      <c r="J380" s="1195" t="s">
        <v>1455</v>
      </c>
      <c r="K380" s="1176" t="s">
        <v>674</v>
      </c>
      <c r="L380" s="1241" t="s">
        <v>675</v>
      </c>
      <c r="M380" s="1196">
        <v>50985000</v>
      </c>
      <c r="N380" s="1175" t="s">
        <v>749</v>
      </c>
      <c r="O380" s="1175" t="s">
        <v>1473</v>
      </c>
    </row>
    <row r="381" spans="1:15" s="1159" customFormat="1" ht="75" x14ac:dyDescent="0.35">
      <c r="A381" s="1172">
        <v>2022375</v>
      </c>
      <c r="B381" s="1172">
        <v>7658</v>
      </c>
      <c r="C381" s="1172" t="s">
        <v>679</v>
      </c>
      <c r="D381" s="1190" t="s">
        <v>701</v>
      </c>
      <c r="E381" s="1230">
        <v>80111600</v>
      </c>
      <c r="F381" s="1199" t="s">
        <v>1038</v>
      </c>
      <c r="G381" s="1193" t="s">
        <v>1414</v>
      </c>
      <c r="H381" s="1212" t="s">
        <v>1414</v>
      </c>
      <c r="I381" s="1194" t="s">
        <v>1460</v>
      </c>
      <c r="J381" s="1195" t="s">
        <v>1455</v>
      </c>
      <c r="K381" s="1176" t="s">
        <v>674</v>
      </c>
      <c r="L381" s="1241" t="s">
        <v>675</v>
      </c>
      <c r="M381" s="1196">
        <v>55620000</v>
      </c>
      <c r="N381" s="1175" t="s">
        <v>749</v>
      </c>
      <c r="O381" s="1175" t="s">
        <v>1473</v>
      </c>
    </row>
    <row r="382" spans="1:15" s="1159" customFormat="1" ht="75" x14ac:dyDescent="0.35">
      <c r="A382" s="1172">
        <v>2022376</v>
      </c>
      <c r="B382" s="1172">
        <v>7658</v>
      </c>
      <c r="C382" s="1172" t="s">
        <v>679</v>
      </c>
      <c r="D382" s="1190" t="s">
        <v>701</v>
      </c>
      <c r="E382" s="1230">
        <v>80111600</v>
      </c>
      <c r="F382" s="1199" t="s">
        <v>1039</v>
      </c>
      <c r="G382" s="1193" t="s">
        <v>1414</v>
      </c>
      <c r="H382" s="1212" t="s">
        <v>1414</v>
      </c>
      <c r="I382" s="1194" t="s">
        <v>1460</v>
      </c>
      <c r="J382" s="1195" t="s">
        <v>1455</v>
      </c>
      <c r="K382" s="1176" t="s">
        <v>674</v>
      </c>
      <c r="L382" s="1241" t="s">
        <v>675</v>
      </c>
      <c r="M382" s="1196">
        <v>55620000</v>
      </c>
      <c r="N382" s="1175" t="s">
        <v>749</v>
      </c>
      <c r="O382" s="1175" t="s">
        <v>1473</v>
      </c>
    </row>
    <row r="383" spans="1:15" s="1159" customFormat="1" ht="75" x14ac:dyDescent="0.35">
      <c r="A383" s="1172">
        <v>2022377</v>
      </c>
      <c r="B383" s="1172">
        <v>7658</v>
      </c>
      <c r="C383" s="1172" t="s">
        <v>679</v>
      </c>
      <c r="D383" s="1190" t="s">
        <v>701</v>
      </c>
      <c r="E383" s="1230">
        <v>80111600</v>
      </c>
      <c r="F383" s="1199" t="s">
        <v>1040</v>
      </c>
      <c r="G383" s="1193" t="s">
        <v>1414</v>
      </c>
      <c r="H383" s="1212" t="s">
        <v>1414</v>
      </c>
      <c r="I383" s="1194" t="s">
        <v>1460</v>
      </c>
      <c r="J383" s="1195" t="s">
        <v>1455</v>
      </c>
      <c r="K383" s="1176" t="s">
        <v>674</v>
      </c>
      <c r="L383" s="1241" t="s">
        <v>675</v>
      </c>
      <c r="M383" s="1196">
        <v>55620000</v>
      </c>
      <c r="N383" s="1175" t="s">
        <v>749</v>
      </c>
      <c r="O383" s="1175" t="s">
        <v>1473</v>
      </c>
    </row>
    <row r="384" spans="1:15" s="1159" customFormat="1" ht="75" x14ac:dyDescent="0.35">
      <c r="A384" s="1172">
        <v>2022378</v>
      </c>
      <c r="B384" s="1172">
        <v>7658</v>
      </c>
      <c r="C384" s="1172" t="s">
        <v>679</v>
      </c>
      <c r="D384" s="1190" t="s">
        <v>701</v>
      </c>
      <c r="E384" s="1230">
        <v>80111600</v>
      </c>
      <c r="F384" s="1199" t="s">
        <v>1041</v>
      </c>
      <c r="G384" s="1193" t="s">
        <v>1414</v>
      </c>
      <c r="H384" s="1212" t="s">
        <v>1414</v>
      </c>
      <c r="I384" s="1194" t="s">
        <v>1460</v>
      </c>
      <c r="J384" s="1195" t="s">
        <v>1455</v>
      </c>
      <c r="K384" s="1176" t="s">
        <v>674</v>
      </c>
      <c r="L384" s="1241" t="s">
        <v>675</v>
      </c>
      <c r="M384" s="1196">
        <v>55620000</v>
      </c>
      <c r="N384" s="1175" t="s">
        <v>749</v>
      </c>
      <c r="O384" s="1175" t="s">
        <v>1473</v>
      </c>
    </row>
    <row r="385" spans="1:18" s="1159" customFormat="1" ht="75" x14ac:dyDescent="0.35">
      <c r="A385" s="1172">
        <v>2022379</v>
      </c>
      <c r="B385" s="1172">
        <v>7658</v>
      </c>
      <c r="C385" s="1172" t="s">
        <v>679</v>
      </c>
      <c r="D385" s="1190" t="s">
        <v>701</v>
      </c>
      <c r="E385" s="1230">
        <v>80111600</v>
      </c>
      <c r="F385" s="1199" t="s">
        <v>1042</v>
      </c>
      <c r="G385" s="1193" t="s">
        <v>1414</v>
      </c>
      <c r="H385" s="1212" t="s">
        <v>1414</v>
      </c>
      <c r="I385" s="1194" t="s">
        <v>1417</v>
      </c>
      <c r="J385" s="1195" t="s">
        <v>1455</v>
      </c>
      <c r="K385" s="1176" t="s">
        <v>674</v>
      </c>
      <c r="L385" s="1241" t="s">
        <v>675</v>
      </c>
      <c r="M385" s="1196">
        <v>50985000</v>
      </c>
      <c r="N385" s="1175" t="s">
        <v>749</v>
      </c>
      <c r="O385" s="1175" t="s">
        <v>1473</v>
      </c>
    </row>
    <row r="386" spans="1:18" s="1159" customFormat="1" ht="75" x14ac:dyDescent="0.35">
      <c r="A386" s="1172">
        <v>2022380</v>
      </c>
      <c r="B386" s="1172">
        <v>7658</v>
      </c>
      <c r="C386" s="1172" t="s">
        <v>679</v>
      </c>
      <c r="D386" s="1190" t="s">
        <v>701</v>
      </c>
      <c r="E386" s="1230">
        <v>80111600</v>
      </c>
      <c r="F386" s="1199" t="s">
        <v>1043</v>
      </c>
      <c r="G386" s="1193" t="s">
        <v>1414</v>
      </c>
      <c r="H386" s="1212" t="s">
        <v>1414</v>
      </c>
      <c r="I386" s="1194" t="s">
        <v>1417</v>
      </c>
      <c r="J386" s="1195" t="s">
        <v>1455</v>
      </c>
      <c r="K386" s="1176" t="s">
        <v>674</v>
      </c>
      <c r="L386" s="1241" t="s">
        <v>675</v>
      </c>
      <c r="M386" s="1196">
        <v>50985000</v>
      </c>
      <c r="N386" s="1175" t="s">
        <v>749</v>
      </c>
      <c r="O386" s="1175" t="s">
        <v>1473</v>
      </c>
    </row>
    <row r="387" spans="1:18" s="1159" customFormat="1" ht="75" x14ac:dyDescent="0.35">
      <c r="A387" s="1172">
        <v>2022381</v>
      </c>
      <c r="B387" s="1172">
        <v>7658</v>
      </c>
      <c r="C387" s="1172" t="s">
        <v>679</v>
      </c>
      <c r="D387" s="1190" t="s">
        <v>701</v>
      </c>
      <c r="E387" s="1230">
        <v>80111600</v>
      </c>
      <c r="F387" s="1199" t="s">
        <v>1044</v>
      </c>
      <c r="G387" s="1193" t="s">
        <v>1414</v>
      </c>
      <c r="H387" s="1212" t="s">
        <v>1414</v>
      </c>
      <c r="I387" s="1194" t="s">
        <v>1460</v>
      </c>
      <c r="J387" s="1195" t="s">
        <v>1455</v>
      </c>
      <c r="K387" s="1176" t="s">
        <v>674</v>
      </c>
      <c r="L387" s="1241" t="s">
        <v>675</v>
      </c>
      <c r="M387" s="1196">
        <v>84000000</v>
      </c>
      <c r="N387" s="1175" t="s">
        <v>749</v>
      </c>
      <c r="O387" s="1175" t="s">
        <v>1473</v>
      </c>
    </row>
    <row r="388" spans="1:18" s="1159" customFormat="1" ht="75" x14ac:dyDescent="0.35">
      <c r="A388" s="1172">
        <v>2022382</v>
      </c>
      <c r="B388" s="1172">
        <v>7658</v>
      </c>
      <c r="C388" s="1172" t="s">
        <v>679</v>
      </c>
      <c r="D388" s="1190" t="s">
        <v>701</v>
      </c>
      <c r="E388" s="1230">
        <v>80111600</v>
      </c>
      <c r="F388" s="1199" t="s">
        <v>1045</v>
      </c>
      <c r="G388" s="1193" t="s">
        <v>1414</v>
      </c>
      <c r="H388" s="1212" t="s">
        <v>1414</v>
      </c>
      <c r="I388" s="1194" t="s">
        <v>1460</v>
      </c>
      <c r="J388" s="1195" t="s">
        <v>1455</v>
      </c>
      <c r="K388" s="1176" t="s">
        <v>674</v>
      </c>
      <c r="L388" s="1241" t="s">
        <v>675</v>
      </c>
      <c r="M388" s="1196">
        <v>84000000</v>
      </c>
      <c r="N388" s="1175" t="s">
        <v>749</v>
      </c>
      <c r="O388" s="1175" t="s">
        <v>1473</v>
      </c>
    </row>
    <row r="389" spans="1:18" s="1159" customFormat="1" ht="75" x14ac:dyDescent="0.35">
      <c r="A389" s="1172">
        <v>2022383</v>
      </c>
      <c r="B389" s="1172">
        <v>7658</v>
      </c>
      <c r="C389" s="1172" t="s">
        <v>679</v>
      </c>
      <c r="D389" s="1190" t="s">
        <v>701</v>
      </c>
      <c r="E389" s="1230">
        <v>80111600</v>
      </c>
      <c r="F389" s="1199" t="s">
        <v>1046</v>
      </c>
      <c r="G389" s="1193" t="s">
        <v>1414</v>
      </c>
      <c r="H389" s="1212" t="s">
        <v>1414</v>
      </c>
      <c r="I389" s="1194" t="s">
        <v>1460</v>
      </c>
      <c r="J389" s="1195" t="s">
        <v>1455</v>
      </c>
      <c r="K389" s="1176" t="s">
        <v>674</v>
      </c>
      <c r="L389" s="1241" t="s">
        <v>675</v>
      </c>
      <c r="M389" s="1196">
        <v>84000000</v>
      </c>
      <c r="N389" s="1175" t="s">
        <v>749</v>
      </c>
      <c r="O389" s="1175" t="s">
        <v>1473</v>
      </c>
    </row>
    <row r="390" spans="1:18" s="1159" customFormat="1" ht="75" x14ac:dyDescent="0.35">
      <c r="A390" s="1172">
        <v>2022384</v>
      </c>
      <c r="B390" s="1172">
        <v>7658</v>
      </c>
      <c r="C390" s="1172" t="s">
        <v>679</v>
      </c>
      <c r="D390" s="1190" t="s">
        <v>701</v>
      </c>
      <c r="E390" s="1230">
        <v>80111600</v>
      </c>
      <c r="F390" s="1199" t="s">
        <v>1047</v>
      </c>
      <c r="G390" s="1193" t="s">
        <v>1414</v>
      </c>
      <c r="H390" s="1212" t="s">
        <v>1414</v>
      </c>
      <c r="I390" s="1194" t="s">
        <v>1460</v>
      </c>
      <c r="J390" s="1195" t="s">
        <v>1455</v>
      </c>
      <c r="K390" s="1176" t="s">
        <v>674</v>
      </c>
      <c r="L390" s="1241" t="s">
        <v>675</v>
      </c>
      <c r="M390" s="1196">
        <v>84000000</v>
      </c>
      <c r="N390" s="1175" t="s">
        <v>749</v>
      </c>
      <c r="O390" s="1175" t="s">
        <v>1473</v>
      </c>
    </row>
    <row r="391" spans="1:18" s="1159" customFormat="1" ht="75" x14ac:dyDescent="0.35">
      <c r="A391" s="1172">
        <v>2022385</v>
      </c>
      <c r="B391" s="1172">
        <v>7658</v>
      </c>
      <c r="C391" s="1172" t="s">
        <v>679</v>
      </c>
      <c r="D391" s="1190" t="s">
        <v>701</v>
      </c>
      <c r="E391" s="1230">
        <v>80111600</v>
      </c>
      <c r="F391" s="1199" t="s">
        <v>1048</v>
      </c>
      <c r="G391" s="1193" t="s">
        <v>1414</v>
      </c>
      <c r="H391" s="1212" t="s">
        <v>1414</v>
      </c>
      <c r="I391" s="1194" t="s">
        <v>1460</v>
      </c>
      <c r="J391" s="1195" t="s">
        <v>1455</v>
      </c>
      <c r="K391" s="1176" t="s">
        <v>674</v>
      </c>
      <c r="L391" s="1241" t="s">
        <v>675</v>
      </c>
      <c r="M391" s="1196">
        <v>84000000</v>
      </c>
      <c r="N391" s="1175" t="s">
        <v>749</v>
      </c>
      <c r="O391" s="1175" t="s">
        <v>1473</v>
      </c>
    </row>
    <row r="392" spans="1:18" s="1159" customFormat="1" ht="75" x14ac:dyDescent="0.35">
      <c r="A392" s="1172">
        <v>2022386</v>
      </c>
      <c r="B392" s="1172">
        <v>7658</v>
      </c>
      <c r="C392" s="1172" t="s">
        <v>679</v>
      </c>
      <c r="D392" s="1190" t="s">
        <v>701</v>
      </c>
      <c r="E392" s="1230">
        <v>80111600</v>
      </c>
      <c r="F392" s="1199" t="s">
        <v>1049</v>
      </c>
      <c r="G392" s="1193" t="s">
        <v>1414</v>
      </c>
      <c r="H392" s="1212" t="s">
        <v>1414</v>
      </c>
      <c r="I392" s="1194" t="s">
        <v>1460</v>
      </c>
      <c r="J392" s="1195" t="s">
        <v>1455</v>
      </c>
      <c r="K392" s="1176" t="s">
        <v>674</v>
      </c>
      <c r="L392" s="1241" t="s">
        <v>675</v>
      </c>
      <c r="M392" s="1196">
        <v>84000000</v>
      </c>
      <c r="N392" s="1175" t="s">
        <v>749</v>
      </c>
      <c r="O392" s="1175" t="s">
        <v>1473</v>
      </c>
    </row>
    <row r="393" spans="1:18" s="1159" customFormat="1" ht="75" x14ac:dyDescent="0.35">
      <c r="A393" s="1172">
        <v>2022387</v>
      </c>
      <c r="B393" s="1172">
        <v>7658</v>
      </c>
      <c r="C393" s="1172" t="s">
        <v>679</v>
      </c>
      <c r="D393" s="1190" t="s">
        <v>701</v>
      </c>
      <c r="E393" s="1234">
        <v>80111600</v>
      </c>
      <c r="F393" s="1175" t="s">
        <v>1050</v>
      </c>
      <c r="G393" s="1193" t="s">
        <v>1414</v>
      </c>
      <c r="H393" s="1212" t="s">
        <v>1414</v>
      </c>
      <c r="I393" s="1194" t="s">
        <v>1460</v>
      </c>
      <c r="J393" s="1195" t="s">
        <v>1455</v>
      </c>
      <c r="K393" s="1176" t="s">
        <v>674</v>
      </c>
      <c r="L393" s="1252" t="s">
        <v>675</v>
      </c>
      <c r="M393" s="1253">
        <v>90000000</v>
      </c>
      <c r="N393" s="1175" t="s">
        <v>749</v>
      </c>
      <c r="O393" s="1175" t="s">
        <v>1473</v>
      </c>
    </row>
    <row r="394" spans="1:18" s="1159" customFormat="1" ht="60" x14ac:dyDescent="0.35">
      <c r="A394" s="1172">
        <v>2022388</v>
      </c>
      <c r="B394" s="1172">
        <v>7658</v>
      </c>
      <c r="C394" s="1172" t="s">
        <v>679</v>
      </c>
      <c r="D394" s="1190" t="s">
        <v>692</v>
      </c>
      <c r="E394" s="1234" t="s">
        <v>1519</v>
      </c>
      <c r="F394" s="1175" t="s">
        <v>1520</v>
      </c>
      <c r="G394" s="1212" t="s">
        <v>1521</v>
      </c>
      <c r="H394" s="1212" t="s">
        <v>1522</v>
      </c>
      <c r="I394" s="1212">
        <v>10</v>
      </c>
      <c r="J394" s="1195" t="s">
        <v>1523</v>
      </c>
      <c r="K394" s="1176" t="s">
        <v>674</v>
      </c>
      <c r="L394" s="1254" t="s">
        <v>675</v>
      </c>
      <c r="M394" s="1179">
        <v>650000000</v>
      </c>
      <c r="N394" s="1175" t="s">
        <v>741</v>
      </c>
      <c r="O394" s="1175" t="s">
        <v>1524</v>
      </c>
    </row>
    <row r="395" spans="1:18" s="1159" customFormat="1" ht="75" x14ac:dyDescent="0.35">
      <c r="A395" s="1182">
        <v>2022389</v>
      </c>
      <c r="B395" s="1182">
        <v>7658</v>
      </c>
      <c r="C395" s="1182" t="s">
        <v>679</v>
      </c>
      <c r="D395" s="1227" t="s">
        <v>692</v>
      </c>
      <c r="E395" s="1255" t="s">
        <v>1051</v>
      </c>
      <c r="F395" s="1185" t="s">
        <v>1052</v>
      </c>
      <c r="G395" s="1246" t="s">
        <v>1521</v>
      </c>
      <c r="H395" s="1246" t="s">
        <v>1522</v>
      </c>
      <c r="I395" s="1246">
        <v>8</v>
      </c>
      <c r="J395" s="1240" t="s">
        <v>1523</v>
      </c>
      <c r="K395" s="1184" t="s">
        <v>674</v>
      </c>
      <c r="L395" s="1256" t="s">
        <v>675</v>
      </c>
      <c r="M395" s="1186">
        <v>816036232</v>
      </c>
      <c r="N395" s="1185" t="s">
        <v>741</v>
      </c>
      <c r="O395" s="1185" t="s">
        <v>1524</v>
      </c>
      <c r="R395" s="1180"/>
    </row>
    <row r="396" spans="1:18" s="1159" customFormat="1" ht="90" x14ac:dyDescent="0.35">
      <c r="A396" s="1172">
        <v>2022390</v>
      </c>
      <c r="B396" s="1172">
        <v>7658</v>
      </c>
      <c r="C396" s="1172" t="s">
        <v>679</v>
      </c>
      <c r="D396" s="1190" t="s">
        <v>692</v>
      </c>
      <c r="E396" s="1234" t="s">
        <v>1051</v>
      </c>
      <c r="F396" s="1175" t="s">
        <v>1053</v>
      </c>
      <c r="G396" s="1193" t="s">
        <v>1414</v>
      </c>
      <c r="H396" s="1212" t="s">
        <v>1420</v>
      </c>
      <c r="I396" s="1212">
        <v>2</v>
      </c>
      <c r="J396" s="1195" t="s">
        <v>1523</v>
      </c>
      <c r="K396" s="1176" t="s">
        <v>674</v>
      </c>
      <c r="L396" s="1178" t="s">
        <v>675</v>
      </c>
      <c r="M396" s="1179">
        <v>183963768</v>
      </c>
      <c r="N396" s="1175" t="s">
        <v>741</v>
      </c>
      <c r="O396" s="1175" t="s">
        <v>1524</v>
      </c>
    </row>
    <row r="397" spans="1:18" s="1159" customFormat="1" ht="60" x14ac:dyDescent="0.35">
      <c r="A397" s="1172">
        <v>2022391</v>
      </c>
      <c r="B397" s="1172">
        <v>7658</v>
      </c>
      <c r="C397" s="1172" t="s">
        <v>679</v>
      </c>
      <c r="D397" s="1190" t="s">
        <v>692</v>
      </c>
      <c r="E397" s="1234" t="s">
        <v>1054</v>
      </c>
      <c r="F397" s="1175" t="s">
        <v>1055</v>
      </c>
      <c r="G397" s="1212" t="s">
        <v>1526</v>
      </c>
      <c r="H397" s="1212" t="s">
        <v>1527</v>
      </c>
      <c r="I397" s="1212">
        <v>8</v>
      </c>
      <c r="J397" s="1195" t="s">
        <v>1523</v>
      </c>
      <c r="K397" s="1176" t="s">
        <v>770</v>
      </c>
      <c r="L397" s="1254" t="s">
        <v>981</v>
      </c>
      <c r="M397" s="1179">
        <v>617440000</v>
      </c>
      <c r="N397" s="1175" t="s">
        <v>741</v>
      </c>
      <c r="O397" s="1175" t="s">
        <v>1524</v>
      </c>
    </row>
    <row r="398" spans="1:18" s="1159" customFormat="1" ht="90" x14ac:dyDescent="0.35">
      <c r="A398" s="1172">
        <v>2022392</v>
      </c>
      <c r="B398" s="1172">
        <v>7658</v>
      </c>
      <c r="C398" s="1172" t="s">
        <v>679</v>
      </c>
      <c r="D398" s="1190" t="s">
        <v>692</v>
      </c>
      <c r="E398" s="1257" t="s">
        <v>1528</v>
      </c>
      <c r="F398" s="1175" t="s">
        <v>1529</v>
      </c>
      <c r="G398" s="1212" t="s">
        <v>1526</v>
      </c>
      <c r="H398" s="1212" t="s">
        <v>1527</v>
      </c>
      <c r="I398" s="1212">
        <v>8</v>
      </c>
      <c r="J398" s="1195" t="s">
        <v>1510</v>
      </c>
      <c r="K398" s="1176" t="s">
        <v>674</v>
      </c>
      <c r="L398" s="1254" t="s">
        <v>675</v>
      </c>
      <c r="M398" s="1179">
        <v>300000000</v>
      </c>
      <c r="N398" s="1175" t="s">
        <v>741</v>
      </c>
      <c r="O398" s="1175" t="s">
        <v>1524</v>
      </c>
    </row>
    <row r="399" spans="1:18" s="1159" customFormat="1" ht="75" x14ac:dyDescent="0.35">
      <c r="A399" s="1172">
        <v>2022393</v>
      </c>
      <c r="B399" s="1172">
        <v>7658</v>
      </c>
      <c r="C399" s="1172" t="s">
        <v>679</v>
      </c>
      <c r="D399" s="1190" t="s">
        <v>692</v>
      </c>
      <c r="E399" s="1257" t="s">
        <v>1530</v>
      </c>
      <c r="F399" s="1175" t="s">
        <v>1060</v>
      </c>
      <c r="G399" s="1212" t="s">
        <v>1526</v>
      </c>
      <c r="H399" s="1212" t="s">
        <v>1527</v>
      </c>
      <c r="I399" s="1212">
        <v>8</v>
      </c>
      <c r="J399" s="1195" t="s">
        <v>1531</v>
      </c>
      <c r="K399" s="1176" t="s">
        <v>674</v>
      </c>
      <c r="L399" s="1178" t="s">
        <v>675</v>
      </c>
      <c r="M399" s="1179">
        <v>200000000</v>
      </c>
      <c r="N399" s="1175" t="s">
        <v>741</v>
      </c>
      <c r="O399" s="1175" t="s">
        <v>1524</v>
      </c>
    </row>
    <row r="400" spans="1:18" s="1159" customFormat="1" ht="60" x14ac:dyDescent="0.35">
      <c r="A400" s="1172">
        <v>2022394</v>
      </c>
      <c r="B400" s="1172">
        <v>7658</v>
      </c>
      <c r="C400" s="1172" t="s">
        <v>679</v>
      </c>
      <c r="D400" s="1190" t="s">
        <v>692</v>
      </c>
      <c r="E400" s="1258" t="s">
        <v>1061</v>
      </c>
      <c r="F400" s="1175" t="s">
        <v>1062</v>
      </c>
      <c r="G400" s="1176" t="s">
        <v>1527</v>
      </c>
      <c r="H400" s="1176" t="s">
        <v>1532</v>
      </c>
      <c r="I400" s="1176">
        <v>6</v>
      </c>
      <c r="J400" s="1195" t="s">
        <v>1531</v>
      </c>
      <c r="K400" s="1176" t="s">
        <v>674</v>
      </c>
      <c r="L400" s="1178" t="s">
        <v>675</v>
      </c>
      <c r="M400" s="1179">
        <f>150000000-76286376</f>
        <v>73713624</v>
      </c>
      <c r="N400" s="1175" t="s">
        <v>741</v>
      </c>
      <c r="O400" s="1175" t="s">
        <v>1524</v>
      </c>
    </row>
    <row r="401" spans="1:15" s="1159" customFormat="1" ht="60" x14ac:dyDescent="0.35">
      <c r="A401" s="1172">
        <v>2022395</v>
      </c>
      <c r="B401" s="1172">
        <v>7658</v>
      </c>
      <c r="C401" s="1172" t="s">
        <v>679</v>
      </c>
      <c r="D401" s="1190" t="s">
        <v>692</v>
      </c>
      <c r="E401" s="1258" t="s">
        <v>1533</v>
      </c>
      <c r="F401" s="1175" t="s">
        <v>1534</v>
      </c>
      <c r="G401" s="1176" t="s">
        <v>1532</v>
      </c>
      <c r="H401" s="1176" t="s">
        <v>1535</v>
      </c>
      <c r="I401" s="1176">
        <v>3</v>
      </c>
      <c r="J401" s="1195" t="s">
        <v>1523</v>
      </c>
      <c r="K401" s="1176" t="s">
        <v>770</v>
      </c>
      <c r="L401" s="1178" t="s">
        <v>981</v>
      </c>
      <c r="M401" s="1179">
        <v>400000000</v>
      </c>
      <c r="N401" s="1175" t="s">
        <v>741</v>
      </c>
      <c r="O401" s="1175" t="s">
        <v>1524</v>
      </c>
    </row>
    <row r="402" spans="1:15" s="1159" customFormat="1" ht="60" x14ac:dyDescent="0.35">
      <c r="A402" s="1172">
        <v>2022396</v>
      </c>
      <c r="B402" s="1172">
        <v>7658</v>
      </c>
      <c r="C402" s="1172" t="s">
        <v>679</v>
      </c>
      <c r="D402" s="1190" t="s">
        <v>692</v>
      </c>
      <c r="E402" s="1258" t="s">
        <v>1530</v>
      </c>
      <c r="F402" s="1199" t="s">
        <v>1536</v>
      </c>
      <c r="G402" s="1176" t="s">
        <v>1537</v>
      </c>
      <c r="H402" s="1176" t="s">
        <v>1538</v>
      </c>
      <c r="I402" s="1176">
        <v>3</v>
      </c>
      <c r="J402" s="1195" t="s">
        <v>1523</v>
      </c>
      <c r="K402" s="1176" t="s">
        <v>674</v>
      </c>
      <c r="L402" s="1178" t="s">
        <v>675</v>
      </c>
      <c r="M402" s="1179">
        <v>300000000</v>
      </c>
      <c r="N402" s="1175" t="s">
        <v>741</v>
      </c>
      <c r="O402" s="1175" t="s">
        <v>1524</v>
      </c>
    </row>
    <row r="403" spans="1:15" s="1159" customFormat="1" ht="60" x14ac:dyDescent="0.35">
      <c r="A403" s="1172">
        <v>2022397</v>
      </c>
      <c r="B403" s="1172">
        <v>7658</v>
      </c>
      <c r="C403" s="1172" t="s">
        <v>679</v>
      </c>
      <c r="D403" s="1190" t="s">
        <v>692</v>
      </c>
      <c r="E403" s="1259" t="s">
        <v>1539</v>
      </c>
      <c r="F403" s="1175" t="s">
        <v>1540</v>
      </c>
      <c r="G403" s="1260" t="s">
        <v>1522</v>
      </c>
      <c r="H403" s="1176" t="s">
        <v>1537</v>
      </c>
      <c r="I403" s="1176">
        <v>2</v>
      </c>
      <c r="J403" s="1195" t="s">
        <v>1531</v>
      </c>
      <c r="K403" s="1176" t="s">
        <v>674</v>
      </c>
      <c r="L403" s="1178" t="s">
        <v>675</v>
      </c>
      <c r="M403" s="1179">
        <v>30000000</v>
      </c>
      <c r="N403" s="1175" t="s">
        <v>741</v>
      </c>
      <c r="O403" s="1175" t="s">
        <v>1524</v>
      </c>
    </row>
    <row r="404" spans="1:15" s="1159" customFormat="1" ht="60" x14ac:dyDescent="0.35">
      <c r="A404" s="1172">
        <v>2022398</v>
      </c>
      <c r="B404" s="1172">
        <v>7658</v>
      </c>
      <c r="C404" s="1172" t="s">
        <v>679</v>
      </c>
      <c r="D404" s="1190" t="s">
        <v>692</v>
      </c>
      <c r="E404" s="1259" t="s">
        <v>1541</v>
      </c>
      <c r="F404" s="1175" t="s">
        <v>1542</v>
      </c>
      <c r="G404" s="1260" t="s">
        <v>1527</v>
      </c>
      <c r="H404" s="1176" t="s">
        <v>1538</v>
      </c>
      <c r="I404" s="1176">
        <v>8</v>
      </c>
      <c r="J404" s="1195" t="s">
        <v>1531</v>
      </c>
      <c r="K404" s="1176" t="s">
        <v>674</v>
      </c>
      <c r="L404" s="1178" t="s">
        <v>675</v>
      </c>
      <c r="M404" s="1179">
        <v>10000000</v>
      </c>
      <c r="N404" s="1175" t="s">
        <v>741</v>
      </c>
      <c r="O404" s="1175" t="s">
        <v>1524</v>
      </c>
    </row>
    <row r="405" spans="1:15" s="1159" customFormat="1" ht="60" x14ac:dyDescent="0.35">
      <c r="A405" s="1172">
        <v>2022399</v>
      </c>
      <c r="B405" s="1172">
        <v>7658</v>
      </c>
      <c r="C405" s="1172" t="s">
        <v>679</v>
      </c>
      <c r="D405" s="1190" t="s">
        <v>692</v>
      </c>
      <c r="E405" s="1259" t="s">
        <v>1543</v>
      </c>
      <c r="F405" s="1175" t="s">
        <v>1544</v>
      </c>
      <c r="G405" s="1260" t="s">
        <v>1527</v>
      </c>
      <c r="H405" s="1176" t="s">
        <v>1538</v>
      </c>
      <c r="I405" s="1176">
        <v>8</v>
      </c>
      <c r="J405" s="1195" t="s">
        <v>1531</v>
      </c>
      <c r="K405" s="1176" t="s">
        <v>674</v>
      </c>
      <c r="L405" s="1178" t="s">
        <v>675</v>
      </c>
      <c r="M405" s="1179">
        <v>20000000</v>
      </c>
      <c r="N405" s="1175" t="s">
        <v>741</v>
      </c>
      <c r="O405" s="1175" t="s">
        <v>1524</v>
      </c>
    </row>
    <row r="406" spans="1:15" s="1159" customFormat="1" ht="60" x14ac:dyDescent="0.35">
      <c r="A406" s="1172">
        <v>2022400</v>
      </c>
      <c r="B406" s="1172">
        <v>7658</v>
      </c>
      <c r="C406" s="1172" t="s">
        <v>679</v>
      </c>
      <c r="D406" s="1190" t="s">
        <v>692</v>
      </c>
      <c r="E406" s="1259" t="s">
        <v>1067</v>
      </c>
      <c r="F406" s="1175" t="s">
        <v>1068</v>
      </c>
      <c r="G406" s="1260" t="s">
        <v>1527</v>
      </c>
      <c r="H406" s="1176" t="s">
        <v>1538</v>
      </c>
      <c r="I406" s="1176">
        <v>2</v>
      </c>
      <c r="J406" s="1195" t="s">
        <v>1531</v>
      </c>
      <c r="K406" s="1176" t="s">
        <v>674</v>
      </c>
      <c r="L406" s="1178" t="s">
        <v>675</v>
      </c>
      <c r="M406" s="1179">
        <v>50000000</v>
      </c>
      <c r="N406" s="1175" t="s">
        <v>741</v>
      </c>
      <c r="O406" s="1175" t="s">
        <v>1524</v>
      </c>
    </row>
    <row r="407" spans="1:15" s="1159" customFormat="1" ht="60" x14ac:dyDescent="0.35">
      <c r="A407" s="1172">
        <v>2022401</v>
      </c>
      <c r="B407" s="1172">
        <v>7658</v>
      </c>
      <c r="C407" s="1172" t="s">
        <v>679</v>
      </c>
      <c r="D407" s="1190" t="s">
        <v>692</v>
      </c>
      <c r="E407" s="1259" t="s">
        <v>1545</v>
      </c>
      <c r="F407" s="1175" t="s">
        <v>1546</v>
      </c>
      <c r="G407" s="1260" t="s">
        <v>1537</v>
      </c>
      <c r="H407" s="1176" t="s">
        <v>1535</v>
      </c>
      <c r="I407" s="1176">
        <v>6</v>
      </c>
      <c r="J407" s="1195" t="s">
        <v>1531</v>
      </c>
      <c r="K407" s="1176" t="s">
        <v>674</v>
      </c>
      <c r="L407" s="1178" t="s">
        <v>675</v>
      </c>
      <c r="M407" s="1179">
        <v>30000000</v>
      </c>
      <c r="N407" s="1175" t="s">
        <v>741</v>
      </c>
      <c r="O407" s="1175" t="s">
        <v>1524</v>
      </c>
    </row>
    <row r="408" spans="1:15" s="1159" customFormat="1" ht="60" x14ac:dyDescent="0.35">
      <c r="A408" s="1182">
        <v>2022402</v>
      </c>
      <c r="B408" s="1182">
        <v>7658</v>
      </c>
      <c r="C408" s="1182" t="s">
        <v>679</v>
      </c>
      <c r="D408" s="1227" t="s">
        <v>692</v>
      </c>
      <c r="E408" s="1261">
        <v>43232500</v>
      </c>
      <c r="F408" s="1185" t="s">
        <v>1547</v>
      </c>
      <c r="G408" s="1262" t="s">
        <v>1527</v>
      </c>
      <c r="H408" s="1184" t="s">
        <v>1538</v>
      </c>
      <c r="I408" s="1184">
        <v>6</v>
      </c>
      <c r="J408" s="1240" t="s">
        <v>1531</v>
      </c>
      <c r="K408" s="1184" t="s">
        <v>674</v>
      </c>
      <c r="L408" s="1183" t="s">
        <v>675</v>
      </c>
      <c r="M408" s="1186">
        <f>24560000-560000-10000000</f>
        <v>14000000</v>
      </c>
      <c r="N408" s="1185" t="s">
        <v>741</v>
      </c>
      <c r="O408" s="1185" t="s">
        <v>1524</v>
      </c>
    </row>
    <row r="409" spans="1:15" s="1159" customFormat="1" ht="60" x14ac:dyDescent="0.35">
      <c r="A409" s="1172">
        <v>2022403</v>
      </c>
      <c r="B409" s="1172">
        <v>7658</v>
      </c>
      <c r="C409" s="1172" t="s">
        <v>679</v>
      </c>
      <c r="D409" s="1190" t="s">
        <v>692</v>
      </c>
      <c r="E409" s="1258" t="s">
        <v>1545</v>
      </c>
      <c r="F409" s="1263" t="s">
        <v>1548</v>
      </c>
      <c r="G409" s="1176" t="s">
        <v>1527</v>
      </c>
      <c r="H409" s="1176" t="s">
        <v>1538</v>
      </c>
      <c r="I409" s="1176">
        <v>6</v>
      </c>
      <c r="J409" s="1195" t="s">
        <v>1531</v>
      </c>
      <c r="K409" s="1176" t="s">
        <v>674</v>
      </c>
      <c r="L409" s="1178" t="s">
        <v>675</v>
      </c>
      <c r="M409" s="1179">
        <v>20000000</v>
      </c>
      <c r="N409" s="1175" t="s">
        <v>741</v>
      </c>
      <c r="O409" s="1175" t="s">
        <v>1524</v>
      </c>
    </row>
    <row r="410" spans="1:15" s="1159" customFormat="1" ht="60" x14ac:dyDescent="0.35">
      <c r="A410" s="1172">
        <v>2022404</v>
      </c>
      <c r="B410" s="1172">
        <v>7658</v>
      </c>
      <c r="C410" s="1172" t="s">
        <v>679</v>
      </c>
      <c r="D410" s="1190" t="s">
        <v>692</v>
      </c>
      <c r="E410" s="1234">
        <v>80111600</v>
      </c>
      <c r="F410" s="1175" t="s">
        <v>1069</v>
      </c>
      <c r="G410" s="1176" t="s">
        <v>1521</v>
      </c>
      <c r="H410" s="1176" t="s">
        <v>1521</v>
      </c>
      <c r="I410" s="1176">
        <v>7</v>
      </c>
      <c r="J410" s="1176" t="s">
        <v>1549</v>
      </c>
      <c r="K410" s="1176" t="s">
        <v>674</v>
      </c>
      <c r="L410" s="1178" t="s">
        <v>675</v>
      </c>
      <c r="M410" s="1264">
        <v>26950000</v>
      </c>
      <c r="N410" s="1175" t="s">
        <v>741</v>
      </c>
      <c r="O410" s="1175" t="s">
        <v>1524</v>
      </c>
    </row>
    <row r="411" spans="1:15" s="1159" customFormat="1" ht="60" x14ac:dyDescent="0.35">
      <c r="A411" s="1172">
        <v>2022405</v>
      </c>
      <c r="B411" s="1172">
        <v>7658</v>
      </c>
      <c r="C411" s="1172" t="s">
        <v>679</v>
      </c>
      <c r="D411" s="1190" t="s">
        <v>692</v>
      </c>
      <c r="E411" s="1234">
        <v>80111600</v>
      </c>
      <c r="F411" s="1175" t="s">
        <v>1069</v>
      </c>
      <c r="G411" s="1176" t="s">
        <v>1521</v>
      </c>
      <c r="H411" s="1176" t="s">
        <v>1521</v>
      </c>
      <c r="I411" s="1176">
        <v>3</v>
      </c>
      <c r="J411" s="1176" t="s">
        <v>1549</v>
      </c>
      <c r="K411" s="1176" t="s">
        <v>674</v>
      </c>
      <c r="L411" s="1178" t="s">
        <v>675</v>
      </c>
      <c r="M411" s="1264">
        <v>13500000</v>
      </c>
      <c r="N411" s="1175" t="s">
        <v>741</v>
      </c>
      <c r="O411" s="1175" t="s">
        <v>1524</v>
      </c>
    </row>
    <row r="412" spans="1:15" s="1159" customFormat="1" ht="60" x14ac:dyDescent="0.35">
      <c r="A412" s="1172">
        <v>2022406</v>
      </c>
      <c r="B412" s="1172">
        <v>7658</v>
      </c>
      <c r="C412" s="1172" t="s">
        <v>679</v>
      </c>
      <c r="D412" s="1190" t="s">
        <v>692</v>
      </c>
      <c r="E412" s="1234">
        <v>80111600</v>
      </c>
      <c r="F412" s="1175" t="s">
        <v>1070</v>
      </c>
      <c r="G412" s="1176" t="s">
        <v>1521</v>
      </c>
      <c r="H412" s="1176" t="s">
        <v>1521</v>
      </c>
      <c r="I412" s="1176">
        <v>10</v>
      </c>
      <c r="J412" s="1176" t="s">
        <v>1549</v>
      </c>
      <c r="K412" s="1176" t="s">
        <v>674</v>
      </c>
      <c r="L412" s="1178" t="s">
        <v>675</v>
      </c>
      <c r="M412" s="1264">
        <v>82400000</v>
      </c>
      <c r="N412" s="1175" t="s">
        <v>741</v>
      </c>
      <c r="O412" s="1175" t="s">
        <v>1524</v>
      </c>
    </row>
    <row r="413" spans="1:15" s="1159" customFormat="1" ht="60" x14ac:dyDescent="0.35">
      <c r="A413" s="1172">
        <v>2022407</v>
      </c>
      <c r="B413" s="1172">
        <v>7658</v>
      </c>
      <c r="C413" s="1172" t="s">
        <v>679</v>
      </c>
      <c r="D413" s="1190" t="s">
        <v>692</v>
      </c>
      <c r="E413" s="1234">
        <v>80111600</v>
      </c>
      <c r="F413" s="1175" t="s">
        <v>1071</v>
      </c>
      <c r="G413" s="1176" t="s">
        <v>1521</v>
      </c>
      <c r="H413" s="1176" t="s">
        <v>1521</v>
      </c>
      <c r="I413" s="1176">
        <v>6</v>
      </c>
      <c r="J413" s="1176" t="s">
        <v>1549</v>
      </c>
      <c r="K413" s="1176" t="s">
        <v>674</v>
      </c>
      <c r="L413" s="1178" t="s">
        <v>675</v>
      </c>
      <c r="M413" s="1264">
        <v>49440000</v>
      </c>
      <c r="N413" s="1175" t="s">
        <v>741</v>
      </c>
      <c r="O413" s="1175" t="s">
        <v>1524</v>
      </c>
    </row>
    <row r="414" spans="1:15" s="1159" customFormat="1" ht="60" x14ac:dyDescent="0.35">
      <c r="A414" s="1172">
        <v>2022408</v>
      </c>
      <c r="B414" s="1172">
        <v>7658</v>
      </c>
      <c r="C414" s="1172" t="s">
        <v>679</v>
      </c>
      <c r="D414" s="1190" t="s">
        <v>692</v>
      </c>
      <c r="E414" s="1234">
        <v>80111600</v>
      </c>
      <c r="F414" s="1175" t="s">
        <v>1071</v>
      </c>
      <c r="G414" s="1176" t="s">
        <v>1521</v>
      </c>
      <c r="H414" s="1176" t="s">
        <v>1521</v>
      </c>
      <c r="I414" s="1176">
        <v>4</v>
      </c>
      <c r="J414" s="1176" t="s">
        <v>1549</v>
      </c>
      <c r="K414" s="1176" t="s">
        <v>674</v>
      </c>
      <c r="L414" s="1178" t="s">
        <v>675</v>
      </c>
      <c r="M414" s="1264">
        <v>32960000</v>
      </c>
      <c r="N414" s="1175" t="s">
        <v>741</v>
      </c>
      <c r="O414" s="1175" t="s">
        <v>1524</v>
      </c>
    </row>
    <row r="415" spans="1:15" s="1159" customFormat="1" ht="60" x14ac:dyDescent="0.35">
      <c r="A415" s="1172">
        <v>2022409</v>
      </c>
      <c r="B415" s="1172">
        <v>7658</v>
      </c>
      <c r="C415" s="1172" t="s">
        <v>679</v>
      </c>
      <c r="D415" s="1190" t="s">
        <v>692</v>
      </c>
      <c r="E415" s="1234">
        <v>80111601</v>
      </c>
      <c r="F415" s="1175" t="s">
        <v>1072</v>
      </c>
      <c r="G415" s="1176" t="s">
        <v>1521</v>
      </c>
      <c r="H415" s="1176" t="s">
        <v>1521</v>
      </c>
      <c r="I415" s="1176">
        <v>6</v>
      </c>
      <c r="J415" s="1176" t="s">
        <v>1549</v>
      </c>
      <c r="K415" s="1176" t="s">
        <v>674</v>
      </c>
      <c r="L415" s="1178" t="s">
        <v>675</v>
      </c>
      <c r="M415" s="1264">
        <v>42000000</v>
      </c>
      <c r="N415" s="1175" t="s">
        <v>741</v>
      </c>
      <c r="O415" s="1175" t="s">
        <v>1524</v>
      </c>
    </row>
    <row r="416" spans="1:15" s="1159" customFormat="1" ht="60" x14ac:dyDescent="0.35">
      <c r="A416" s="1172">
        <v>2022410</v>
      </c>
      <c r="B416" s="1172">
        <v>7658</v>
      </c>
      <c r="C416" s="1172" t="s">
        <v>679</v>
      </c>
      <c r="D416" s="1190" t="s">
        <v>692</v>
      </c>
      <c r="E416" s="1234">
        <v>80111601</v>
      </c>
      <c r="F416" s="1175" t="s">
        <v>1072</v>
      </c>
      <c r="G416" s="1176" t="s">
        <v>1521</v>
      </c>
      <c r="H416" s="1176" t="s">
        <v>1521</v>
      </c>
      <c r="I416" s="1176">
        <v>4</v>
      </c>
      <c r="J416" s="1176" t="s">
        <v>1549</v>
      </c>
      <c r="K416" s="1176" t="s">
        <v>674</v>
      </c>
      <c r="L416" s="1178" t="s">
        <v>675</v>
      </c>
      <c r="M416" s="1264">
        <v>28000000</v>
      </c>
      <c r="N416" s="1175" t="s">
        <v>741</v>
      </c>
      <c r="O416" s="1175" t="s">
        <v>1524</v>
      </c>
    </row>
    <row r="417" spans="1:15" s="1159" customFormat="1" ht="60" x14ac:dyDescent="0.35">
      <c r="A417" s="1172">
        <v>2022411</v>
      </c>
      <c r="B417" s="1172">
        <v>7658</v>
      </c>
      <c r="C417" s="1172" t="s">
        <v>679</v>
      </c>
      <c r="D417" s="1190" t="s">
        <v>692</v>
      </c>
      <c r="E417" s="1234">
        <v>80111601</v>
      </c>
      <c r="F417" s="1175" t="s">
        <v>1074</v>
      </c>
      <c r="G417" s="1176" t="s">
        <v>1521</v>
      </c>
      <c r="H417" s="1176" t="s">
        <v>1521</v>
      </c>
      <c r="I417" s="1176">
        <v>10</v>
      </c>
      <c r="J417" s="1176" t="s">
        <v>1549</v>
      </c>
      <c r="K417" s="1176" t="s">
        <v>674</v>
      </c>
      <c r="L417" s="1178" t="s">
        <v>675</v>
      </c>
      <c r="M417" s="1264">
        <v>60000000</v>
      </c>
      <c r="N417" s="1175" t="s">
        <v>741</v>
      </c>
      <c r="O417" s="1175" t="s">
        <v>1524</v>
      </c>
    </row>
    <row r="418" spans="1:15" s="1159" customFormat="1" ht="60" x14ac:dyDescent="0.35">
      <c r="A418" s="1172">
        <v>2022412</v>
      </c>
      <c r="B418" s="1172">
        <v>7658</v>
      </c>
      <c r="C418" s="1172" t="s">
        <v>679</v>
      </c>
      <c r="D418" s="1190" t="s">
        <v>692</v>
      </c>
      <c r="E418" s="1234">
        <v>80111600</v>
      </c>
      <c r="F418" s="1175" t="s">
        <v>1075</v>
      </c>
      <c r="G418" s="1176" t="s">
        <v>1521</v>
      </c>
      <c r="H418" s="1176" t="s">
        <v>1521</v>
      </c>
      <c r="I418" s="1176">
        <v>10</v>
      </c>
      <c r="J418" s="1176" t="s">
        <v>1549</v>
      </c>
      <c r="K418" s="1176" t="s">
        <v>674</v>
      </c>
      <c r="L418" s="1178" t="s">
        <v>675</v>
      </c>
      <c r="M418" s="1264">
        <v>42000000</v>
      </c>
      <c r="N418" s="1175" t="s">
        <v>741</v>
      </c>
      <c r="O418" s="1175" t="s">
        <v>1524</v>
      </c>
    </row>
    <row r="419" spans="1:15" s="1159" customFormat="1" ht="60" x14ac:dyDescent="0.35">
      <c r="A419" s="1172">
        <v>2022413</v>
      </c>
      <c r="B419" s="1172">
        <v>7658</v>
      </c>
      <c r="C419" s="1172" t="s">
        <v>679</v>
      </c>
      <c r="D419" s="1190" t="s">
        <v>692</v>
      </c>
      <c r="E419" s="1234">
        <v>80111600</v>
      </c>
      <c r="F419" s="1175" t="s">
        <v>1076</v>
      </c>
      <c r="G419" s="1176" t="s">
        <v>1521</v>
      </c>
      <c r="H419" s="1176" t="s">
        <v>1521</v>
      </c>
      <c r="I419" s="1176">
        <v>10</v>
      </c>
      <c r="J419" s="1176" t="s">
        <v>1549</v>
      </c>
      <c r="K419" s="1176" t="s">
        <v>674</v>
      </c>
      <c r="L419" s="1178" t="s">
        <v>675</v>
      </c>
      <c r="M419" s="1264">
        <v>82400000</v>
      </c>
      <c r="N419" s="1175" t="s">
        <v>741</v>
      </c>
      <c r="O419" s="1175" t="s">
        <v>1524</v>
      </c>
    </row>
    <row r="420" spans="1:15" s="1159" customFormat="1" ht="60" x14ac:dyDescent="0.35">
      <c r="A420" s="1172">
        <v>2022414</v>
      </c>
      <c r="B420" s="1172">
        <v>7658</v>
      </c>
      <c r="C420" s="1172" t="s">
        <v>679</v>
      </c>
      <c r="D420" s="1190" t="s">
        <v>692</v>
      </c>
      <c r="E420" s="1234">
        <v>80111600</v>
      </c>
      <c r="F420" s="1175" t="s">
        <v>1077</v>
      </c>
      <c r="G420" s="1176" t="s">
        <v>1521</v>
      </c>
      <c r="H420" s="1176" t="s">
        <v>1521</v>
      </c>
      <c r="I420" s="1176">
        <v>10</v>
      </c>
      <c r="J420" s="1176" t="s">
        <v>1549</v>
      </c>
      <c r="K420" s="1176" t="s">
        <v>674</v>
      </c>
      <c r="L420" s="1178" t="s">
        <v>675</v>
      </c>
      <c r="M420" s="1264">
        <v>42000000</v>
      </c>
      <c r="N420" s="1175" t="s">
        <v>741</v>
      </c>
      <c r="O420" s="1175" t="s">
        <v>1524</v>
      </c>
    </row>
    <row r="421" spans="1:15" s="1159" customFormat="1" ht="60" x14ac:dyDescent="0.35">
      <c r="A421" s="1172">
        <v>2022415</v>
      </c>
      <c r="B421" s="1172">
        <v>7658</v>
      </c>
      <c r="C421" s="1172" t="s">
        <v>679</v>
      </c>
      <c r="D421" s="1190" t="s">
        <v>692</v>
      </c>
      <c r="E421" s="1234">
        <v>80111600</v>
      </c>
      <c r="F421" s="1175" t="s">
        <v>1078</v>
      </c>
      <c r="G421" s="1176" t="s">
        <v>1521</v>
      </c>
      <c r="H421" s="1176" t="s">
        <v>1521</v>
      </c>
      <c r="I421" s="1176">
        <v>10</v>
      </c>
      <c r="J421" s="1176" t="s">
        <v>1549</v>
      </c>
      <c r="K421" s="1176" t="s">
        <v>674</v>
      </c>
      <c r="L421" s="1178" t="s">
        <v>675</v>
      </c>
      <c r="M421" s="1264">
        <v>50000000</v>
      </c>
      <c r="N421" s="1175" t="s">
        <v>741</v>
      </c>
      <c r="O421" s="1175" t="s">
        <v>1524</v>
      </c>
    </row>
    <row r="422" spans="1:15" s="1159" customFormat="1" ht="60" x14ac:dyDescent="0.35">
      <c r="A422" s="1172">
        <v>2022416</v>
      </c>
      <c r="B422" s="1172">
        <v>7658</v>
      </c>
      <c r="C422" s="1172" t="s">
        <v>679</v>
      </c>
      <c r="D422" s="1190" t="s">
        <v>692</v>
      </c>
      <c r="E422" s="1234">
        <v>80111600</v>
      </c>
      <c r="F422" s="1175" t="s">
        <v>1079</v>
      </c>
      <c r="G422" s="1176" t="s">
        <v>1521</v>
      </c>
      <c r="H422" s="1176" t="s">
        <v>1521</v>
      </c>
      <c r="I422" s="1176">
        <v>6</v>
      </c>
      <c r="J422" s="1176" t="s">
        <v>1549</v>
      </c>
      <c r="K422" s="1176" t="s">
        <v>674</v>
      </c>
      <c r="L422" s="1178" t="s">
        <v>675</v>
      </c>
      <c r="M422" s="1264">
        <v>20100000</v>
      </c>
      <c r="N422" s="1175" t="s">
        <v>741</v>
      </c>
      <c r="O422" s="1175" t="s">
        <v>1524</v>
      </c>
    </row>
    <row r="423" spans="1:15" s="1159" customFormat="1" ht="75" x14ac:dyDescent="0.35">
      <c r="A423" s="1172">
        <v>2022417</v>
      </c>
      <c r="B423" s="1172">
        <v>7658</v>
      </c>
      <c r="C423" s="1172" t="s">
        <v>679</v>
      </c>
      <c r="D423" s="1190" t="s">
        <v>692</v>
      </c>
      <c r="E423" s="1234">
        <v>80111600</v>
      </c>
      <c r="F423" s="1175" t="s">
        <v>1080</v>
      </c>
      <c r="G423" s="1176" t="s">
        <v>1521</v>
      </c>
      <c r="H423" s="1176" t="s">
        <v>1521</v>
      </c>
      <c r="I423" s="1176">
        <v>4</v>
      </c>
      <c r="J423" s="1176" t="s">
        <v>1549</v>
      </c>
      <c r="K423" s="1176" t="s">
        <v>674</v>
      </c>
      <c r="L423" s="1178" t="s">
        <v>675</v>
      </c>
      <c r="M423" s="1264">
        <v>20600000</v>
      </c>
      <c r="N423" s="1175" t="s">
        <v>741</v>
      </c>
      <c r="O423" s="1175" t="s">
        <v>1524</v>
      </c>
    </row>
    <row r="424" spans="1:15" s="1159" customFormat="1" ht="75" x14ac:dyDescent="0.35">
      <c r="A424" s="1172">
        <v>2022418</v>
      </c>
      <c r="B424" s="1172">
        <v>7658</v>
      </c>
      <c r="C424" s="1172" t="s">
        <v>679</v>
      </c>
      <c r="D424" s="1190" t="s">
        <v>692</v>
      </c>
      <c r="E424" s="1234">
        <v>80111600</v>
      </c>
      <c r="F424" s="1175" t="s">
        <v>1080</v>
      </c>
      <c r="G424" s="1176" t="s">
        <v>1521</v>
      </c>
      <c r="H424" s="1176" t="s">
        <v>1521</v>
      </c>
      <c r="I424" s="1176">
        <v>6</v>
      </c>
      <c r="J424" s="1176" t="s">
        <v>1549</v>
      </c>
      <c r="K424" s="1176" t="s">
        <v>674</v>
      </c>
      <c r="L424" s="1178" t="s">
        <v>675</v>
      </c>
      <c r="M424" s="1264">
        <v>30900000</v>
      </c>
      <c r="N424" s="1175" t="s">
        <v>741</v>
      </c>
      <c r="O424" s="1175" t="s">
        <v>1524</v>
      </c>
    </row>
    <row r="425" spans="1:15" s="1159" customFormat="1" ht="60" x14ac:dyDescent="0.35">
      <c r="A425" s="1172">
        <v>2022419</v>
      </c>
      <c r="B425" s="1172">
        <v>7658</v>
      </c>
      <c r="C425" s="1172" t="s">
        <v>679</v>
      </c>
      <c r="D425" s="1190" t="s">
        <v>692</v>
      </c>
      <c r="E425" s="1234">
        <v>80111600</v>
      </c>
      <c r="F425" s="1175" t="s">
        <v>1082</v>
      </c>
      <c r="G425" s="1176" t="s">
        <v>1521</v>
      </c>
      <c r="H425" s="1176" t="s">
        <v>1521</v>
      </c>
      <c r="I425" s="1176">
        <v>10</v>
      </c>
      <c r="J425" s="1176" t="s">
        <v>1549</v>
      </c>
      <c r="K425" s="1176" t="s">
        <v>674</v>
      </c>
      <c r="L425" s="1178" t="s">
        <v>675</v>
      </c>
      <c r="M425" s="1264">
        <v>28000000</v>
      </c>
      <c r="N425" s="1175" t="s">
        <v>741</v>
      </c>
      <c r="O425" s="1175" t="s">
        <v>1524</v>
      </c>
    </row>
    <row r="426" spans="1:15" s="1159" customFormat="1" ht="60" x14ac:dyDescent="0.35">
      <c r="A426" s="1172">
        <v>2022420</v>
      </c>
      <c r="B426" s="1172">
        <v>7658</v>
      </c>
      <c r="C426" s="1172" t="s">
        <v>679</v>
      </c>
      <c r="D426" s="1190" t="s">
        <v>692</v>
      </c>
      <c r="E426" s="1234">
        <v>80111600</v>
      </c>
      <c r="F426" s="1175" t="s">
        <v>1083</v>
      </c>
      <c r="G426" s="1176" t="s">
        <v>1521</v>
      </c>
      <c r="H426" s="1176" t="s">
        <v>1521</v>
      </c>
      <c r="I426" s="1176">
        <v>10</v>
      </c>
      <c r="J426" s="1176" t="s">
        <v>1549</v>
      </c>
      <c r="K426" s="1176" t="s">
        <v>674</v>
      </c>
      <c r="L426" s="1178" t="s">
        <v>675</v>
      </c>
      <c r="M426" s="1264">
        <v>28500000</v>
      </c>
      <c r="N426" s="1175" t="s">
        <v>741</v>
      </c>
      <c r="O426" s="1175" t="s">
        <v>1524</v>
      </c>
    </row>
    <row r="427" spans="1:15" s="1159" customFormat="1" ht="60" x14ac:dyDescent="0.35">
      <c r="A427" s="1172">
        <v>2022421</v>
      </c>
      <c r="B427" s="1172">
        <v>7658</v>
      </c>
      <c r="C427" s="1172" t="s">
        <v>679</v>
      </c>
      <c r="D427" s="1190" t="s">
        <v>692</v>
      </c>
      <c r="E427" s="1234">
        <v>80111600</v>
      </c>
      <c r="F427" s="1175" t="s">
        <v>1084</v>
      </c>
      <c r="G427" s="1176" t="s">
        <v>1521</v>
      </c>
      <c r="H427" s="1176" t="s">
        <v>1521</v>
      </c>
      <c r="I427" s="1176">
        <v>10</v>
      </c>
      <c r="J427" s="1176" t="s">
        <v>1549</v>
      </c>
      <c r="K427" s="1176" t="s">
        <v>674</v>
      </c>
      <c r="L427" s="1178" t="s">
        <v>675</v>
      </c>
      <c r="M427" s="1264">
        <v>45000000</v>
      </c>
      <c r="N427" s="1175" t="s">
        <v>741</v>
      </c>
      <c r="O427" s="1175" t="s">
        <v>1524</v>
      </c>
    </row>
    <row r="428" spans="1:15" s="1159" customFormat="1" ht="60" x14ac:dyDescent="0.35">
      <c r="A428" s="1172">
        <v>2022422</v>
      </c>
      <c r="B428" s="1172">
        <v>7658</v>
      </c>
      <c r="C428" s="1172" t="s">
        <v>679</v>
      </c>
      <c r="D428" s="1190" t="s">
        <v>692</v>
      </c>
      <c r="E428" s="1234">
        <v>80111600</v>
      </c>
      <c r="F428" s="1175" t="s">
        <v>1085</v>
      </c>
      <c r="G428" s="1176" t="s">
        <v>1521</v>
      </c>
      <c r="H428" s="1176" t="s">
        <v>1521</v>
      </c>
      <c r="I428" s="1176">
        <v>10</v>
      </c>
      <c r="J428" s="1176" t="s">
        <v>1549</v>
      </c>
      <c r="K428" s="1176" t="s">
        <v>674</v>
      </c>
      <c r="L428" s="1178" t="s">
        <v>675</v>
      </c>
      <c r="M428" s="1264">
        <v>33000000</v>
      </c>
      <c r="N428" s="1175" t="s">
        <v>741</v>
      </c>
      <c r="O428" s="1175" t="s">
        <v>1524</v>
      </c>
    </row>
    <row r="429" spans="1:15" s="1159" customFormat="1" ht="60" x14ac:dyDescent="0.35">
      <c r="A429" s="1172">
        <v>2022423</v>
      </c>
      <c r="B429" s="1172">
        <v>7658</v>
      </c>
      <c r="C429" s="1172" t="s">
        <v>679</v>
      </c>
      <c r="D429" s="1190" t="s">
        <v>692</v>
      </c>
      <c r="E429" s="1234">
        <v>80111600</v>
      </c>
      <c r="F429" s="1175" t="s">
        <v>1085</v>
      </c>
      <c r="G429" s="1176" t="s">
        <v>1521</v>
      </c>
      <c r="H429" s="1176" t="s">
        <v>1521</v>
      </c>
      <c r="I429" s="1176">
        <v>10</v>
      </c>
      <c r="J429" s="1176" t="s">
        <v>1549</v>
      </c>
      <c r="K429" s="1176" t="s">
        <v>674</v>
      </c>
      <c r="L429" s="1178" t="s">
        <v>675</v>
      </c>
      <c r="M429" s="1264">
        <v>24500000</v>
      </c>
      <c r="N429" s="1175" t="s">
        <v>741</v>
      </c>
      <c r="O429" s="1175" t="s">
        <v>1524</v>
      </c>
    </row>
    <row r="430" spans="1:15" s="1159" customFormat="1" ht="60" x14ac:dyDescent="0.35">
      <c r="A430" s="1172">
        <v>2022424</v>
      </c>
      <c r="B430" s="1172">
        <v>7658</v>
      </c>
      <c r="C430" s="1172" t="s">
        <v>679</v>
      </c>
      <c r="D430" s="1190" t="s">
        <v>692</v>
      </c>
      <c r="E430" s="1234">
        <v>80111600</v>
      </c>
      <c r="F430" s="1175" t="s">
        <v>1085</v>
      </c>
      <c r="G430" s="1176" t="s">
        <v>1521</v>
      </c>
      <c r="H430" s="1176" t="s">
        <v>1521</v>
      </c>
      <c r="I430" s="1176">
        <v>10</v>
      </c>
      <c r="J430" s="1176" t="s">
        <v>1549</v>
      </c>
      <c r="K430" s="1176" t="s">
        <v>674</v>
      </c>
      <c r="L430" s="1178" t="s">
        <v>675</v>
      </c>
      <c r="M430" s="1264">
        <v>33000000</v>
      </c>
      <c r="N430" s="1175" t="s">
        <v>741</v>
      </c>
      <c r="O430" s="1175" t="s">
        <v>1524</v>
      </c>
    </row>
    <row r="431" spans="1:15" s="1159" customFormat="1" ht="60" x14ac:dyDescent="0.35">
      <c r="A431" s="1172">
        <v>2022425</v>
      </c>
      <c r="B431" s="1172">
        <v>7658</v>
      </c>
      <c r="C431" s="1172" t="s">
        <v>679</v>
      </c>
      <c r="D431" s="1190" t="s">
        <v>692</v>
      </c>
      <c r="E431" s="1234">
        <v>80111600</v>
      </c>
      <c r="F431" s="1175" t="s">
        <v>1085</v>
      </c>
      <c r="G431" s="1176" t="s">
        <v>1521</v>
      </c>
      <c r="H431" s="1176" t="s">
        <v>1521</v>
      </c>
      <c r="I431" s="1176">
        <v>10</v>
      </c>
      <c r="J431" s="1176" t="s">
        <v>1549</v>
      </c>
      <c r="K431" s="1176" t="s">
        <v>674</v>
      </c>
      <c r="L431" s="1178" t="s">
        <v>675</v>
      </c>
      <c r="M431" s="1264">
        <v>27500000</v>
      </c>
      <c r="N431" s="1175" t="s">
        <v>741</v>
      </c>
      <c r="O431" s="1175" t="s">
        <v>1524</v>
      </c>
    </row>
    <row r="432" spans="1:15" s="1159" customFormat="1" ht="60" x14ac:dyDescent="0.35">
      <c r="A432" s="1172">
        <v>2022426</v>
      </c>
      <c r="B432" s="1172">
        <v>7658</v>
      </c>
      <c r="C432" s="1172" t="s">
        <v>679</v>
      </c>
      <c r="D432" s="1190" t="s">
        <v>692</v>
      </c>
      <c r="E432" s="1234">
        <v>80111600</v>
      </c>
      <c r="F432" s="1175" t="s">
        <v>1085</v>
      </c>
      <c r="G432" s="1176" t="s">
        <v>1521</v>
      </c>
      <c r="H432" s="1176" t="s">
        <v>1521</v>
      </c>
      <c r="I432" s="1176">
        <v>10</v>
      </c>
      <c r="J432" s="1176" t="s">
        <v>1549</v>
      </c>
      <c r="K432" s="1176" t="s">
        <v>674</v>
      </c>
      <c r="L432" s="1178" t="s">
        <v>675</v>
      </c>
      <c r="M432" s="1264">
        <v>33000000</v>
      </c>
      <c r="N432" s="1175" t="s">
        <v>741</v>
      </c>
      <c r="O432" s="1175" t="s">
        <v>1524</v>
      </c>
    </row>
    <row r="433" spans="1:15" s="1159" customFormat="1" ht="60" x14ac:dyDescent="0.35">
      <c r="A433" s="1172">
        <v>2022427</v>
      </c>
      <c r="B433" s="1172">
        <v>7658</v>
      </c>
      <c r="C433" s="1172" t="s">
        <v>679</v>
      </c>
      <c r="D433" s="1190" t="s">
        <v>692</v>
      </c>
      <c r="E433" s="1234">
        <v>80111600</v>
      </c>
      <c r="F433" s="1175" t="s">
        <v>1085</v>
      </c>
      <c r="G433" s="1176" t="s">
        <v>1521</v>
      </c>
      <c r="H433" s="1176" t="s">
        <v>1521</v>
      </c>
      <c r="I433" s="1176">
        <v>10</v>
      </c>
      <c r="J433" s="1176" t="s">
        <v>1549</v>
      </c>
      <c r="K433" s="1176" t="s">
        <v>674</v>
      </c>
      <c r="L433" s="1178" t="s">
        <v>675</v>
      </c>
      <c r="M433" s="1264">
        <v>33000000</v>
      </c>
      <c r="N433" s="1175" t="s">
        <v>741</v>
      </c>
      <c r="O433" s="1175" t="s">
        <v>1524</v>
      </c>
    </row>
    <row r="434" spans="1:15" s="1159" customFormat="1" ht="60" x14ac:dyDescent="0.35">
      <c r="A434" s="1172">
        <v>2022428</v>
      </c>
      <c r="B434" s="1172">
        <v>7658</v>
      </c>
      <c r="C434" s="1172" t="s">
        <v>679</v>
      </c>
      <c r="D434" s="1190" t="s">
        <v>692</v>
      </c>
      <c r="E434" s="1234">
        <v>80111600</v>
      </c>
      <c r="F434" s="1175" t="s">
        <v>1082</v>
      </c>
      <c r="G434" s="1176" t="s">
        <v>1521</v>
      </c>
      <c r="H434" s="1176" t="s">
        <v>1521</v>
      </c>
      <c r="I434" s="1176">
        <v>10</v>
      </c>
      <c r="J434" s="1176" t="s">
        <v>1549</v>
      </c>
      <c r="K434" s="1176" t="s">
        <v>674</v>
      </c>
      <c r="L434" s="1178" t="s">
        <v>675</v>
      </c>
      <c r="M434" s="1264">
        <v>28000000</v>
      </c>
      <c r="N434" s="1175" t="s">
        <v>741</v>
      </c>
      <c r="O434" s="1175" t="s">
        <v>1524</v>
      </c>
    </row>
    <row r="435" spans="1:15" s="1159" customFormat="1" ht="60" x14ac:dyDescent="0.35">
      <c r="A435" s="1172">
        <v>2022429</v>
      </c>
      <c r="B435" s="1172">
        <v>7658</v>
      </c>
      <c r="C435" s="1172" t="s">
        <v>679</v>
      </c>
      <c r="D435" s="1190" t="s">
        <v>692</v>
      </c>
      <c r="E435" s="1234">
        <v>80111600</v>
      </c>
      <c r="F435" s="1175" t="s">
        <v>1082</v>
      </c>
      <c r="G435" s="1176" t="s">
        <v>1521</v>
      </c>
      <c r="H435" s="1176" t="s">
        <v>1521</v>
      </c>
      <c r="I435" s="1176">
        <v>10</v>
      </c>
      <c r="J435" s="1176" t="s">
        <v>1549</v>
      </c>
      <c r="K435" s="1176" t="s">
        <v>674</v>
      </c>
      <c r="L435" s="1178" t="s">
        <v>675</v>
      </c>
      <c r="M435" s="1264">
        <v>28000000</v>
      </c>
      <c r="N435" s="1175" t="s">
        <v>741</v>
      </c>
      <c r="O435" s="1175" t="s">
        <v>1524</v>
      </c>
    </row>
    <row r="436" spans="1:15" s="1159" customFormat="1" ht="60" x14ac:dyDescent="0.35">
      <c r="A436" s="1172">
        <v>2022430</v>
      </c>
      <c r="B436" s="1172">
        <v>7658</v>
      </c>
      <c r="C436" s="1172" t="s">
        <v>679</v>
      </c>
      <c r="D436" s="1190" t="s">
        <v>692</v>
      </c>
      <c r="E436" s="1234">
        <v>80111600</v>
      </c>
      <c r="F436" s="1175" t="s">
        <v>1086</v>
      </c>
      <c r="G436" s="1176" t="s">
        <v>1521</v>
      </c>
      <c r="H436" s="1176" t="s">
        <v>1521</v>
      </c>
      <c r="I436" s="1176">
        <v>10</v>
      </c>
      <c r="J436" s="1176" t="s">
        <v>1549</v>
      </c>
      <c r="K436" s="1176" t="s">
        <v>674</v>
      </c>
      <c r="L436" s="1178" t="s">
        <v>675</v>
      </c>
      <c r="M436" s="1264">
        <v>45000000</v>
      </c>
      <c r="N436" s="1175" t="s">
        <v>741</v>
      </c>
      <c r="O436" s="1175" t="s">
        <v>1524</v>
      </c>
    </row>
    <row r="437" spans="1:15" s="1159" customFormat="1" ht="60" x14ac:dyDescent="0.35">
      <c r="A437" s="1172">
        <v>2022431</v>
      </c>
      <c r="B437" s="1172">
        <v>7658</v>
      </c>
      <c r="C437" s="1172" t="s">
        <v>679</v>
      </c>
      <c r="D437" s="1190" t="s">
        <v>692</v>
      </c>
      <c r="E437" s="1234">
        <v>80111600</v>
      </c>
      <c r="F437" s="1175" t="s">
        <v>1087</v>
      </c>
      <c r="G437" s="1176" t="s">
        <v>1521</v>
      </c>
      <c r="H437" s="1176" t="s">
        <v>1521</v>
      </c>
      <c r="I437" s="1176">
        <v>10</v>
      </c>
      <c r="J437" s="1176" t="s">
        <v>1549</v>
      </c>
      <c r="K437" s="1176" t="s">
        <v>674</v>
      </c>
      <c r="L437" s="1178" t="s">
        <v>675</v>
      </c>
      <c r="M437" s="1264">
        <v>24500000</v>
      </c>
      <c r="N437" s="1175" t="s">
        <v>741</v>
      </c>
      <c r="O437" s="1175" t="s">
        <v>1524</v>
      </c>
    </row>
    <row r="438" spans="1:15" s="1159" customFormat="1" ht="60" x14ac:dyDescent="0.35">
      <c r="A438" s="1172">
        <v>2022432</v>
      </c>
      <c r="B438" s="1172">
        <v>7658</v>
      </c>
      <c r="C438" s="1172" t="s">
        <v>679</v>
      </c>
      <c r="D438" s="1190" t="s">
        <v>692</v>
      </c>
      <c r="E438" s="1234">
        <v>80111600</v>
      </c>
      <c r="F438" s="1175" t="s">
        <v>1087</v>
      </c>
      <c r="G438" s="1176" t="s">
        <v>1521</v>
      </c>
      <c r="H438" s="1176" t="s">
        <v>1521</v>
      </c>
      <c r="I438" s="1176">
        <v>10</v>
      </c>
      <c r="J438" s="1176" t="s">
        <v>1549</v>
      </c>
      <c r="K438" s="1176" t="s">
        <v>674</v>
      </c>
      <c r="L438" s="1178" t="s">
        <v>675</v>
      </c>
      <c r="M438" s="1264">
        <v>33000000</v>
      </c>
      <c r="N438" s="1175" t="s">
        <v>741</v>
      </c>
      <c r="O438" s="1175" t="s">
        <v>1524</v>
      </c>
    </row>
    <row r="439" spans="1:15" s="1159" customFormat="1" ht="60" x14ac:dyDescent="0.35">
      <c r="A439" s="1172">
        <v>2022433</v>
      </c>
      <c r="B439" s="1172">
        <v>7658</v>
      </c>
      <c r="C439" s="1172" t="s">
        <v>679</v>
      </c>
      <c r="D439" s="1190" t="s">
        <v>692</v>
      </c>
      <c r="E439" s="1234">
        <v>80111600</v>
      </c>
      <c r="F439" s="1175" t="s">
        <v>1087</v>
      </c>
      <c r="G439" s="1176" t="s">
        <v>1521</v>
      </c>
      <c r="H439" s="1176" t="s">
        <v>1521</v>
      </c>
      <c r="I439" s="1176">
        <v>10</v>
      </c>
      <c r="J439" s="1176" t="s">
        <v>1549</v>
      </c>
      <c r="K439" s="1176" t="s">
        <v>674</v>
      </c>
      <c r="L439" s="1178" t="s">
        <v>675</v>
      </c>
      <c r="M439" s="1264">
        <v>32000000</v>
      </c>
      <c r="N439" s="1175" t="s">
        <v>741</v>
      </c>
      <c r="O439" s="1175" t="s">
        <v>1524</v>
      </c>
    </row>
    <row r="440" spans="1:15" s="1159" customFormat="1" ht="60" x14ac:dyDescent="0.35">
      <c r="A440" s="1172">
        <v>2022434</v>
      </c>
      <c r="B440" s="1172">
        <v>7658</v>
      </c>
      <c r="C440" s="1172" t="s">
        <v>679</v>
      </c>
      <c r="D440" s="1190" t="s">
        <v>692</v>
      </c>
      <c r="E440" s="1234">
        <v>80111600</v>
      </c>
      <c r="F440" s="1175" t="s">
        <v>1087</v>
      </c>
      <c r="G440" s="1176" t="s">
        <v>1521</v>
      </c>
      <c r="H440" s="1176" t="s">
        <v>1521</v>
      </c>
      <c r="I440" s="1176">
        <v>10</v>
      </c>
      <c r="J440" s="1176" t="s">
        <v>1549</v>
      </c>
      <c r="K440" s="1176" t="s">
        <v>674</v>
      </c>
      <c r="L440" s="1178" t="s">
        <v>675</v>
      </c>
      <c r="M440" s="1264">
        <v>24500000</v>
      </c>
      <c r="N440" s="1175" t="s">
        <v>741</v>
      </c>
      <c r="O440" s="1175" t="s">
        <v>1524</v>
      </c>
    </row>
    <row r="441" spans="1:15" s="1159" customFormat="1" ht="60" x14ac:dyDescent="0.35">
      <c r="A441" s="1172">
        <v>2022435</v>
      </c>
      <c r="B441" s="1172">
        <v>7658</v>
      </c>
      <c r="C441" s="1172" t="s">
        <v>679</v>
      </c>
      <c r="D441" s="1190" t="s">
        <v>692</v>
      </c>
      <c r="E441" s="1234">
        <v>80111600</v>
      </c>
      <c r="F441" s="1175" t="s">
        <v>1087</v>
      </c>
      <c r="G441" s="1176" t="s">
        <v>1521</v>
      </c>
      <c r="H441" s="1176" t="s">
        <v>1521</v>
      </c>
      <c r="I441" s="1176">
        <v>10</v>
      </c>
      <c r="J441" s="1176" t="s">
        <v>1549</v>
      </c>
      <c r="K441" s="1176" t="s">
        <v>674</v>
      </c>
      <c r="L441" s="1178" t="s">
        <v>675</v>
      </c>
      <c r="M441" s="1264">
        <v>28500000</v>
      </c>
      <c r="N441" s="1175" t="s">
        <v>741</v>
      </c>
      <c r="O441" s="1175" t="s">
        <v>1524</v>
      </c>
    </row>
    <row r="442" spans="1:15" s="1159" customFormat="1" ht="60" x14ac:dyDescent="0.35">
      <c r="A442" s="1172">
        <v>2022436</v>
      </c>
      <c r="B442" s="1172">
        <v>7658</v>
      </c>
      <c r="C442" s="1172" t="s">
        <v>679</v>
      </c>
      <c r="D442" s="1190" t="s">
        <v>692</v>
      </c>
      <c r="E442" s="1234">
        <v>80111600</v>
      </c>
      <c r="F442" s="1175" t="s">
        <v>1087</v>
      </c>
      <c r="G442" s="1176" t="s">
        <v>1521</v>
      </c>
      <c r="H442" s="1176" t="s">
        <v>1521</v>
      </c>
      <c r="I442" s="1176">
        <v>10</v>
      </c>
      <c r="J442" s="1176" t="s">
        <v>1549</v>
      </c>
      <c r="K442" s="1176" t="s">
        <v>674</v>
      </c>
      <c r="L442" s="1178" t="s">
        <v>675</v>
      </c>
      <c r="M442" s="1264">
        <v>28500000</v>
      </c>
      <c r="N442" s="1175" t="s">
        <v>741</v>
      </c>
      <c r="O442" s="1175" t="s">
        <v>1524</v>
      </c>
    </row>
    <row r="443" spans="1:15" s="1159" customFormat="1" ht="60" x14ac:dyDescent="0.35">
      <c r="A443" s="1172">
        <v>2022437</v>
      </c>
      <c r="B443" s="1172">
        <v>7658</v>
      </c>
      <c r="C443" s="1172" t="s">
        <v>679</v>
      </c>
      <c r="D443" s="1190" t="s">
        <v>692</v>
      </c>
      <c r="E443" s="1234">
        <v>80111600</v>
      </c>
      <c r="F443" s="1175" t="s">
        <v>1087</v>
      </c>
      <c r="G443" s="1176" t="s">
        <v>1521</v>
      </c>
      <c r="H443" s="1176" t="s">
        <v>1521</v>
      </c>
      <c r="I443" s="1176">
        <v>10</v>
      </c>
      <c r="J443" s="1176" t="s">
        <v>1549</v>
      </c>
      <c r="K443" s="1176" t="s">
        <v>674</v>
      </c>
      <c r="L443" s="1178" t="s">
        <v>675</v>
      </c>
      <c r="M443" s="1264">
        <v>24500000</v>
      </c>
      <c r="N443" s="1175" t="s">
        <v>741</v>
      </c>
      <c r="O443" s="1175" t="s">
        <v>1524</v>
      </c>
    </row>
    <row r="444" spans="1:15" s="1159" customFormat="1" ht="60" x14ac:dyDescent="0.35">
      <c r="A444" s="1172">
        <v>2022438</v>
      </c>
      <c r="B444" s="1172">
        <v>7658</v>
      </c>
      <c r="C444" s="1172" t="s">
        <v>679</v>
      </c>
      <c r="D444" s="1190" t="s">
        <v>692</v>
      </c>
      <c r="E444" s="1234">
        <v>80111600</v>
      </c>
      <c r="F444" s="1175" t="s">
        <v>1087</v>
      </c>
      <c r="G444" s="1176" t="s">
        <v>1521</v>
      </c>
      <c r="H444" s="1176" t="s">
        <v>1521</v>
      </c>
      <c r="I444" s="1176">
        <v>10</v>
      </c>
      <c r="J444" s="1176" t="s">
        <v>1549</v>
      </c>
      <c r="K444" s="1176" t="s">
        <v>674</v>
      </c>
      <c r="L444" s="1178" t="s">
        <v>675</v>
      </c>
      <c r="M444" s="1264">
        <v>24500000</v>
      </c>
      <c r="N444" s="1175" t="s">
        <v>741</v>
      </c>
      <c r="O444" s="1175" t="s">
        <v>1524</v>
      </c>
    </row>
    <row r="445" spans="1:15" s="1159" customFormat="1" ht="60" x14ac:dyDescent="0.35">
      <c r="A445" s="1172">
        <v>2022439</v>
      </c>
      <c r="B445" s="1172">
        <v>7658</v>
      </c>
      <c r="C445" s="1172" t="s">
        <v>679</v>
      </c>
      <c r="D445" s="1190" t="s">
        <v>692</v>
      </c>
      <c r="E445" s="1234">
        <v>80111600</v>
      </c>
      <c r="F445" s="1175" t="s">
        <v>1087</v>
      </c>
      <c r="G445" s="1176" t="s">
        <v>1521</v>
      </c>
      <c r="H445" s="1176" t="s">
        <v>1521</v>
      </c>
      <c r="I445" s="1176">
        <v>10</v>
      </c>
      <c r="J445" s="1176" t="s">
        <v>1549</v>
      </c>
      <c r="K445" s="1176" t="s">
        <v>674</v>
      </c>
      <c r="L445" s="1178" t="s">
        <v>675</v>
      </c>
      <c r="M445" s="1264">
        <v>18000000</v>
      </c>
      <c r="N445" s="1175" t="s">
        <v>741</v>
      </c>
      <c r="O445" s="1175" t="s">
        <v>1524</v>
      </c>
    </row>
    <row r="446" spans="1:15" s="1159" customFormat="1" ht="60" x14ac:dyDescent="0.35">
      <c r="A446" s="1172">
        <v>2022440</v>
      </c>
      <c r="B446" s="1172">
        <v>7658</v>
      </c>
      <c r="C446" s="1172" t="s">
        <v>679</v>
      </c>
      <c r="D446" s="1190" t="s">
        <v>692</v>
      </c>
      <c r="E446" s="1234">
        <v>80111600</v>
      </c>
      <c r="F446" s="1175" t="s">
        <v>1087</v>
      </c>
      <c r="G446" s="1176" t="s">
        <v>1521</v>
      </c>
      <c r="H446" s="1176" t="s">
        <v>1521</v>
      </c>
      <c r="I446" s="1176">
        <v>10</v>
      </c>
      <c r="J446" s="1176" t="s">
        <v>1549</v>
      </c>
      <c r="K446" s="1176" t="s">
        <v>674</v>
      </c>
      <c r="L446" s="1178" t="s">
        <v>675</v>
      </c>
      <c r="M446" s="1264">
        <v>24500000</v>
      </c>
      <c r="N446" s="1175" t="s">
        <v>741</v>
      </c>
      <c r="O446" s="1175" t="s">
        <v>1524</v>
      </c>
    </row>
    <row r="447" spans="1:15" s="1159" customFormat="1" ht="60" x14ac:dyDescent="0.35">
      <c r="A447" s="1172">
        <v>2022441</v>
      </c>
      <c r="B447" s="1172">
        <v>7658</v>
      </c>
      <c r="C447" s="1172" t="s">
        <v>679</v>
      </c>
      <c r="D447" s="1190" t="s">
        <v>692</v>
      </c>
      <c r="E447" s="1234">
        <v>80111600</v>
      </c>
      <c r="F447" s="1175" t="s">
        <v>1087</v>
      </c>
      <c r="G447" s="1176" t="s">
        <v>1521</v>
      </c>
      <c r="H447" s="1176" t="s">
        <v>1521</v>
      </c>
      <c r="I447" s="1176">
        <v>10</v>
      </c>
      <c r="J447" s="1176" t="s">
        <v>1549</v>
      </c>
      <c r="K447" s="1176" t="s">
        <v>674</v>
      </c>
      <c r="L447" s="1178" t="s">
        <v>675</v>
      </c>
      <c r="M447" s="1264">
        <v>28500000</v>
      </c>
      <c r="N447" s="1175" t="s">
        <v>741</v>
      </c>
      <c r="O447" s="1175" t="s">
        <v>1524</v>
      </c>
    </row>
    <row r="448" spans="1:15" s="1159" customFormat="1" ht="60" x14ac:dyDescent="0.35">
      <c r="A448" s="1172">
        <v>2022442</v>
      </c>
      <c r="B448" s="1172">
        <v>7658</v>
      </c>
      <c r="C448" s="1172" t="s">
        <v>679</v>
      </c>
      <c r="D448" s="1190" t="s">
        <v>692</v>
      </c>
      <c r="E448" s="1234">
        <v>80111600</v>
      </c>
      <c r="F448" s="1175" t="s">
        <v>1088</v>
      </c>
      <c r="G448" s="1176" t="s">
        <v>1521</v>
      </c>
      <c r="H448" s="1176" t="s">
        <v>1521</v>
      </c>
      <c r="I448" s="1176">
        <v>10</v>
      </c>
      <c r="J448" s="1176" t="s">
        <v>1549</v>
      </c>
      <c r="K448" s="1176" t="s">
        <v>674</v>
      </c>
      <c r="L448" s="1178" t="s">
        <v>675</v>
      </c>
      <c r="M448" s="1264">
        <v>56650000</v>
      </c>
      <c r="N448" s="1175" t="s">
        <v>741</v>
      </c>
      <c r="O448" s="1175" t="s">
        <v>1524</v>
      </c>
    </row>
    <row r="449" spans="1:15" s="1159" customFormat="1" ht="60" x14ac:dyDescent="0.35">
      <c r="A449" s="1172">
        <v>2022443</v>
      </c>
      <c r="B449" s="1172">
        <v>7658</v>
      </c>
      <c r="C449" s="1172" t="s">
        <v>679</v>
      </c>
      <c r="D449" s="1190" t="s">
        <v>692</v>
      </c>
      <c r="E449" s="1234">
        <v>80111600</v>
      </c>
      <c r="F449" s="1175" t="s">
        <v>1089</v>
      </c>
      <c r="G449" s="1176" t="s">
        <v>1521</v>
      </c>
      <c r="H449" s="1176" t="s">
        <v>1521</v>
      </c>
      <c r="I449" s="1176">
        <v>10</v>
      </c>
      <c r="J449" s="1176" t="s">
        <v>1549</v>
      </c>
      <c r="K449" s="1176" t="s">
        <v>674</v>
      </c>
      <c r="L449" s="1178" t="s">
        <v>675</v>
      </c>
      <c r="M449" s="1264">
        <v>46350000</v>
      </c>
      <c r="N449" s="1175" t="s">
        <v>741</v>
      </c>
      <c r="O449" s="1175" t="s">
        <v>1524</v>
      </c>
    </row>
    <row r="450" spans="1:15" s="1159" customFormat="1" ht="60" x14ac:dyDescent="0.35">
      <c r="A450" s="1172">
        <v>2022444</v>
      </c>
      <c r="B450" s="1172">
        <v>7658</v>
      </c>
      <c r="C450" s="1172" t="s">
        <v>679</v>
      </c>
      <c r="D450" s="1190" t="s">
        <v>692</v>
      </c>
      <c r="E450" s="1234">
        <v>80111600</v>
      </c>
      <c r="F450" s="1175" t="s">
        <v>1089</v>
      </c>
      <c r="G450" s="1176" t="s">
        <v>1521</v>
      </c>
      <c r="H450" s="1176" t="s">
        <v>1521</v>
      </c>
      <c r="I450" s="1176">
        <v>10</v>
      </c>
      <c r="J450" s="1176" t="s">
        <v>1549</v>
      </c>
      <c r="K450" s="1176" t="s">
        <v>674</v>
      </c>
      <c r="L450" s="1178" t="s">
        <v>675</v>
      </c>
      <c r="M450" s="1264">
        <v>45000000</v>
      </c>
      <c r="N450" s="1175" t="s">
        <v>741</v>
      </c>
      <c r="O450" s="1175" t="s">
        <v>1524</v>
      </c>
    </row>
    <row r="451" spans="1:15" s="1159" customFormat="1" ht="60" x14ac:dyDescent="0.35">
      <c r="A451" s="1172">
        <v>2022445</v>
      </c>
      <c r="B451" s="1172">
        <v>7658</v>
      </c>
      <c r="C451" s="1172" t="s">
        <v>679</v>
      </c>
      <c r="D451" s="1190" t="s">
        <v>692</v>
      </c>
      <c r="E451" s="1234">
        <v>80111600</v>
      </c>
      <c r="F451" s="1175" t="s">
        <v>1090</v>
      </c>
      <c r="G451" s="1176" t="s">
        <v>1521</v>
      </c>
      <c r="H451" s="1176" t="s">
        <v>1521</v>
      </c>
      <c r="I451" s="1176">
        <v>6</v>
      </c>
      <c r="J451" s="1176" t="s">
        <v>1549</v>
      </c>
      <c r="K451" s="1176" t="s">
        <v>674</v>
      </c>
      <c r="L451" s="1178" t="s">
        <v>675</v>
      </c>
      <c r="M451" s="1264">
        <v>27810000</v>
      </c>
      <c r="N451" s="1175" t="s">
        <v>741</v>
      </c>
      <c r="O451" s="1175" t="s">
        <v>1524</v>
      </c>
    </row>
    <row r="452" spans="1:15" s="1159" customFormat="1" ht="60" x14ac:dyDescent="0.35">
      <c r="A452" s="1172">
        <v>2022446</v>
      </c>
      <c r="B452" s="1172">
        <v>7658</v>
      </c>
      <c r="C452" s="1172" t="s">
        <v>679</v>
      </c>
      <c r="D452" s="1190" t="s">
        <v>692</v>
      </c>
      <c r="E452" s="1234">
        <v>80111600</v>
      </c>
      <c r="F452" s="1175" t="s">
        <v>1090</v>
      </c>
      <c r="G452" s="1176" t="s">
        <v>1521</v>
      </c>
      <c r="H452" s="1176" t="s">
        <v>1521</v>
      </c>
      <c r="I452" s="1176">
        <v>4</v>
      </c>
      <c r="J452" s="1176" t="s">
        <v>1549</v>
      </c>
      <c r="K452" s="1176" t="s">
        <v>674</v>
      </c>
      <c r="L452" s="1178" t="s">
        <v>675</v>
      </c>
      <c r="M452" s="1264">
        <v>18540000</v>
      </c>
      <c r="N452" s="1175" t="s">
        <v>741</v>
      </c>
      <c r="O452" s="1175" t="s">
        <v>1524</v>
      </c>
    </row>
    <row r="453" spans="1:15" s="1159" customFormat="1" ht="60" x14ac:dyDescent="0.35">
      <c r="A453" s="1172">
        <v>2022447</v>
      </c>
      <c r="B453" s="1172">
        <v>7658</v>
      </c>
      <c r="C453" s="1172" t="s">
        <v>679</v>
      </c>
      <c r="D453" s="1190" t="s">
        <v>692</v>
      </c>
      <c r="E453" s="1234">
        <v>80111600</v>
      </c>
      <c r="F453" s="1175" t="s">
        <v>1091</v>
      </c>
      <c r="G453" s="1176" t="s">
        <v>1521</v>
      </c>
      <c r="H453" s="1176" t="s">
        <v>1521</v>
      </c>
      <c r="I453" s="1176">
        <v>10</v>
      </c>
      <c r="J453" s="1176" t="s">
        <v>1549</v>
      </c>
      <c r="K453" s="1176" t="s">
        <v>674</v>
      </c>
      <c r="L453" s="1178" t="s">
        <v>675</v>
      </c>
      <c r="M453" s="1264">
        <v>57000000</v>
      </c>
      <c r="N453" s="1175" t="s">
        <v>741</v>
      </c>
      <c r="O453" s="1175" t="s">
        <v>1524</v>
      </c>
    </row>
    <row r="454" spans="1:15" s="1159" customFormat="1" ht="60" x14ac:dyDescent="0.35">
      <c r="A454" s="1172">
        <v>2022448</v>
      </c>
      <c r="B454" s="1172">
        <v>7658</v>
      </c>
      <c r="C454" s="1172" t="s">
        <v>679</v>
      </c>
      <c r="D454" s="1190" t="s">
        <v>692</v>
      </c>
      <c r="E454" s="1234">
        <v>80111600</v>
      </c>
      <c r="F454" s="1175" t="s">
        <v>1091</v>
      </c>
      <c r="G454" s="1176" t="s">
        <v>1521</v>
      </c>
      <c r="H454" s="1176" t="s">
        <v>1521</v>
      </c>
      <c r="I454" s="1176">
        <v>10</v>
      </c>
      <c r="J454" s="1176" t="s">
        <v>1549</v>
      </c>
      <c r="K454" s="1176" t="s">
        <v>674</v>
      </c>
      <c r="L454" s="1178" t="s">
        <v>675</v>
      </c>
      <c r="M454" s="1264">
        <v>48500000</v>
      </c>
      <c r="N454" s="1175" t="s">
        <v>741</v>
      </c>
      <c r="O454" s="1175" t="s">
        <v>1524</v>
      </c>
    </row>
    <row r="455" spans="1:15" s="1159" customFormat="1" ht="60" x14ac:dyDescent="0.35">
      <c r="A455" s="1172">
        <v>2022449</v>
      </c>
      <c r="B455" s="1172">
        <v>7658</v>
      </c>
      <c r="C455" s="1172" t="s">
        <v>679</v>
      </c>
      <c r="D455" s="1190" t="s">
        <v>692</v>
      </c>
      <c r="E455" s="1234">
        <v>80111600</v>
      </c>
      <c r="F455" s="1175" t="s">
        <v>1091</v>
      </c>
      <c r="G455" s="1176" t="s">
        <v>1521</v>
      </c>
      <c r="H455" s="1176" t="s">
        <v>1521</v>
      </c>
      <c r="I455" s="1176">
        <v>10</v>
      </c>
      <c r="J455" s="1176" t="s">
        <v>1549</v>
      </c>
      <c r="K455" s="1176" t="s">
        <v>674</v>
      </c>
      <c r="L455" s="1178" t="s">
        <v>675</v>
      </c>
      <c r="M455" s="1264">
        <v>48500000</v>
      </c>
      <c r="N455" s="1175" t="s">
        <v>741</v>
      </c>
      <c r="O455" s="1175" t="s">
        <v>1524</v>
      </c>
    </row>
    <row r="456" spans="1:15" s="1159" customFormat="1" ht="60" x14ac:dyDescent="0.35">
      <c r="A456" s="1172">
        <v>2022450</v>
      </c>
      <c r="B456" s="1172">
        <v>7658</v>
      </c>
      <c r="C456" s="1172" t="s">
        <v>679</v>
      </c>
      <c r="D456" s="1190" t="s">
        <v>692</v>
      </c>
      <c r="E456" s="1234">
        <v>80111600</v>
      </c>
      <c r="F456" s="1175" t="s">
        <v>1092</v>
      </c>
      <c r="G456" s="1176" t="s">
        <v>1521</v>
      </c>
      <c r="H456" s="1176" t="s">
        <v>1521</v>
      </c>
      <c r="I456" s="1176">
        <v>10</v>
      </c>
      <c r="J456" s="1176" t="s">
        <v>1549</v>
      </c>
      <c r="K456" s="1176" t="s">
        <v>674</v>
      </c>
      <c r="L456" s="1178" t="s">
        <v>675</v>
      </c>
      <c r="M456" s="1264">
        <v>48500000</v>
      </c>
      <c r="N456" s="1175" t="s">
        <v>741</v>
      </c>
      <c r="O456" s="1175" t="s">
        <v>1524</v>
      </c>
    </row>
    <row r="457" spans="1:15" s="1159" customFormat="1" ht="60" x14ac:dyDescent="0.35">
      <c r="A457" s="1172">
        <v>2022451</v>
      </c>
      <c r="B457" s="1172">
        <v>7658</v>
      </c>
      <c r="C457" s="1172" t="s">
        <v>679</v>
      </c>
      <c r="D457" s="1190" t="s">
        <v>692</v>
      </c>
      <c r="E457" s="1234">
        <v>80111600</v>
      </c>
      <c r="F457" s="1175" t="s">
        <v>1092</v>
      </c>
      <c r="G457" s="1176" t="s">
        <v>1521</v>
      </c>
      <c r="H457" s="1176" t="s">
        <v>1521</v>
      </c>
      <c r="I457" s="1176">
        <v>10</v>
      </c>
      <c r="J457" s="1176" t="s">
        <v>1549</v>
      </c>
      <c r="K457" s="1176" t="s">
        <v>674</v>
      </c>
      <c r="L457" s="1178" t="s">
        <v>675</v>
      </c>
      <c r="M457" s="1264">
        <v>35000000</v>
      </c>
      <c r="N457" s="1175" t="s">
        <v>741</v>
      </c>
      <c r="O457" s="1175" t="s">
        <v>1524</v>
      </c>
    </row>
    <row r="458" spans="1:15" s="1159" customFormat="1" ht="60" x14ac:dyDescent="0.35">
      <c r="A458" s="1172">
        <v>2022452</v>
      </c>
      <c r="B458" s="1172">
        <v>7658</v>
      </c>
      <c r="C458" s="1172" t="s">
        <v>679</v>
      </c>
      <c r="D458" s="1190" t="s">
        <v>692</v>
      </c>
      <c r="E458" s="1234">
        <v>80111600</v>
      </c>
      <c r="F458" s="1175" t="s">
        <v>1091</v>
      </c>
      <c r="G458" s="1176" t="s">
        <v>1521</v>
      </c>
      <c r="H458" s="1176" t="s">
        <v>1521</v>
      </c>
      <c r="I458" s="1176">
        <v>6</v>
      </c>
      <c r="J458" s="1176" t="s">
        <v>1549</v>
      </c>
      <c r="K458" s="1176" t="s">
        <v>674</v>
      </c>
      <c r="L458" s="1178" t="s">
        <v>675</v>
      </c>
      <c r="M458" s="1264">
        <v>29100000</v>
      </c>
      <c r="N458" s="1175" t="s">
        <v>741</v>
      </c>
      <c r="O458" s="1175" t="s">
        <v>1524</v>
      </c>
    </row>
    <row r="459" spans="1:15" s="1159" customFormat="1" ht="60" x14ac:dyDescent="0.35">
      <c r="A459" s="1172">
        <v>2022453</v>
      </c>
      <c r="B459" s="1172">
        <v>7658</v>
      </c>
      <c r="C459" s="1172" t="s">
        <v>679</v>
      </c>
      <c r="D459" s="1190" t="s">
        <v>692</v>
      </c>
      <c r="E459" s="1234">
        <v>80111600</v>
      </c>
      <c r="F459" s="1175" t="s">
        <v>1091</v>
      </c>
      <c r="G459" s="1176" t="s">
        <v>1521</v>
      </c>
      <c r="H459" s="1176" t="s">
        <v>1521</v>
      </c>
      <c r="I459" s="1176">
        <v>4</v>
      </c>
      <c r="J459" s="1176" t="s">
        <v>1549</v>
      </c>
      <c r="K459" s="1176" t="s">
        <v>674</v>
      </c>
      <c r="L459" s="1178" t="s">
        <v>675</v>
      </c>
      <c r="M459" s="1264">
        <v>19400000</v>
      </c>
      <c r="N459" s="1175" t="s">
        <v>741</v>
      </c>
      <c r="O459" s="1175" t="s">
        <v>1524</v>
      </c>
    </row>
    <row r="460" spans="1:15" s="1159" customFormat="1" ht="60" x14ac:dyDescent="0.35">
      <c r="A460" s="1172">
        <v>2022454</v>
      </c>
      <c r="B460" s="1172">
        <v>7658</v>
      </c>
      <c r="C460" s="1172" t="s">
        <v>679</v>
      </c>
      <c r="D460" s="1190" t="s">
        <v>692</v>
      </c>
      <c r="E460" s="1234">
        <v>80111600</v>
      </c>
      <c r="F460" s="1175" t="s">
        <v>1093</v>
      </c>
      <c r="G460" s="1176" t="s">
        <v>1521</v>
      </c>
      <c r="H460" s="1176" t="s">
        <v>1521</v>
      </c>
      <c r="I460" s="1176">
        <v>10</v>
      </c>
      <c r="J460" s="1176" t="s">
        <v>1549</v>
      </c>
      <c r="K460" s="1176" t="s">
        <v>674</v>
      </c>
      <c r="L460" s="1178" t="s">
        <v>675</v>
      </c>
      <c r="M460" s="1264">
        <v>55000000</v>
      </c>
      <c r="N460" s="1175" t="s">
        <v>741</v>
      </c>
      <c r="O460" s="1175" t="s">
        <v>1524</v>
      </c>
    </row>
    <row r="461" spans="1:15" s="1159" customFormat="1" ht="60" x14ac:dyDescent="0.35">
      <c r="A461" s="1172">
        <v>2022455</v>
      </c>
      <c r="B461" s="1172">
        <v>7658</v>
      </c>
      <c r="C461" s="1172" t="s">
        <v>679</v>
      </c>
      <c r="D461" s="1190" t="s">
        <v>692</v>
      </c>
      <c r="E461" s="1234">
        <v>80111600</v>
      </c>
      <c r="F461" s="1175" t="s">
        <v>1093</v>
      </c>
      <c r="G461" s="1176" t="s">
        <v>1521</v>
      </c>
      <c r="H461" s="1176" t="s">
        <v>1521</v>
      </c>
      <c r="I461" s="1176">
        <v>10</v>
      </c>
      <c r="J461" s="1176" t="s">
        <v>1549</v>
      </c>
      <c r="K461" s="1176" t="s">
        <v>674</v>
      </c>
      <c r="L461" s="1178" t="s">
        <v>675</v>
      </c>
      <c r="M461" s="1264">
        <v>55000000</v>
      </c>
      <c r="N461" s="1175" t="s">
        <v>741</v>
      </c>
      <c r="O461" s="1175" t="s">
        <v>1524</v>
      </c>
    </row>
    <row r="462" spans="1:15" s="1159" customFormat="1" ht="60" x14ac:dyDescent="0.35">
      <c r="A462" s="1172">
        <v>2022456</v>
      </c>
      <c r="B462" s="1172">
        <v>7658</v>
      </c>
      <c r="C462" s="1172" t="s">
        <v>679</v>
      </c>
      <c r="D462" s="1190" t="s">
        <v>692</v>
      </c>
      <c r="E462" s="1234">
        <v>80111600</v>
      </c>
      <c r="F462" s="1175" t="s">
        <v>1093</v>
      </c>
      <c r="G462" s="1176" t="s">
        <v>1521</v>
      </c>
      <c r="H462" s="1176" t="s">
        <v>1521</v>
      </c>
      <c r="I462" s="1176">
        <v>6</v>
      </c>
      <c r="J462" s="1176" t="s">
        <v>1549</v>
      </c>
      <c r="K462" s="1176" t="s">
        <v>674</v>
      </c>
      <c r="L462" s="1178" t="s">
        <v>675</v>
      </c>
      <c r="M462" s="1264">
        <v>29100000</v>
      </c>
      <c r="N462" s="1175" t="s">
        <v>741</v>
      </c>
      <c r="O462" s="1175" t="s">
        <v>1524</v>
      </c>
    </row>
    <row r="463" spans="1:15" s="1159" customFormat="1" ht="60" x14ac:dyDescent="0.35">
      <c r="A463" s="1172">
        <v>2022457</v>
      </c>
      <c r="B463" s="1172">
        <v>7658</v>
      </c>
      <c r="C463" s="1172" t="s">
        <v>679</v>
      </c>
      <c r="D463" s="1190" t="s">
        <v>692</v>
      </c>
      <c r="E463" s="1234">
        <v>80111600</v>
      </c>
      <c r="F463" s="1175" t="s">
        <v>1093</v>
      </c>
      <c r="G463" s="1176" t="s">
        <v>1521</v>
      </c>
      <c r="H463" s="1176" t="s">
        <v>1521</v>
      </c>
      <c r="I463" s="1176">
        <v>4</v>
      </c>
      <c r="J463" s="1176" t="s">
        <v>1549</v>
      </c>
      <c r="K463" s="1176" t="s">
        <v>674</v>
      </c>
      <c r="L463" s="1178" t="s">
        <v>675</v>
      </c>
      <c r="M463" s="1264">
        <v>19400000</v>
      </c>
      <c r="N463" s="1175" t="s">
        <v>741</v>
      </c>
      <c r="O463" s="1175" t="s">
        <v>1524</v>
      </c>
    </row>
    <row r="464" spans="1:15" s="1159" customFormat="1" ht="60" x14ac:dyDescent="0.35">
      <c r="A464" s="1172">
        <v>2022458</v>
      </c>
      <c r="B464" s="1172">
        <v>7658</v>
      </c>
      <c r="C464" s="1172" t="s">
        <v>679</v>
      </c>
      <c r="D464" s="1190" t="s">
        <v>692</v>
      </c>
      <c r="E464" s="1234">
        <v>80111600</v>
      </c>
      <c r="F464" s="1175" t="s">
        <v>1093</v>
      </c>
      <c r="G464" s="1176" t="s">
        <v>1521</v>
      </c>
      <c r="H464" s="1176" t="s">
        <v>1521</v>
      </c>
      <c r="I464" s="1176">
        <v>10</v>
      </c>
      <c r="J464" s="1176" t="s">
        <v>1549</v>
      </c>
      <c r="K464" s="1176" t="s">
        <v>674</v>
      </c>
      <c r="L464" s="1178" t="s">
        <v>675</v>
      </c>
      <c r="M464" s="1264">
        <v>48500000</v>
      </c>
      <c r="N464" s="1175" t="s">
        <v>741</v>
      </c>
      <c r="O464" s="1175" t="s">
        <v>1524</v>
      </c>
    </row>
    <row r="465" spans="1:15" s="1159" customFormat="1" ht="60" x14ac:dyDescent="0.35">
      <c r="A465" s="1172">
        <v>2022459</v>
      </c>
      <c r="B465" s="1172">
        <v>7658</v>
      </c>
      <c r="C465" s="1172" t="s">
        <v>679</v>
      </c>
      <c r="D465" s="1190" t="s">
        <v>692</v>
      </c>
      <c r="E465" s="1234">
        <v>80111600</v>
      </c>
      <c r="F465" s="1175" t="s">
        <v>1093</v>
      </c>
      <c r="G465" s="1176" t="s">
        <v>1521</v>
      </c>
      <c r="H465" s="1176" t="s">
        <v>1521</v>
      </c>
      <c r="I465" s="1176">
        <v>6</v>
      </c>
      <c r="J465" s="1176" t="s">
        <v>1549</v>
      </c>
      <c r="K465" s="1176" t="s">
        <v>674</v>
      </c>
      <c r="L465" s="1178" t="s">
        <v>675</v>
      </c>
      <c r="M465" s="1264">
        <v>29100000</v>
      </c>
      <c r="N465" s="1175" t="s">
        <v>741</v>
      </c>
      <c r="O465" s="1175" t="s">
        <v>1524</v>
      </c>
    </row>
    <row r="466" spans="1:15" s="1159" customFormat="1" ht="60" x14ac:dyDescent="0.35">
      <c r="A466" s="1172">
        <v>2022460</v>
      </c>
      <c r="B466" s="1172">
        <v>7658</v>
      </c>
      <c r="C466" s="1172" t="s">
        <v>679</v>
      </c>
      <c r="D466" s="1190" t="s">
        <v>692</v>
      </c>
      <c r="E466" s="1234">
        <v>80111600</v>
      </c>
      <c r="F466" s="1175" t="s">
        <v>1093</v>
      </c>
      <c r="G466" s="1176" t="s">
        <v>1521</v>
      </c>
      <c r="H466" s="1176" t="s">
        <v>1521</v>
      </c>
      <c r="I466" s="1176">
        <v>4</v>
      </c>
      <c r="J466" s="1176" t="s">
        <v>1549</v>
      </c>
      <c r="K466" s="1176" t="s">
        <v>674</v>
      </c>
      <c r="L466" s="1178" t="s">
        <v>675</v>
      </c>
      <c r="M466" s="1264">
        <v>19400000</v>
      </c>
      <c r="N466" s="1175" t="s">
        <v>741</v>
      </c>
      <c r="O466" s="1175" t="s">
        <v>1524</v>
      </c>
    </row>
    <row r="467" spans="1:15" s="1159" customFormat="1" ht="60" x14ac:dyDescent="0.35">
      <c r="A467" s="1172">
        <v>2022461</v>
      </c>
      <c r="B467" s="1172">
        <v>7658</v>
      </c>
      <c r="C467" s="1172" t="s">
        <v>679</v>
      </c>
      <c r="D467" s="1190" t="s">
        <v>692</v>
      </c>
      <c r="E467" s="1234">
        <v>80111600</v>
      </c>
      <c r="F467" s="1175" t="s">
        <v>1093</v>
      </c>
      <c r="G467" s="1176" t="s">
        <v>1521</v>
      </c>
      <c r="H467" s="1176" t="s">
        <v>1521</v>
      </c>
      <c r="I467" s="1176">
        <v>10</v>
      </c>
      <c r="J467" s="1176" t="s">
        <v>1549</v>
      </c>
      <c r="K467" s="1176" t="s">
        <v>674</v>
      </c>
      <c r="L467" s="1178" t="s">
        <v>675</v>
      </c>
      <c r="M467" s="1264">
        <v>45000000</v>
      </c>
      <c r="N467" s="1175" t="s">
        <v>741</v>
      </c>
      <c r="O467" s="1175" t="s">
        <v>1524</v>
      </c>
    </row>
    <row r="468" spans="1:15" s="1159" customFormat="1" ht="60" x14ac:dyDescent="0.35">
      <c r="A468" s="1172">
        <v>2022462</v>
      </c>
      <c r="B468" s="1172">
        <v>7658</v>
      </c>
      <c r="C468" s="1172" t="s">
        <v>679</v>
      </c>
      <c r="D468" s="1190" t="s">
        <v>692</v>
      </c>
      <c r="E468" s="1234">
        <v>80111600</v>
      </c>
      <c r="F468" s="1175" t="s">
        <v>1094</v>
      </c>
      <c r="G468" s="1176" t="s">
        <v>1521</v>
      </c>
      <c r="H468" s="1176" t="s">
        <v>1521</v>
      </c>
      <c r="I468" s="1176">
        <v>6</v>
      </c>
      <c r="J468" s="1176" t="s">
        <v>1549</v>
      </c>
      <c r="K468" s="1176" t="s">
        <v>674</v>
      </c>
      <c r="L468" s="1178" t="s">
        <v>675</v>
      </c>
      <c r="M468" s="1264">
        <v>16500000</v>
      </c>
      <c r="N468" s="1175" t="s">
        <v>741</v>
      </c>
      <c r="O468" s="1175" t="s">
        <v>1524</v>
      </c>
    </row>
    <row r="469" spans="1:15" s="1159" customFormat="1" ht="60" x14ac:dyDescent="0.35">
      <c r="A469" s="1172">
        <v>2022463</v>
      </c>
      <c r="B469" s="1172">
        <v>7658</v>
      </c>
      <c r="C469" s="1172" t="s">
        <v>679</v>
      </c>
      <c r="D469" s="1190" t="s">
        <v>692</v>
      </c>
      <c r="E469" s="1234">
        <v>80111600</v>
      </c>
      <c r="F469" s="1175" t="s">
        <v>1094</v>
      </c>
      <c r="G469" s="1176" t="s">
        <v>1521</v>
      </c>
      <c r="H469" s="1176" t="s">
        <v>1521</v>
      </c>
      <c r="I469" s="1176">
        <v>4</v>
      </c>
      <c r="J469" s="1176" t="s">
        <v>1549</v>
      </c>
      <c r="K469" s="1176" t="s">
        <v>674</v>
      </c>
      <c r="L469" s="1178" t="s">
        <v>675</v>
      </c>
      <c r="M469" s="1264">
        <v>11000000</v>
      </c>
      <c r="N469" s="1175" t="s">
        <v>741</v>
      </c>
      <c r="O469" s="1175" t="s">
        <v>1524</v>
      </c>
    </row>
    <row r="470" spans="1:15" s="1159" customFormat="1" ht="60" x14ac:dyDescent="0.35">
      <c r="A470" s="1172">
        <v>2022464</v>
      </c>
      <c r="B470" s="1172">
        <v>7658</v>
      </c>
      <c r="C470" s="1172" t="s">
        <v>679</v>
      </c>
      <c r="D470" s="1190" t="s">
        <v>692</v>
      </c>
      <c r="E470" s="1234">
        <v>80111600</v>
      </c>
      <c r="F470" s="1175" t="s">
        <v>1095</v>
      </c>
      <c r="G470" s="1176" t="s">
        <v>1521</v>
      </c>
      <c r="H470" s="1176" t="s">
        <v>1521</v>
      </c>
      <c r="I470" s="1176">
        <v>10</v>
      </c>
      <c r="J470" s="1176" t="s">
        <v>1549</v>
      </c>
      <c r="K470" s="1176" t="s">
        <v>674</v>
      </c>
      <c r="L470" s="1178" t="s">
        <v>675</v>
      </c>
      <c r="M470" s="1264">
        <v>50000000</v>
      </c>
      <c r="N470" s="1175" t="s">
        <v>741</v>
      </c>
      <c r="O470" s="1175" t="s">
        <v>1524</v>
      </c>
    </row>
    <row r="471" spans="1:15" s="1159" customFormat="1" ht="60" x14ac:dyDescent="0.35">
      <c r="A471" s="1172">
        <v>2022465</v>
      </c>
      <c r="B471" s="1172">
        <v>7658</v>
      </c>
      <c r="C471" s="1172" t="s">
        <v>679</v>
      </c>
      <c r="D471" s="1190" t="s">
        <v>692</v>
      </c>
      <c r="E471" s="1234">
        <v>80111600</v>
      </c>
      <c r="F471" s="1175" t="s">
        <v>1096</v>
      </c>
      <c r="G471" s="1176" t="s">
        <v>1521</v>
      </c>
      <c r="H471" s="1176" t="s">
        <v>1521</v>
      </c>
      <c r="I471" s="1176">
        <v>10</v>
      </c>
      <c r="J471" s="1176" t="s">
        <v>1549</v>
      </c>
      <c r="K471" s="1176" t="s">
        <v>674</v>
      </c>
      <c r="L471" s="1178" t="s">
        <v>675</v>
      </c>
      <c r="M471" s="1264">
        <v>48500000</v>
      </c>
      <c r="N471" s="1175" t="s">
        <v>741</v>
      </c>
      <c r="O471" s="1175" t="s">
        <v>1524</v>
      </c>
    </row>
    <row r="472" spans="1:15" s="1159" customFormat="1" ht="60" x14ac:dyDescent="0.35">
      <c r="A472" s="1172">
        <v>2022466</v>
      </c>
      <c r="B472" s="1172">
        <v>7658</v>
      </c>
      <c r="C472" s="1172" t="s">
        <v>679</v>
      </c>
      <c r="D472" s="1190" t="s">
        <v>692</v>
      </c>
      <c r="E472" s="1234">
        <v>80111600</v>
      </c>
      <c r="F472" s="1175" t="s">
        <v>1097</v>
      </c>
      <c r="G472" s="1176" t="s">
        <v>1521</v>
      </c>
      <c r="H472" s="1176" t="s">
        <v>1521</v>
      </c>
      <c r="I472" s="1176">
        <v>10</v>
      </c>
      <c r="J472" s="1176" t="s">
        <v>1549</v>
      </c>
      <c r="K472" s="1176" t="s">
        <v>674</v>
      </c>
      <c r="L472" s="1178" t="s">
        <v>675</v>
      </c>
      <c r="M472" s="1264">
        <v>33500000</v>
      </c>
      <c r="N472" s="1175" t="s">
        <v>741</v>
      </c>
      <c r="O472" s="1175" t="s">
        <v>1524</v>
      </c>
    </row>
    <row r="473" spans="1:15" s="1159" customFormat="1" ht="75" customHeight="1" x14ac:dyDescent="0.35">
      <c r="A473" s="1172">
        <v>2022467</v>
      </c>
      <c r="B473" s="1172">
        <v>7658</v>
      </c>
      <c r="C473" s="1172" t="s">
        <v>679</v>
      </c>
      <c r="D473" s="1190" t="s">
        <v>692</v>
      </c>
      <c r="E473" s="1234">
        <v>80111600</v>
      </c>
      <c r="F473" s="1175" t="s">
        <v>1098</v>
      </c>
      <c r="G473" s="1176" t="s">
        <v>1521</v>
      </c>
      <c r="H473" s="1176" t="s">
        <v>1521</v>
      </c>
      <c r="I473" s="1176">
        <v>10</v>
      </c>
      <c r="J473" s="1176" t="s">
        <v>1549</v>
      </c>
      <c r="K473" s="1176" t="s">
        <v>674</v>
      </c>
      <c r="L473" s="1178" t="s">
        <v>675</v>
      </c>
      <c r="M473" s="1264">
        <v>48500000</v>
      </c>
      <c r="N473" s="1175" t="s">
        <v>741</v>
      </c>
      <c r="O473" s="1175" t="s">
        <v>1524</v>
      </c>
    </row>
    <row r="474" spans="1:15" s="1159" customFormat="1" ht="60" x14ac:dyDescent="0.35">
      <c r="A474" s="1172">
        <v>2022468</v>
      </c>
      <c r="B474" s="1172">
        <v>7658</v>
      </c>
      <c r="C474" s="1172" t="s">
        <v>679</v>
      </c>
      <c r="D474" s="1190" t="s">
        <v>692</v>
      </c>
      <c r="E474" s="1234">
        <v>80111600</v>
      </c>
      <c r="F474" s="1175" t="s">
        <v>1099</v>
      </c>
      <c r="G474" s="1176" t="s">
        <v>1521</v>
      </c>
      <c r="H474" s="1176" t="s">
        <v>1521</v>
      </c>
      <c r="I474" s="1176">
        <v>4</v>
      </c>
      <c r="J474" s="1176" t="s">
        <v>1549</v>
      </c>
      <c r="K474" s="1176" t="s">
        <v>674</v>
      </c>
      <c r="L474" s="1178" t="s">
        <v>675</v>
      </c>
      <c r="M474" s="1264">
        <v>19400000</v>
      </c>
      <c r="N474" s="1175" t="s">
        <v>741</v>
      </c>
      <c r="O474" s="1175" t="s">
        <v>1524</v>
      </c>
    </row>
    <row r="475" spans="1:15" s="1159" customFormat="1" ht="60" x14ac:dyDescent="0.35">
      <c r="A475" s="1172">
        <v>2022469</v>
      </c>
      <c r="B475" s="1172">
        <v>7658</v>
      </c>
      <c r="C475" s="1172" t="s">
        <v>679</v>
      </c>
      <c r="D475" s="1190" t="s">
        <v>692</v>
      </c>
      <c r="E475" s="1234">
        <v>80111600</v>
      </c>
      <c r="F475" s="1175" t="s">
        <v>1099</v>
      </c>
      <c r="G475" s="1176" t="s">
        <v>1521</v>
      </c>
      <c r="H475" s="1176" t="s">
        <v>1521</v>
      </c>
      <c r="I475" s="1176">
        <v>6</v>
      </c>
      <c r="J475" s="1176" t="s">
        <v>1549</v>
      </c>
      <c r="K475" s="1176" t="s">
        <v>674</v>
      </c>
      <c r="L475" s="1178" t="s">
        <v>675</v>
      </c>
      <c r="M475" s="1264">
        <v>29100000</v>
      </c>
      <c r="N475" s="1175" t="s">
        <v>741</v>
      </c>
      <c r="O475" s="1175" t="s">
        <v>1524</v>
      </c>
    </row>
    <row r="476" spans="1:15" s="1159" customFormat="1" ht="60" x14ac:dyDescent="0.35">
      <c r="A476" s="1172">
        <v>2022470</v>
      </c>
      <c r="B476" s="1172">
        <v>7658</v>
      </c>
      <c r="C476" s="1172" t="s">
        <v>679</v>
      </c>
      <c r="D476" s="1190" t="s">
        <v>692</v>
      </c>
      <c r="E476" s="1234">
        <v>80111600</v>
      </c>
      <c r="F476" s="1175" t="s">
        <v>1099</v>
      </c>
      <c r="G476" s="1176" t="s">
        <v>1521</v>
      </c>
      <c r="H476" s="1176" t="s">
        <v>1521</v>
      </c>
      <c r="I476" s="1176">
        <v>4</v>
      </c>
      <c r="J476" s="1176" t="s">
        <v>1549</v>
      </c>
      <c r="K476" s="1176" t="s">
        <v>674</v>
      </c>
      <c r="L476" s="1178" t="s">
        <v>675</v>
      </c>
      <c r="M476" s="1264">
        <v>16000000</v>
      </c>
      <c r="N476" s="1175" t="s">
        <v>741</v>
      </c>
      <c r="O476" s="1175" t="s">
        <v>1524</v>
      </c>
    </row>
    <row r="477" spans="1:15" s="1159" customFormat="1" ht="60" x14ac:dyDescent="0.35">
      <c r="A477" s="1172">
        <v>2022471</v>
      </c>
      <c r="B477" s="1172">
        <v>7658</v>
      </c>
      <c r="C477" s="1172" t="s">
        <v>679</v>
      </c>
      <c r="D477" s="1190" t="s">
        <v>692</v>
      </c>
      <c r="E477" s="1234">
        <v>80111600</v>
      </c>
      <c r="F477" s="1175" t="s">
        <v>1099</v>
      </c>
      <c r="G477" s="1176" t="s">
        <v>1521</v>
      </c>
      <c r="H477" s="1176" t="s">
        <v>1521</v>
      </c>
      <c r="I477" s="1176">
        <v>6</v>
      </c>
      <c r="J477" s="1176" t="s">
        <v>1549</v>
      </c>
      <c r="K477" s="1176" t="s">
        <v>674</v>
      </c>
      <c r="L477" s="1178" t="s">
        <v>675</v>
      </c>
      <c r="M477" s="1264">
        <v>24000000</v>
      </c>
      <c r="N477" s="1175" t="s">
        <v>741</v>
      </c>
      <c r="O477" s="1175" t="s">
        <v>1524</v>
      </c>
    </row>
    <row r="478" spans="1:15" s="1159" customFormat="1" ht="60" x14ac:dyDescent="0.35">
      <c r="A478" s="1172">
        <v>2022472</v>
      </c>
      <c r="B478" s="1172">
        <v>7658</v>
      </c>
      <c r="C478" s="1172" t="s">
        <v>679</v>
      </c>
      <c r="D478" s="1190" t="s">
        <v>692</v>
      </c>
      <c r="E478" s="1234">
        <v>80111600</v>
      </c>
      <c r="F478" s="1175" t="s">
        <v>1099</v>
      </c>
      <c r="G478" s="1176" t="s">
        <v>1521</v>
      </c>
      <c r="H478" s="1176" t="s">
        <v>1521</v>
      </c>
      <c r="I478" s="1176">
        <v>4</v>
      </c>
      <c r="J478" s="1176" t="s">
        <v>1549</v>
      </c>
      <c r="K478" s="1176" t="s">
        <v>674</v>
      </c>
      <c r="L478" s="1178" t="s">
        <v>675</v>
      </c>
      <c r="M478" s="1264">
        <v>15400000</v>
      </c>
      <c r="N478" s="1175" t="s">
        <v>741</v>
      </c>
      <c r="O478" s="1175" t="s">
        <v>1524</v>
      </c>
    </row>
    <row r="479" spans="1:15" s="1159" customFormat="1" ht="60" x14ac:dyDescent="0.35">
      <c r="A479" s="1172">
        <v>2022473</v>
      </c>
      <c r="B479" s="1172">
        <v>7658</v>
      </c>
      <c r="C479" s="1172" t="s">
        <v>679</v>
      </c>
      <c r="D479" s="1190" t="s">
        <v>692</v>
      </c>
      <c r="E479" s="1234">
        <v>80111600</v>
      </c>
      <c r="F479" s="1175" t="s">
        <v>1099</v>
      </c>
      <c r="G479" s="1176" t="s">
        <v>1521</v>
      </c>
      <c r="H479" s="1176" t="s">
        <v>1521</v>
      </c>
      <c r="I479" s="1176">
        <v>6</v>
      </c>
      <c r="J479" s="1176" t="s">
        <v>1549</v>
      </c>
      <c r="K479" s="1176" t="s">
        <v>674</v>
      </c>
      <c r="L479" s="1178" t="s">
        <v>675</v>
      </c>
      <c r="M479" s="1264">
        <v>23100000</v>
      </c>
      <c r="N479" s="1175" t="s">
        <v>741</v>
      </c>
      <c r="O479" s="1175" t="s">
        <v>1524</v>
      </c>
    </row>
    <row r="480" spans="1:15" s="1159" customFormat="1" ht="60" x14ac:dyDescent="0.35">
      <c r="A480" s="1172">
        <v>2022474</v>
      </c>
      <c r="B480" s="1172">
        <v>7658</v>
      </c>
      <c r="C480" s="1172" t="s">
        <v>679</v>
      </c>
      <c r="D480" s="1190" t="s">
        <v>692</v>
      </c>
      <c r="E480" s="1234">
        <v>80111600</v>
      </c>
      <c r="F480" s="1175" t="s">
        <v>1099</v>
      </c>
      <c r="G480" s="1176" t="s">
        <v>1521</v>
      </c>
      <c r="H480" s="1176" t="s">
        <v>1521</v>
      </c>
      <c r="I480" s="1176">
        <v>4</v>
      </c>
      <c r="J480" s="1176" t="s">
        <v>1549</v>
      </c>
      <c r="K480" s="1176" t="s">
        <v>674</v>
      </c>
      <c r="L480" s="1178" t="s">
        <v>675</v>
      </c>
      <c r="M480" s="1264">
        <v>15400000</v>
      </c>
      <c r="N480" s="1175" t="s">
        <v>741</v>
      </c>
      <c r="O480" s="1175" t="s">
        <v>1524</v>
      </c>
    </row>
    <row r="481" spans="1:18" s="1159" customFormat="1" ht="60" x14ac:dyDescent="0.35">
      <c r="A481" s="1172">
        <v>2022475</v>
      </c>
      <c r="B481" s="1172">
        <v>7658</v>
      </c>
      <c r="C481" s="1172" t="s">
        <v>679</v>
      </c>
      <c r="D481" s="1190" t="s">
        <v>692</v>
      </c>
      <c r="E481" s="1234">
        <v>80111600</v>
      </c>
      <c r="F481" s="1175" t="s">
        <v>1099</v>
      </c>
      <c r="G481" s="1176" t="s">
        <v>1521</v>
      </c>
      <c r="H481" s="1176" t="s">
        <v>1521</v>
      </c>
      <c r="I481" s="1176">
        <v>6</v>
      </c>
      <c r="J481" s="1176" t="s">
        <v>1549</v>
      </c>
      <c r="K481" s="1176" t="s">
        <v>674</v>
      </c>
      <c r="L481" s="1178" t="s">
        <v>675</v>
      </c>
      <c r="M481" s="1264">
        <v>23100000</v>
      </c>
      <c r="N481" s="1175" t="s">
        <v>741</v>
      </c>
      <c r="O481" s="1175" t="s">
        <v>1524</v>
      </c>
    </row>
    <row r="482" spans="1:18" s="1159" customFormat="1" ht="60" x14ac:dyDescent="0.35">
      <c r="A482" s="1172">
        <v>2022476</v>
      </c>
      <c r="B482" s="1172">
        <v>7658</v>
      </c>
      <c r="C482" s="1172" t="s">
        <v>679</v>
      </c>
      <c r="D482" s="1190" t="s">
        <v>692</v>
      </c>
      <c r="E482" s="1234">
        <v>80111600</v>
      </c>
      <c r="F482" s="1175" t="s">
        <v>1099</v>
      </c>
      <c r="G482" s="1176" t="s">
        <v>1521</v>
      </c>
      <c r="H482" s="1176" t="s">
        <v>1521</v>
      </c>
      <c r="I482" s="1176">
        <v>4</v>
      </c>
      <c r="J482" s="1176" t="s">
        <v>1549</v>
      </c>
      <c r="K482" s="1176" t="s">
        <v>674</v>
      </c>
      <c r="L482" s="1178" t="s">
        <v>675</v>
      </c>
      <c r="M482" s="1264">
        <v>15400000</v>
      </c>
      <c r="N482" s="1175" t="s">
        <v>741</v>
      </c>
      <c r="O482" s="1175" t="s">
        <v>1524</v>
      </c>
    </row>
    <row r="483" spans="1:18" s="1159" customFormat="1" ht="60" x14ac:dyDescent="0.35">
      <c r="A483" s="1172">
        <v>2022477</v>
      </c>
      <c r="B483" s="1172">
        <v>7658</v>
      </c>
      <c r="C483" s="1172" t="s">
        <v>679</v>
      </c>
      <c r="D483" s="1190" t="s">
        <v>692</v>
      </c>
      <c r="E483" s="1234">
        <v>80111600</v>
      </c>
      <c r="F483" s="1175" t="s">
        <v>1099</v>
      </c>
      <c r="G483" s="1176" t="s">
        <v>1521</v>
      </c>
      <c r="H483" s="1176" t="s">
        <v>1521</v>
      </c>
      <c r="I483" s="1176">
        <v>6</v>
      </c>
      <c r="J483" s="1176" t="s">
        <v>1549</v>
      </c>
      <c r="K483" s="1176" t="s">
        <v>674</v>
      </c>
      <c r="L483" s="1178" t="s">
        <v>675</v>
      </c>
      <c r="M483" s="1264">
        <v>23100000</v>
      </c>
      <c r="N483" s="1175" t="s">
        <v>741</v>
      </c>
      <c r="O483" s="1175" t="s">
        <v>1524</v>
      </c>
    </row>
    <row r="484" spans="1:18" s="1159" customFormat="1" ht="60" x14ac:dyDescent="0.35">
      <c r="A484" s="1172">
        <v>2022478</v>
      </c>
      <c r="B484" s="1172">
        <v>7658</v>
      </c>
      <c r="C484" s="1172" t="s">
        <v>679</v>
      </c>
      <c r="D484" s="1190" t="s">
        <v>692</v>
      </c>
      <c r="E484" s="1234">
        <v>80111600</v>
      </c>
      <c r="F484" s="1175" t="s">
        <v>1100</v>
      </c>
      <c r="G484" s="1176" t="s">
        <v>1521</v>
      </c>
      <c r="H484" s="1176" t="s">
        <v>1521</v>
      </c>
      <c r="I484" s="1176">
        <v>10</v>
      </c>
      <c r="J484" s="1176" t="s">
        <v>1549</v>
      </c>
      <c r="K484" s="1176" t="s">
        <v>674</v>
      </c>
      <c r="L484" s="1178" t="s">
        <v>675</v>
      </c>
      <c r="M484" s="1264">
        <v>72100000</v>
      </c>
      <c r="N484" s="1175" t="s">
        <v>741</v>
      </c>
      <c r="O484" s="1175" t="s">
        <v>1524</v>
      </c>
    </row>
    <row r="485" spans="1:18" s="1159" customFormat="1" ht="60" x14ac:dyDescent="0.35">
      <c r="A485" s="1172">
        <v>2022479</v>
      </c>
      <c r="B485" s="1172">
        <v>7658</v>
      </c>
      <c r="C485" s="1172" t="s">
        <v>679</v>
      </c>
      <c r="D485" s="1190" t="s">
        <v>692</v>
      </c>
      <c r="E485" s="1234">
        <v>80111600</v>
      </c>
      <c r="F485" s="1175" t="s">
        <v>1100</v>
      </c>
      <c r="G485" s="1176" t="s">
        <v>1521</v>
      </c>
      <c r="H485" s="1176" t="s">
        <v>1521</v>
      </c>
      <c r="I485" s="1176">
        <v>10</v>
      </c>
      <c r="J485" s="1176" t="s">
        <v>1549</v>
      </c>
      <c r="K485" s="1176" t="s">
        <v>674</v>
      </c>
      <c r="L485" s="1178" t="s">
        <v>675</v>
      </c>
      <c r="M485" s="1264">
        <v>48500000</v>
      </c>
      <c r="N485" s="1175" t="s">
        <v>741</v>
      </c>
      <c r="O485" s="1175" t="s">
        <v>1524</v>
      </c>
    </row>
    <row r="486" spans="1:18" s="1159" customFormat="1" ht="60" x14ac:dyDescent="0.35">
      <c r="A486" s="1172">
        <v>2022480</v>
      </c>
      <c r="B486" s="1172">
        <v>7658</v>
      </c>
      <c r="C486" s="1172" t="s">
        <v>679</v>
      </c>
      <c r="D486" s="1190" t="s">
        <v>692</v>
      </c>
      <c r="E486" s="1234">
        <v>80111600</v>
      </c>
      <c r="F486" s="1175" t="s">
        <v>1100</v>
      </c>
      <c r="G486" s="1176" t="s">
        <v>1521</v>
      </c>
      <c r="H486" s="1176" t="s">
        <v>1521</v>
      </c>
      <c r="I486" s="1176">
        <v>10</v>
      </c>
      <c r="J486" s="1176" t="s">
        <v>1549</v>
      </c>
      <c r="K486" s="1176" t="s">
        <v>674</v>
      </c>
      <c r="L486" s="1178" t="s">
        <v>675</v>
      </c>
      <c r="M486" s="1264">
        <v>38500000</v>
      </c>
      <c r="N486" s="1175" t="s">
        <v>741</v>
      </c>
      <c r="O486" s="1175" t="s">
        <v>1524</v>
      </c>
    </row>
    <row r="487" spans="1:18" s="1159" customFormat="1" ht="60" x14ac:dyDescent="0.35">
      <c r="A487" s="1172">
        <v>2022481</v>
      </c>
      <c r="B487" s="1172">
        <v>7658</v>
      </c>
      <c r="C487" s="1172" t="s">
        <v>679</v>
      </c>
      <c r="D487" s="1190" t="s">
        <v>692</v>
      </c>
      <c r="E487" s="1234">
        <v>80111600</v>
      </c>
      <c r="F487" s="1175" t="s">
        <v>1101</v>
      </c>
      <c r="G487" s="1176" t="s">
        <v>1521</v>
      </c>
      <c r="H487" s="1176" t="s">
        <v>1521</v>
      </c>
      <c r="I487" s="1176">
        <v>6</v>
      </c>
      <c r="J487" s="1176" t="s">
        <v>1549</v>
      </c>
      <c r="K487" s="1176" t="s">
        <v>674</v>
      </c>
      <c r="L487" s="1178" t="s">
        <v>675</v>
      </c>
      <c r="M487" s="1264">
        <v>48000000</v>
      </c>
      <c r="N487" s="1175" t="s">
        <v>741</v>
      </c>
      <c r="O487" s="1175" t="s">
        <v>1524</v>
      </c>
    </row>
    <row r="488" spans="1:18" s="1159" customFormat="1" ht="60" x14ac:dyDescent="0.35">
      <c r="A488" s="1172">
        <v>2022482</v>
      </c>
      <c r="B488" s="1172">
        <v>7658</v>
      </c>
      <c r="C488" s="1172" t="s">
        <v>679</v>
      </c>
      <c r="D488" s="1190" t="s">
        <v>692</v>
      </c>
      <c r="E488" s="1234">
        <v>80111600</v>
      </c>
      <c r="F488" s="1175" t="s">
        <v>1102</v>
      </c>
      <c r="G488" s="1176" t="s">
        <v>1521</v>
      </c>
      <c r="H488" s="1176" t="s">
        <v>1521</v>
      </c>
      <c r="I488" s="1176">
        <v>6</v>
      </c>
      <c r="J488" s="1176" t="s">
        <v>1549</v>
      </c>
      <c r="K488" s="1176" t="s">
        <v>674</v>
      </c>
      <c r="L488" s="1178" t="s">
        <v>675</v>
      </c>
      <c r="M488" s="1264">
        <v>28200000</v>
      </c>
      <c r="N488" s="1175" t="s">
        <v>741</v>
      </c>
      <c r="O488" s="1175" t="s">
        <v>1524</v>
      </c>
    </row>
    <row r="489" spans="1:18" s="1159" customFormat="1" ht="75" x14ac:dyDescent="0.35">
      <c r="A489" s="1182">
        <v>2022483</v>
      </c>
      <c r="B489" s="1182">
        <v>7658</v>
      </c>
      <c r="C489" s="1182" t="s">
        <v>679</v>
      </c>
      <c r="D489" s="1227" t="s">
        <v>698</v>
      </c>
      <c r="E489" s="1236" t="s">
        <v>1103</v>
      </c>
      <c r="F489" s="1185" t="s">
        <v>1104</v>
      </c>
      <c r="G489" s="1245" t="s">
        <v>1414</v>
      </c>
      <c r="H489" s="1245" t="s">
        <v>1424</v>
      </c>
      <c r="I489" s="1239" t="s">
        <v>1468</v>
      </c>
      <c r="J489" s="1240" t="s">
        <v>1550</v>
      </c>
      <c r="K489" s="1184" t="s">
        <v>674</v>
      </c>
      <c r="L489" s="1247" t="s">
        <v>1105</v>
      </c>
      <c r="M489" s="1186">
        <v>45000000</v>
      </c>
      <c r="N489" s="1185" t="s">
        <v>1551</v>
      </c>
      <c r="O489" s="1185" t="s">
        <v>1473</v>
      </c>
      <c r="R489" s="1180"/>
    </row>
    <row r="490" spans="1:18" s="1159" customFormat="1" ht="75" x14ac:dyDescent="0.35">
      <c r="A490" s="1172">
        <v>2022484</v>
      </c>
      <c r="B490" s="1172">
        <v>7658</v>
      </c>
      <c r="C490" s="1172" t="s">
        <v>679</v>
      </c>
      <c r="D490" s="1190" t="s">
        <v>698</v>
      </c>
      <c r="E490" s="1234" t="s">
        <v>1106</v>
      </c>
      <c r="F490" s="1175" t="s">
        <v>1107</v>
      </c>
      <c r="G490" s="1193" t="s">
        <v>1414</v>
      </c>
      <c r="H490" s="1193" t="s">
        <v>1424</v>
      </c>
      <c r="I490" s="1194" t="s">
        <v>1469</v>
      </c>
      <c r="J490" s="1195" t="s">
        <v>1510</v>
      </c>
      <c r="K490" s="1176" t="s">
        <v>674</v>
      </c>
      <c r="L490" s="1241" t="s">
        <v>1108</v>
      </c>
      <c r="M490" s="1179">
        <v>100000000</v>
      </c>
      <c r="N490" s="1175" t="s">
        <v>1551</v>
      </c>
      <c r="O490" s="1175" t="s">
        <v>1473</v>
      </c>
    </row>
    <row r="491" spans="1:18" s="1159" customFormat="1" ht="75" x14ac:dyDescent="0.35">
      <c r="A491" s="1172">
        <v>2022485</v>
      </c>
      <c r="B491" s="1172">
        <v>7658</v>
      </c>
      <c r="C491" s="1172" t="s">
        <v>679</v>
      </c>
      <c r="D491" s="1190" t="s">
        <v>698</v>
      </c>
      <c r="E491" s="1234" t="s">
        <v>1109</v>
      </c>
      <c r="F491" s="1175" t="s">
        <v>1110</v>
      </c>
      <c r="G491" s="1193" t="s">
        <v>1414</v>
      </c>
      <c r="H491" s="1193" t="s">
        <v>1424</v>
      </c>
      <c r="I491" s="1194" t="s">
        <v>1417</v>
      </c>
      <c r="J491" s="1195" t="s">
        <v>1510</v>
      </c>
      <c r="K491" s="1176" t="s">
        <v>674</v>
      </c>
      <c r="L491" s="1178" t="s">
        <v>1111</v>
      </c>
      <c r="M491" s="1179">
        <v>260900000</v>
      </c>
      <c r="N491" s="1175" t="s">
        <v>1551</v>
      </c>
      <c r="O491" s="1175" t="s">
        <v>1473</v>
      </c>
    </row>
    <row r="492" spans="1:18" s="1159" customFormat="1" ht="75" x14ac:dyDescent="0.35">
      <c r="A492" s="1172">
        <v>2022486</v>
      </c>
      <c r="B492" s="1172">
        <v>7658</v>
      </c>
      <c r="C492" s="1172" t="s">
        <v>679</v>
      </c>
      <c r="D492" s="1190" t="s">
        <v>698</v>
      </c>
      <c r="E492" s="1234" t="s">
        <v>1112</v>
      </c>
      <c r="F492" s="1175" t="s">
        <v>1113</v>
      </c>
      <c r="G492" s="1193" t="s">
        <v>1414</v>
      </c>
      <c r="H492" s="1193" t="s">
        <v>1424</v>
      </c>
      <c r="I492" s="1194" t="s">
        <v>1469</v>
      </c>
      <c r="J492" s="1195" t="s">
        <v>1510</v>
      </c>
      <c r="K492" s="1176" t="s">
        <v>674</v>
      </c>
      <c r="L492" s="1178" t="s">
        <v>1492</v>
      </c>
      <c r="M492" s="1179">
        <v>200000000</v>
      </c>
      <c r="N492" s="1175" t="s">
        <v>1551</v>
      </c>
      <c r="O492" s="1175" t="s">
        <v>1473</v>
      </c>
    </row>
    <row r="493" spans="1:18" s="1159" customFormat="1" ht="75" x14ac:dyDescent="0.35">
      <c r="A493" s="1182">
        <v>2022487</v>
      </c>
      <c r="B493" s="1182">
        <v>7658</v>
      </c>
      <c r="C493" s="1182" t="s">
        <v>679</v>
      </c>
      <c r="D493" s="1227" t="s">
        <v>698</v>
      </c>
      <c r="E493" s="1236" t="s">
        <v>1106</v>
      </c>
      <c r="F493" s="1185" t="s">
        <v>1114</v>
      </c>
      <c r="G493" s="1245" t="s">
        <v>1414</v>
      </c>
      <c r="H493" s="1245" t="s">
        <v>1424</v>
      </c>
      <c r="I493" s="1239" t="s">
        <v>1552</v>
      </c>
      <c r="J493" s="1240" t="s">
        <v>1553</v>
      </c>
      <c r="K493" s="1184" t="s">
        <v>674</v>
      </c>
      <c r="L493" s="1247" t="s">
        <v>1108</v>
      </c>
      <c r="M493" s="1186">
        <f>34000000-10000000-5000000</f>
        <v>19000000</v>
      </c>
      <c r="N493" s="1185" t="s">
        <v>1551</v>
      </c>
      <c r="O493" s="1185" t="s">
        <v>1473</v>
      </c>
      <c r="R493" s="1180"/>
    </row>
    <row r="494" spans="1:18" s="1159" customFormat="1" ht="75" x14ac:dyDescent="0.35">
      <c r="A494" s="1172">
        <v>2022488</v>
      </c>
      <c r="B494" s="1172">
        <v>7658</v>
      </c>
      <c r="C494" s="1172" t="s">
        <v>679</v>
      </c>
      <c r="D494" s="1190" t="s">
        <v>698</v>
      </c>
      <c r="E494" s="1234">
        <v>78181500</v>
      </c>
      <c r="F494" s="1175" t="s">
        <v>1115</v>
      </c>
      <c r="G494" s="1193" t="s">
        <v>1414</v>
      </c>
      <c r="H494" s="1193" t="s">
        <v>1424</v>
      </c>
      <c r="I494" s="1194" t="s">
        <v>1554</v>
      </c>
      <c r="J494" s="1195" t="s">
        <v>1326</v>
      </c>
      <c r="K494" s="1176" t="s">
        <v>674</v>
      </c>
      <c r="L494" s="1178" t="s">
        <v>1116</v>
      </c>
      <c r="M494" s="1179">
        <v>2500000000</v>
      </c>
      <c r="N494" s="1175" t="s">
        <v>724</v>
      </c>
      <c r="O494" s="1175" t="s">
        <v>1473</v>
      </c>
    </row>
    <row r="495" spans="1:18" s="1159" customFormat="1" ht="75" x14ac:dyDescent="0.35">
      <c r="A495" s="1172">
        <v>2022489</v>
      </c>
      <c r="B495" s="1172">
        <v>7658</v>
      </c>
      <c r="C495" s="1172" t="s">
        <v>679</v>
      </c>
      <c r="D495" s="1190" t="s">
        <v>698</v>
      </c>
      <c r="E495" s="1234">
        <v>78181500</v>
      </c>
      <c r="F495" s="1175" t="s">
        <v>1117</v>
      </c>
      <c r="G495" s="1193" t="s">
        <v>1414</v>
      </c>
      <c r="H495" s="1212" t="s">
        <v>1414</v>
      </c>
      <c r="I495" s="1194" t="s">
        <v>1518</v>
      </c>
      <c r="J495" s="1195" t="s">
        <v>1326</v>
      </c>
      <c r="K495" s="1176" t="s">
        <v>674</v>
      </c>
      <c r="L495" s="1178" t="s">
        <v>1116</v>
      </c>
      <c r="M495" s="1179">
        <v>750000000</v>
      </c>
      <c r="N495" s="1175" t="s">
        <v>724</v>
      </c>
      <c r="O495" s="1175" t="s">
        <v>1473</v>
      </c>
    </row>
    <row r="496" spans="1:18" s="1159" customFormat="1" ht="75" x14ac:dyDescent="0.35">
      <c r="A496" s="1172">
        <v>2022490</v>
      </c>
      <c r="B496" s="1172">
        <v>7658</v>
      </c>
      <c r="C496" s="1172" t="s">
        <v>679</v>
      </c>
      <c r="D496" s="1190" t="s">
        <v>698</v>
      </c>
      <c r="E496" s="1234">
        <v>78181500</v>
      </c>
      <c r="F496" s="1175" t="s">
        <v>1118</v>
      </c>
      <c r="G496" s="1193" t="s">
        <v>1414</v>
      </c>
      <c r="H496" s="1212" t="s">
        <v>1414</v>
      </c>
      <c r="I496" s="1194" t="s">
        <v>1555</v>
      </c>
      <c r="J496" s="1195" t="s">
        <v>1326</v>
      </c>
      <c r="K496" s="1176" t="s">
        <v>674</v>
      </c>
      <c r="L496" s="1178" t="s">
        <v>1116</v>
      </c>
      <c r="M496" s="1179">
        <v>100000000</v>
      </c>
      <c r="N496" s="1175" t="s">
        <v>724</v>
      </c>
      <c r="O496" s="1175" t="s">
        <v>1473</v>
      </c>
    </row>
    <row r="497" spans="1:18" s="1159" customFormat="1" ht="75" x14ac:dyDescent="0.35">
      <c r="A497" s="1172">
        <v>2022491</v>
      </c>
      <c r="B497" s="1172">
        <v>7658</v>
      </c>
      <c r="C497" s="1172" t="s">
        <v>679</v>
      </c>
      <c r="D497" s="1190" t="s">
        <v>698</v>
      </c>
      <c r="E497" s="1234">
        <v>25172500</v>
      </c>
      <c r="F497" s="1175" t="s">
        <v>1119</v>
      </c>
      <c r="G497" s="1193" t="s">
        <v>1414</v>
      </c>
      <c r="H497" s="1193" t="s">
        <v>1424</v>
      </c>
      <c r="I497" s="1194" t="s">
        <v>1417</v>
      </c>
      <c r="J497" s="1195" t="s">
        <v>1510</v>
      </c>
      <c r="K497" s="1176" t="s">
        <v>674</v>
      </c>
      <c r="L497" s="1178" t="s">
        <v>981</v>
      </c>
      <c r="M497" s="1179">
        <v>150000000</v>
      </c>
      <c r="N497" s="1175" t="s">
        <v>724</v>
      </c>
      <c r="O497" s="1175" t="s">
        <v>1473</v>
      </c>
    </row>
    <row r="498" spans="1:18" s="1159" customFormat="1" ht="75" x14ac:dyDescent="0.35">
      <c r="A498" s="1172">
        <v>2022492</v>
      </c>
      <c r="B498" s="1172">
        <v>7658</v>
      </c>
      <c r="C498" s="1172" t="s">
        <v>679</v>
      </c>
      <c r="D498" s="1190" t="s">
        <v>698</v>
      </c>
      <c r="E498" s="1234">
        <v>15101500</v>
      </c>
      <c r="F498" s="1175" t="s">
        <v>1120</v>
      </c>
      <c r="G498" s="1193" t="s">
        <v>1414</v>
      </c>
      <c r="H498" s="1193" t="s">
        <v>1424</v>
      </c>
      <c r="I498" s="1194" t="s">
        <v>1554</v>
      </c>
      <c r="J498" s="1195" t="s">
        <v>1475</v>
      </c>
      <c r="K498" s="1176" t="s">
        <v>674</v>
      </c>
      <c r="L498" s="1178" t="s">
        <v>1121</v>
      </c>
      <c r="M498" s="1179">
        <v>1030000000</v>
      </c>
      <c r="N498" s="1175" t="s">
        <v>724</v>
      </c>
      <c r="O498" s="1175" t="s">
        <v>1473</v>
      </c>
    </row>
    <row r="499" spans="1:18" s="1159" customFormat="1" ht="75" x14ac:dyDescent="0.35">
      <c r="A499" s="1182">
        <v>2022493</v>
      </c>
      <c r="B499" s="1182">
        <v>7658</v>
      </c>
      <c r="C499" s="1182" t="s">
        <v>679</v>
      </c>
      <c r="D499" s="1227" t="s">
        <v>698</v>
      </c>
      <c r="E499" s="1236" t="s">
        <v>1122</v>
      </c>
      <c r="F499" s="1185" t="s">
        <v>1123</v>
      </c>
      <c r="G499" s="1245" t="s">
        <v>1414</v>
      </c>
      <c r="H499" s="1245" t="s">
        <v>1424</v>
      </c>
      <c r="I499" s="1239" t="s">
        <v>1554</v>
      </c>
      <c r="J499" s="1240" t="s">
        <v>1510</v>
      </c>
      <c r="K499" s="1184" t="s">
        <v>674</v>
      </c>
      <c r="L499" s="1183" t="s">
        <v>981</v>
      </c>
      <c r="M499" s="1186">
        <f>400000000-175000000-8000000</f>
        <v>217000000</v>
      </c>
      <c r="N499" s="1185" t="s">
        <v>724</v>
      </c>
      <c r="O499" s="1185" t="s">
        <v>1473</v>
      </c>
      <c r="R499" s="1180"/>
    </row>
    <row r="500" spans="1:18" s="1159" customFormat="1" ht="75" x14ac:dyDescent="0.35">
      <c r="A500" s="1172">
        <v>2022494</v>
      </c>
      <c r="B500" s="1172">
        <v>7658</v>
      </c>
      <c r="C500" s="1172" t="s">
        <v>679</v>
      </c>
      <c r="D500" s="1190" t="s">
        <v>698</v>
      </c>
      <c r="E500" s="1234" t="s">
        <v>1556</v>
      </c>
      <c r="F500" s="1175" t="s">
        <v>1557</v>
      </c>
      <c r="G500" s="1193" t="s">
        <v>1414</v>
      </c>
      <c r="H500" s="1193" t="s">
        <v>1424</v>
      </c>
      <c r="I500" s="1194" t="s">
        <v>1469</v>
      </c>
      <c r="J500" s="1195" t="s">
        <v>1558</v>
      </c>
      <c r="K500" s="1176" t="s">
        <v>674</v>
      </c>
      <c r="L500" s="1233" t="s">
        <v>957</v>
      </c>
      <c r="M500" s="1179">
        <v>50000000</v>
      </c>
      <c r="N500" s="1175" t="s">
        <v>724</v>
      </c>
      <c r="O500" s="1175" t="s">
        <v>1473</v>
      </c>
    </row>
    <row r="501" spans="1:18" s="1159" customFormat="1" ht="75" x14ac:dyDescent="0.35">
      <c r="A501" s="1172">
        <v>2022495</v>
      </c>
      <c r="B501" s="1172">
        <v>7658</v>
      </c>
      <c r="C501" s="1172" t="s">
        <v>679</v>
      </c>
      <c r="D501" s="1190" t="s">
        <v>698</v>
      </c>
      <c r="E501" s="1234">
        <v>78181505</v>
      </c>
      <c r="F501" s="1175" t="s">
        <v>1124</v>
      </c>
      <c r="G501" s="1193" t="s">
        <v>1414</v>
      </c>
      <c r="H501" s="1193" t="s">
        <v>1424</v>
      </c>
      <c r="I501" s="1194" t="s">
        <v>1417</v>
      </c>
      <c r="J501" s="1195" t="s">
        <v>1510</v>
      </c>
      <c r="K501" s="1176" t="s">
        <v>674</v>
      </c>
      <c r="L501" s="1178" t="s">
        <v>981</v>
      </c>
      <c r="M501" s="1179">
        <v>80000000</v>
      </c>
      <c r="N501" s="1175" t="s">
        <v>724</v>
      </c>
      <c r="O501" s="1175" t="s">
        <v>1473</v>
      </c>
    </row>
    <row r="502" spans="1:18" s="1159" customFormat="1" ht="75" x14ac:dyDescent="0.35">
      <c r="A502" s="1172">
        <v>2022496</v>
      </c>
      <c r="B502" s="1172">
        <v>7658</v>
      </c>
      <c r="C502" s="1172" t="s">
        <v>679</v>
      </c>
      <c r="D502" s="1190" t="s">
        <v>698</v>
      </c>
      <c r="E502" s="1234" t="s">
        <v>1125</v>
      </c>
      <c r="F502" s="1175" t="s">
        <v>1126</v>
      </c>
      <c r="G502" s="1193" t="s">
        <v>1414</v>
      </c>
      <c r="H502" s="1193" t="s">
        <v>1424</v>
      </c>
      <c r="I502" s="1194" t="s">
        <v>1554</v>
      </c>
      <c r="J502" s="1195" t="s">
        <v>1510</v>
      </c>
      <c r="K502" s="1176" t="s">
        <v>674</v>
      </c>
      <c r="L502" s="1178" t="s">
        <v>981</v>
      </c>
      <c r="M502" s="1179">
        <v>150000000</v>
      </c>
      <c r="N502" s="1175" t="s">
        <v>724</v>
      </c>
      <c r="O502" s="1175" t="s">
        <v>1473</v>
      </c>
    </row>
    <row r="503" spans="1:18" s="1159" customFormat="1" ht="75" x14ac:dyDescent="0.35">
      <c r="A503" s="1172">
        <v>2022497</v>
      </c>
      <c r="B503" s="1172">
        <v>7658</v>
      </c>
      <c r="C503" s="1172" t="s">
        <v>679</v>
      </c>
      <c r="D503" s="1190" t="s">
        <v>698</v>
      </c>
      <c r="E503" s="1234">
        <v>72101509</v>
      </c>
      <c r="F503" s="1175" t="s">
        <v>1127</v>
      </c>
      <c r="G503" s="1193" t="s">
        <v>1414</v>
      </c>
      <c r="H503" s="1193" t="s">
        <v>1424</v>
      </c>
      <c r="I503" s="1194" t="s">
        <v>1554</v>
      </c>
      <c r="J503" s="1195" t="s">
        <v>1510</v>
      </c>
      <c r="K503" s="1176" t="s">
        <v>674</v>
      </c>
      <c r="L503" s="1178" t="s">
        <v>981</v>
      </c>
      <c r="M503" s="1179">
        <v>350000000</v>
      </c>
      <c r="N503" s="1175" t="s">
        <v>724</v>
      </c>
      <c r="O503" s="1175" t="s">
        <v>1473</v>
      </c>
    </row>
    <row r="504" spans="1:18" s="1159" customFormat="1" ht="75" x14ac:dyDescent="0.35">
      <c r="A504" s="1172">
        <v>2022498</v>
      </c>
      <c r="B504" s="1172">
        <v>7658</v>
      </c>
      <c r="C504" s="1172" t="s">
        <v>679</v>
      </c>
      <c r="D504" s="1190" t="s">
        <v>698</v>
      </c>
      <c r="E504" s="1234">
        <v>72101509</v>
      </c>
      <c r="F504" s="1175" t="s">
        <v>1559</v>
      </c>
      <c r="G504" s="1193" t="s">
        <v>1414</v>
      </c>
      <c r="H504" s="1193" t="s">
        <v>1424</v>
      </c>
      <c r="I504" s="1194" t="s">
        <v>1554</v>
      </c>
      <c r="J504" s="1195" t="s">
        <v>1560</v>
      </c>
      <c r="K504" s="1176" t="s">
        <v>674</v>
      </c>
      <c r="L504" s="1178" t="s">
        <v>981</v>
      </c>
      <c r="M504" s="1179">
        <v>300000000</v>
      </c>
      <c r="N504" s="1175" t="s">
        <v>724</v>
      </c>
      <c r="O504" s="1175" t="s">
        <v>1473</v>
      </c>
    </row>
    <row r="505" spans="1:18" s="1159" customFormat="1" ht="75" x14ac:dyDescent="0.35">
      <c r="A505" s="1182">
        <v>2022499</v>
      </c>
      <c r="B505" s="1182">
        <v>7658</v>
      </c>
      <c r="C505" s="1182" t="s">
        <v>679</v>
      </c>
      <c r="D505" s="1227" t="s">
        <v>698</v>
      </c>
      <c r="E505" s="1236">
        <v>78111800</v>
      </c>
      <c r="F505" s="1185" t="s">
        <v>1129</v>
      </c>
      <c r="G505" s="1245" t="s">
        <v>1414</v>
      </c>
      <c r="H505" s="1245" t="s">
        <v>1424</v>
      </c>
      <c r="I505" s="1239" t="s">
        <v>1554</v>
      </c>
      <c r="J505" s="1240" t="s">
        <v>1475</v>
      </c>
      <c r="K505" s="1184" t="s">
        <v>674</v>
      </c>
      <c r="L505" s="1247" t="s">
        <v>1130</v>
      </c>
      <c r="M505" s="1186">
        <f>600000000-100000000</f>
        <v>500000000</v>
      </c>
      <c r="N505" s="1185" t="s">
        <v>724</v>
      </c>
      <c r="O505" s="1185" t="s">
        <v>1473</v>
      </c>
      <c r="R505" s="1180"/>
    </row>
    <row r="506" spans="1:18" s="1159" customFormat="1" ht="75" x14ac:dyDescent="0.3">
      <c r="A506" s="1182">
        <v>2022500</v>
      </c>
      <c r="B506" s="1182">
        <v>7658</v>
      </c>
      <c r="C506" s="1265" t="s">
        <v>679</v>
      </c>
      <c r="D506" s="1227" t="s">
        <v>698</v>
      </c>
      <c r="E506" s="1236"/>
      <c r="F506" s="1185" t="s">
        <v>1131</v>
      </c>
      <c r="G506" s="1245" t="s">
        <v>1414</v>
      </c>
      <c r="H506" s="1245" t="s">
        <v>1424</v>
      </c>
      <c r="I506" s="1239" t="s">
        <v>1554</v>
      </c>
      <c r="J506" s="1266"/>
      <c r="K506" s="1184" t="s">
        <v>674</v>
      </c>
      <c r="L506" s="1267" t="s">
        <v>675</v>
      </c>
      <c r="M506" s="1188">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185" t="s">
        <v>1551</v>
      </c>
      <c r="O506" s="1185" t="s">
        <v>1473</v>
      </c>
      <c r="R506" s="1180"/>
    </row>
    <row r="507" spans="1:18" s="1159" customFormat="1" ht="75" x14ac:dyDescent="0.35">
      <c r="A507" s="1172">
        <v>2022501</v>
      </c>
      <c r="B507" s="1172">
        <v>7658</v>
      </c>
      <c r="C507" s="1268" t="s">
        <v>679</v>
      </c>
      <c r="D507" s="1190" t="s">
        <v>698</v>
      </c>
      <c r="E507" s="1234" t="s">
        <v>1132</v>
      </c>
      <c r="F507" s="1175" t="s">
        <v>1133</v>
      </c>
      <c r="G507" s="1193" t="s">
        <v>1414</v>
      </c>
      <c r="H507" s="1193" t="s">
        <v>1424</v>
      </c>
      <c r="I507" s="1194" t="s">
        <v>1554</v>
      </c>
      <c r="J507" s="1195" t="s">
        <v>1326</v>
      </c>
      <c r="K507" s="1176" t="s">
        <v>770</v>
      </c>
      <c r="L507" s="1178" t="s">
        <v>1492</v>
      </c>
      <c r="M507" s="1179">
        <v>437560000</v>
      </c>
      <c r="N507" s="1175" t="s">
        <v>724</v>
      </c>
      <c r="O507" s="1175" t="s">
        <v>1473</v>
      </c>
    </row>
    <row r="508" spans="1:18" s="1159" customFormat="1" ht="75" x14ac:dyDescent="0.35">
      <c r="A508" s="1182">
        <v>2022502</v>
      </c>
      <c r="B508" s="1182">
        <v>7658</v>
      </c>
      <c r="C508" s="1265" t="s">
        <v>679</v>
      </c>
      <c r="D508" s="1227" t="s">
        <v>698</v>
      </c>
      <c r="E508" s="1236">
        <v>80111600</v>
      </c>
      <c r="F508" s="1185" t="s">
        <v>1134</v>
      </c>
      <c r="G508" s="1245" t="s">
        <v>1414</v>
      </c>
      <c r="H508" s="1246" t="s">
        <v>1414</v>
      </c>
      <c r="I508" s="1239" t="s">
        <v>1467</v>
      </c>
      <c r="J508" s="1240" t="s">
        <v>1455</v>
      </c>
      <c r="K508" s="1184" t="s">
        <v>674</v>
      </c>
      <c r="L508" s="1183" t="s">
        <v>675</v>
      </c>
      <c r="M508" s="1186">
        <f>98900000-4300000</f>
        <v>94600000</v>
      </c>
      <c r="N508" s="1185" t="s">
        <v>724</v>
      </c>
      <c r="O508" s="1185" t="s">
        <v>1473</v>
      </c>
      <c r="R508" s="1180"/>
    </row>
    <row r="509" spans="1:18" s="1159" customFormat="1" ht="75" x14ac:dyDescent="0.35">
      <c r="A509" s="1182">
        <v>2022503</v>
      </c>
      <c r="B509" s="1182">
        <v>7658</v>
      </c>
      <c r="C509" s="1265" t="s">
        <v>679</v>
      </c>
      <c r="D509" s="1227" t="s">
        <v>698</v>
      </c>
      <c r="E509" s="1236">
        <v>80111600</v>
      </c>
      <c r="F509" s="1185" t="s">
        <v>1135</v>
      </c>
      <c r="G509" s="1245" t="s">
        <v>1414</v>
      </c>
      <c r="H509" s="1246" t="s">
        <v>1414</v>
      </c>
      <c r="I509" s="1239" t="s">
        <v>1467</v>
      </c>
      <c r="J509" s="1240" t="s">
        <v>1455</v>
      </c>
      <c r="K509" s="1184" t="s">
        <v>674</v>
      </c>
      <c r="L509" s="1183" t="s">
        <v>675</v>
      </c>
      <c r="M509" s="1186">
        <f>97175000-4225000</f>
        <v>92950000</v>
      </c>
      <c r="N509" s="1185" t="s">
        <v>724</v>
      </c>
      <c r="O509" s="1185" t="s">
        <v>1473</v>
      </c>
      <c r="R509" s="1180"/>
    </row>
    <row r="510" spans="1:18" s="1159" customFormat="1" ht="90" customHeight="1" x14ac:dyDescent="0.35">
      <c r="A510" s="1182">
        <v>2022504</v>
      </c>
      <c r="B510" s="1182">
        <v>7658</v>
      </c>
      <c r="C510" s="1265" t="s">
        <v>679</v>
      </c>
      <c r="D510" s="1227" t="s">
        <v>698</v>
      </c>
      <c r="E510" s="1236">
        <v>80111600</v>
      </c>
      <c r="F510" s="1185" t="s">
        <v>1136</v>
      </c>
      <c r="G510" s="1245" t="s">
        <v>1414</v>
      </c>
      <c r="H510" s="1246" t="s">
        <v>1414</v>
      </c>
      <c r="I510" s="1239" t="s">
        <v>1467</v>
      </c>
      <c r="J510" s="1240" t="s">
        <v>1455</v>
      </c>
      <c r="K510" s="1184" t="s">
        <v>674</v>
      </c>
      <c r="L510" s="1183" t="s">
        <v>782</v>
      </c>
      <c r="M510" s="1186">
        <f>103500000-4500000</f>
        <v>99000000</v>
      </c>
      <c r="N510" s="1185" t="s">
        <v>724</v>
      </c>
      <c r="O510" s="1185" t="s">
        <v>1473</v>
      </c>
      <c r="R510" s="1180"/>
    </row>
    <row r="511" spans="1:18" s="1159" customFormat="1" ht="75" x14ac:dyDescent="0.35">
      <c r="A511" s="1182">
        <v>2022505</v>
      </c>
      <c r="B511" s="1182">
        <v>7658</v>
      </c>
      <c r="C511" s="1265" t="s">
        <v>679</v>
      </c>
      <c r="D511" s="1227" t="s">
        <v>698</v>
      </c>
      <c r="E511" s="1236">
        <v>80111600</v>
      </c>
      <c r="F511" s="1185" t="s">
        <v>1137</v>
      </c>
      <c r="G511" s="1245" t="s">
        <v>1414</v>
      </c>
      <c r="H511" s="1246" t="s">
        <v>1414</v>
      </c>
      <c r="I511" s="1239" t="s">
        <v>1467</v>
      </c>
      <c r="J511" s="1240" t="s">
        <v>1455</v>
      </c>
      <c r="K511" s="1184" t="s">
        <v>674</v>
      </c>
      <c r="L511" s="1183" t="s">
        <v>675</v>
      </c>
      <c r="M511" s="1186">
        <f>94760000-4120000</f>
        <v>90640000</v>
      </c>
      <c r="N511" s="1185" t="s">
        <v>1551</v>
      </c>
      <c r="O511" s="1185" t="s">
        <v>1473</v>
      </c>
      <c r="R511" s="1180"/>
    </row>
    <row r="512" spans="1:18" s="1159" customFormat="1" ht="75" x14ac:dyDescent="0.35">
      <c r="A512" s="1182">
        <v>2022506</v>
      </c>
      <c r="B512" s="1182">
        <v>7658</v>
      </c>
      <c r="C512" s="1265" t="s">
        <v>679</v>
      </c>
      <c r="D512" s="1227" t="s">
        <v>698</v>
      </c>
      <c r="E512" s="1236">
        <v>80111600</v>
      </c>
      <c r="F512" s="1185" t="s">
        <v>1138</v>
      </c>
      <c r="G512" s="1245" t="s">
        <v>1414</v>
      </c>
      <c r="H512" s="1246" t="s">
        <v>1414</v>
      </c>
      <c r="I512" s="1239" t="s">
        <v>1467</v>
      </c>
      <c r="J512" s="1240" t="s">
        <v>1455</v>
      </c>
      <c r="K512" s="1184" t="s">
        <v>674</v>
      </c>
      <c r="L512" s="1184" t="s">
        <v>675</v>
      </c>
      <c r="M512" s="1186">
        <f>97175000-20700000-13225000-2750000</f>
        <v>60500000</v>
      </c>
      <c r="N512" s="1185" t="s">
        <v>724</v>
      </c>
      <c r="O512" s="1185" t="s">
        <v>1473</v>
      </c>
      <c r="R512" s="1180"/>
    </row>
    <row r="513" spans="1:18" s="1159" customFormat="1" ht="75" x14ac:dyDescent="0.35">
      <c r="A513" s="1182">
        <v>2022507</v>
      </c>
      <c r="B513" s="1182">
        <v>7658</v>
      </c>
      <c r="C513" s="1265" t="s">
        <v>679</v>
      </c>
      <c r="D513" s="1227" t="s">
        <v>698</v>
      </c>
      <c r="E513" s="1236">
        <v>80111600</v>
      </c>
      <c r="F513" s="1185" t="s">
        <v>1139</v>
      </c>
      <c r="G513" s="1245" t="s">
        <v>1414</v>
      </c>
      <c r="H513" s="1246" t="s">
        <v>1414</v>
      </c>
      <c r="I513" s="1239" t="s">
        <v>1467</v>
      </c>
      <c r="J513" s="1240" t="s">
        <v>1455</v>
      </c>
      <c r="K513" s="1184" t="s">
        <v>674</v>
      </c>
      <c r="L513" s="1183" t="s">
        <v>675</v>
      </c>
      <c r="M513" s="1186">
        <f>82915000-3605000</f>
        <v>79310000</v>
      </c>
      <c r="N513" s="1185" t="s">
        <v>724</v>
      </c>
      <c r="O513" s="1185" t="s">
        <v>1473</v>
      </c>
      <c r="R513" s="1180"/>
    </row>
    <row r="514" spans="1:18" s="1159" customFormat="1" ht="75" x14ac:dyDescent="0.35">
      <c r="A514" s="1172">
        <v>2022508</v>
      </c>
      <c r="B514" s="1172">
        <v>7658</v>
      </c>
      <c r="C514" s="1268" t="s">
        <v>679</v>
      </c>
      <c r="D514" s="1190" t="s">
        <v>698</v>
      </c>
      <c r="E514" s="1234">
        <v>80111600</v>
      </c>
      <c r="F514" s="1175" t="s">
        <v>1140</v>
      </c>
      <c r="G514" s="1193" t="s">
        <v>1414</v>
      </c>
      <c r="H514" s="1212" t="s">
        <v>1414</v>
      </c>
      <c r="I514" s="1194" t="s">
        <v>1467</v>
      </c>
      <c r="J514" s="1195" t="s">
        <v>1455</v>
      </c>
      <c r="K514" s="1176" t="s">
        <v>674</v>
      </c>
      <c r="L514" s="1178" t="s">
        <v>675</v>
      </c>
      <c r="M514" s="1179">
        <v>32200000</v>
      </c>
      <c r="N514" s="1175" t="s">
        <v>724</v>
      </c>
      <c r="O514" s="1175" t="s">
        <v>1473</v>
      </c>
    </row>
    <row r="515" spans="1:18" s="1159" customFormat="1" ht="90" customHeight="1" x14ac:dyDescent="0.35">
      <c r="A515" s="1182">
        <v>2022509</v>
      </c>
      <c r="B515" s="1182">
        <v>7658</v>
      </c>
      <c r="C515" s="1265" t="s">
        <v>679</v>
      </c>
      <c r="D515" s="1227" t="s">
        <v>698</v>
      </c>
      <c r="E515" s="1236">
        <v>80111600</v>
      </c>
      <c r="F515" s="1185" t="s">
        <v>1141</v>
      </c>
      <c r="G515" s="1245" t="s">
        <v>1414</v>
      </c>
      <c r="H515" s="1246" t="s">
        <v>1414</v>
      </c>
      <c r="I515" s="1239" t="s">
        <v>1467</v>
      </c>
      <c r="J515" s="1240" t="s">
        <v>1455</v>
      </c>
      <c r="K515" s="1184" t="s">
        <v>674</v>
      </c>
      <c r="L515" s="1183" t="s">
        <v>675</v>
      </c>
      <c r="M515" s="1186">
        <f>36685000-1595000</f>
        <v>35090000</v>
      </c>
      <c r="N515" s="1185" t="s">
        <v>1551</v>
      </c>
      <c r="O515" s="1185" t="s">
        <v>1473</v>
      </c>
      <c r="R515" s="1180"/>
    </row>
    <row r="516" spans="1:18" s="1159" customFormat="1" ht="90" customHeight="1" x14ac:dyDescent="0.35">
      <c r="A516" s="1182">
        <v>2022510</v>
      </c>
      <c r="B516" s="1182">
        <v>7658</v>
      </c>
      <c r="C516" s="1265" t="s">
        <v>679</v>
      </c>
      <c r="D516" s="1227" t="s">
        <v>698</v>
      </c>
      <c r="E516" s="1236">
        <v>80111600</v>
      </c>
      <c r="F516" s="1185" t="s">
        <v>1142</v>
      </c>
      <c r="G516" s="1245" t="s">
        <v>1414</v>
      </c>
      <c r="H516" s="1246" t="s">
        <v>1414</v>
      </c>
      <c r="I516" s="1239" t="s">
        <v>1467</v>
      </c>
      <c r="J516" s="1240" t="s">
        <v>1455</v>
      </c>
      <c r="K516" s="1184" t="s">
        <v>674</v>
      </c>
      <c r="L516" s="1183" t="s">
        <v>675</v>
      </c>
      <c r="M516" s="1186">
        <f>97175000-4225000</f>
        <v>92950000</v>
      </c>
      <c r="N516" s="1185" t="s">
        <v>1551</v>
      </c>
      <c r="O516" s="1185" t="s">
        <v>1473</v>
      </c>
      <c r="R516" s="1180"/>
    </row>
    <row r="517" spans="1:18" s="1159" customFormat="1" ht="90" customHeight="1" x14ac:dyDescent="0.35">
      <c r="A517" s="1182">
        <v>2022511</v>
      </c>
      <c r="B517" s="1182">
        <v>7658</v>
      </c>
      <c r="C517" s="1265" t="s">
        <v>679</v>
      </c>
      <c r="D517" s="1227" t="s">
        <v>698</v>
      </c>
      <c r="E517" s="1236">
        <v>80111600</v>
      </c>
      <c r="F517" s="1185" t="s">
        <v>1143</v>
      </c>
      <c r="G517" s="1245" t="s">
        <v>1414</v>
      </c>
      <c r="H517" s="1246" t="s">
        <v>1414</v>
      </c>
      <c r="I517" s="1239" t="s">
        <v>1467</v>
      </c>
      <c r="J517" s="1240" t="s">
        <v>1455</v>
      </c>
      <c r="K517" s="1184" t="s">
        <v>674</v>
      </c>
      <c r="L517" s="1183" t="s">
        <v>675</v>
      </c>
      <c r="M517" s="1186">
        <f>45655000-1985000</f>
        <v>43670000</v>
      </c>
      <c r="N517" s="1185" t="s">
        <v>1551</v>
      </c>
      <c r="O517" s="1185" t="s">
        <v>1473</v>
      </c>
      <c r="R517" s="1180"/>
    </row>
    <row r="518" spans="1:18" s="1159" customFormat="1" ht="90" customHeight="1" x14ac:dyDescent="0.35">
      <c r="A518" s="1182">
        <v>2022512</v>
      </c>
      <c r="B518" s="1182">
        <v>7658</v>
      </c>
      <c r="C518" s="1265" t="s">
        <v>679</v>
      </c>
      <c r="D518" s="1227" t="s">
        <v>698</v>
      </c>
      <c r="E518" s="1236">
        <v>80111600</v>
      </c>
      <c r="F518" s="1185" t="s">
        <v>1139</v>
      </c>
      <c r="G518" s="1245" t="s">
        <v>1414</v>
      </c>
      <c r="H518" s="1246" t="s">
        <v>1414</v>
      </c>
      <c r="I518" s="1239" t="s">
        <v>1467</v>
      </c>
      <c r="J518" s="1240" t="s">
        <v>1455</v>
      </c>
      <c r="K518" s="1184" t="s">
        <v>674</v>
      </c>
      <c r="L518" s="1183" t="s">
        <v>675</v>
      </c>
      <c r="M518" s="1186">
        <f>82915000-3605000</f>
        <v>79310000</v>
      </c>
      <c r="N518" s="1185" t="s">
        <v>724</v>
      </c>
      <c r="O518" s="1185" t="s">
        <v>1473</v>
      </c>
      <c r="R518" s="1180"/>
    </row>
    <row r="519" spans="1:18" s="1159" customFormat="1" ht="90" customHeight="1" x14ac:dyDescent="0.35">
      <c r="A519" s="1182">
        <v>2022513</v>
      </c>
      <c r="B519" s="1182">
        <v>7658</v>
      </c>
      <c r="C519" s="1265" t="s">
        <v>679</v>
      </c>
      <c r="D519" s="1227" t="s">
        <v>698</v>
      </c>
      <c r="E519" s="1236">
        <v>80111600</v>
      </c>
      <c r="F519" s="1185" t="s">
        <v>1561</v>
      </c>
      <c r="G519" s="1245" t="s">
        <v>1414</v>
      </c>
      <c r="H519" s="1246" t="s">
        <v>1414</v>
      </c>
      <c r="I519" s="1239" t="s">
        <v>1467</v>
      </c>
      <c r="J519" s="1240" t="s">
        <v>1455</v>
      </c>
      <c r="K519" s="1184" t="s">
        <v>674</v>
      </c>
      <c r="L519" s="1183" t="s">
        <v>675</v>
      </c>
      <c r="M519" s="1186">
        <f>28175000-28175000</f>
        <v>0</v>
      </c>
      <c r="N519" s="1185" t="s">
        <v>724</v>
      </c>
      <c r="O519" s="1185" t="s">
        <v>1473</v>
      </c>
      <c r="P519" s="1269"/>
      <c r="R519" s="1180"/>
    </row>
    <row r="520" spans="1:18" s="1159" customFormat="1" ht="90" customHeight="1" x14ac:dyDescent="0.35">
      <c r="A520" s="1182">
        <v>2022514</v>
      </c>
      <c r="B520" s="1182">
        <v>7658</v>
      </c>
      <c r="C520" s="1265" t="s">
        <v>679</v>
      </c>
      <c r="D520" s="1227" t="s">
        <v>698</v>
      </c>
      <c r="E520" s="1236">
        <v>80111600</v>
      </c>
      <c r="F520" s="1185" t="s">
        <v>1145</v>
      </c>
      <c r="G520" s="1245" t="s">
        <v>1414</v>
      </c>
      <c r="H520" s="1246" t="s">
        <v>1414</v>
      </c>
      <c r="I520" s="1239" t="s">
        <v>1467</v>
      </c>
      <c r="J520" s="1240" t="s">
        <v>1455</v>
      </c>
      <c r="K520" s="1184" t="s">
        <v>674</v>
      </c>
      <c r="L520" s="1183" t="s">
        <v>675</v>
      </c>
      <c r="M520" s="1186">
        <f>45655000-1985000</f>
        <v>43670000</v>
      </c>
      <c r="N520" s="1185" t="s">
        <v>1551</v>
      </c>
      <c r="O520" s="1185" t="s">
        <v>1473</v>
      </c>
      <c r="R520" s="1180"/>
    </row>
    <row r="521" spans="1:18" s="1159" customFormat="1" ht="75" x14ac:dyDescent="0.35">
      <c r="A521" s="1182">
        <v>2022515</v>
      </c>
      <c r="B521" s="1182">
        <v>7658</v>
      </c>
      <c r="C521" s="1265" t="s">
        <v>679</v>
      </c>
      <c r="D521" s="1227" t="s">
        <v>698</v>
      </c>
      <c r="E521" s="1236">
        <v>80111600</v>
      </c>
      <c r="F521" s="1185" t="s">
        <v>1146</v>
      </c>
      <c r="G521" s="1245" t="s">
        <v>1414</v>
      </c>
      <c r="H521" s="1246" t="s">
        <v>1414</v>
      </c>
      <c r="I521" s="1239" t="s">
        <v>1467</v>
      </c>
      <c r="J521" s="1240" t="s">
        <v>1455</v>
      </c>
      <c r="K521" s="1184" t="s">
        <v>674</v>
      </c>
      <c r="L521" s="1183" t="s">
        <v>675</v>
      </c>
      <c r="M521" s="1186">
        <f>36685000-1595000</f>
        <v>35090000</v>
      </c>
      <c r="N521" s="1185" t="s">
        <v>724</v>
      </c>
      <c r="O521" s="1185" t="s">
        <v>1473</v>
      </c>
      <c r="R521" s="1180"/>
    </row>
    <row r="522" spans="1:18" s="1159" customFormat="1" ht="75" x14ac:dyDescent="0.35">
      <c r="A522" s="1182">
        <v>2022516</v>
      </c>
      <c r="B522" s="1182">
        <v>7658</v>
      </c>
      <c r="C522" s="1265" t="s">
        <v>679</v>
      </c>
      <c r="D522" s="1227" t="s">
        <v>698</v>
      </c>
      <c r="E522" s="1236">
        <v>80111600</v>
      </c>
      <c r="F522" s="1185" t="s">
        <v>1147</v>
      </c>
      <c r="G522" s="1245" t="s">
        <v>1414</v>
      </c>
      <c r="H522" s="1246" t="s">
        <v>1414</v>
      </c>
      <c r="I522" s="1239" t="s">
        <v>1467</v>
      </c>
      <c r="J522" s="1240" t="s">
        <v>1455</v>
      </c>
      <c r="K522" s="1184" t="s">
        <v>674</v>
      </c>
      <c r="L522" s="1183" t="s">
        <v>675</v>
      </c>
      <c r="M522" s="1186">
        <f>28175000-1225000</f>
        <v>26950000</v>
      </c>
      <c r="N522" s="1185" t="s">
        <v>1551</v>
      </c>
      <c r="O522" s="1185" t="s">
        <v>1473</v>
      </c>
      <c r="R522" s="1180"/>
    </row>
    <row r="523" spans="1:18" s="1159" customFormat="1" ht="75" x14ac:dyDescent="0.35">
      <c r="A523" s="1182">
        <v>2022517</v>
      </c>
      <c r="B523" s="1182">
        <v>7658</v>
      </c>
      <c r="C523" s="1265" t="s">
        <v>679</v>
      </c>
      <c r="D523" s="1227" t="s">
        <v>698</v>
      </c>
      <c r="E523" s="1236">
        <v>80111600</v>
      </c>
      <c r="F523" s="1185" t="s">
        <v>1148</v>
      </c>
      <c r="G523" s="1245" t="s">
        <v>1414</v>
      </c>
      <c r="H523" s="1246" t="s">
        <v>1414</v>
      </c>
      <c r="I523" s="1239" t="s">
        <v>1467</v>
      </c>
      <c r="J523" s="1240" t="s">
        <v>1455</v>
      </c>
      <c r="K523" s="1184" t="s">
        <v>674</v>
      </c>
      <c r="L523" s="1183" t="s">
        <v>675</v>
      </c>
      <c r="M523" s="1186">
        <f>36685000-1595000</f>
        <v>35090000</v>
      </c>
      <c r="N523" s="1185" t="s">
        <v>724</v>
      </c>
      <c r="O523" s="1185" t="s">
        <v>1473</v>
      </c>
      <c r="R523" s="1180"/>
    </row>
    <row r="524" spans="1:18" s="1159" customFormat="1" ht="90" x14ac:dyDescent="0.35">
      <c r="A524" s="1182">
        <v>2022518</v>
      </c>
      <c r="B524" s="1182">
        <v>7658</v>
      </c>
      <c r="C524" s="1265" t="s">
        <v>679</v>
      </c>
      <c r="D524" s="1227" t="s">
        <v>698</v>
      </c>
      <c r="E524" s="1236">
        <v>80111600</v>
      </c>
      <c r="F524" s="1185" t="s">
        <v>1149</v>
      </c>
      <c r="G524" s="1245" t="s">
        <v>1414</v>
      </c>
      <c r="H524" s="1246" t="s">
        <v>1414</v>
      </c>
      <c r="I524" s="1239" t="s">
        <v>1467</v>
      </c>
      <c r="J524" s="1240" t="s">
        <v>1455</v>
      </c>
      <c r="K524" s="1184" t="s">
        <v>674</v>
      </c>
      <c r="L524" s="1184" t="s">
        <v>675</v>
      </c>
      <c r="M524" s="1186">
        <f>51750000-50000</f>
        <v>51700000</v>
      </c>
      <c r="N524" s="1185" t="s">
        <v>724</v>
      </c>
      <c r="O524" s="1185" t="s">
        <v>1473</v>
      </c>
      <c r="R524" s="1180"/>
    </row>
    <row r="525" spans="1:18" s="1159" customFormat="1" ht="90" x14ac:dyDescent="0.35">
      <c r="A525" s="1182">
        <v>2022519</v>
      </c>
      <c r="B525" s="1182">
        <v>7658</v>
      </c>
      <c r="C525" s="1265" t="s">
        <v>679</v>
      </c>
      <c r="D525" s="1227" t="s">
        <v>698</v>
      </c>
      <c r="E525" s="1236">
        <v>80111600</v>
      </c>
      <c r="F525" s="1185" t="s">
        <v>1150</v>
      </c>
      <c r="G525" s="1245" t="s">
        <v>1414</v>
      </c>
      <c r="H525" s="1246" t="s">
        <v>1414</v>
      </c>
      <c r="I525" s="1239" t="s">
        <v>1467</v>
      </c>
      <c r="J525" s="1240" t="s">
        <v>1455</v>
      </c>
      <c r="K525" s="1184" t="s">
        <v>674</v>
      </c>
      <c r="L525" s="1183" t="s">
        <v>675</v>
      </c>
      <c r="M525" s="1186">
        <f>54050000-4550000</f>
        <v>49500000</v>
      </c>
      <c r="N525" s="1185" t="s">
        <v>1551</v>
      </c>
      <c r="O525" s="1185" t="s">
        <v>1473</v>
      </c>
      <c r="R525" s="1180"/>
    </row>
    <row r="526" spans="1:18" s="1159" customFormat="1" ht="75" x14ac:dyDescent="0.35">
      <c r="A526" s="1182">
        <v>2022520</v>
      </c>
      <c r="B526" s="1182">
        <v>7658</v>
      </c>
      <c r="C526" s="1265" t="s">
        <v>679</v>
      </c>
      <c r="D526" s="1227" t="s">
        <v>698</v>
      </c>
      <c r="E526" s="1236">
        <v>80111600</v>
      </c>
      <c r="F526" s="1185" t="s">
        <v>1151</v>
      </c>
      <c r="G526" s="1245" t="s">
        <v>1414</v>
      </c>
      <c r="H526" s="1246" t="s">
        <v>1414</v>
      </c>
      <c r="I526" s="1239" t="s">
        <v>1467</v>
      </c>
      <c r="J526" s="1240" t="s">
        <v>1455</v>
      </c>
      <c r="K526" s="1184" t="s">
        <v>674</v>
      </c>
      <c r="L526" s="1183" t="s">
        <v>675</v>
      </c>
      <c r="M526" s="1186">
        <f>51750000-2250000</f>
        <v>49500000</v>
      </c>
      <c r="N526" s="1185" t="s">
        <v>724</v>
      </c>
      <c r="O526" s="1185" t="s">
        <v>1473</v>
      </c>
      <c r="R526" s="1180"/>
    </row>
    <row r="527" spans="1:18" s="1159" customFormat="1" ht="75" x14ac:dyDescent="0.35">
      <c r="A527" s="1182">
        <v>2022521</v>
      </c>
      <c r="B527" s="1182">
        <v>7658</v>
      </c>
      <c r="C527" s="1265" t="s">
        <v>679</v>
      </c>
      <c r="D527" s="1227" t="s">
        <v>698</v>
      </c>
      <c r="E527" s="1236">
        <v>80111600</v>
      </c>
      <c r="F527" s="1185" t="s">
        <v>1152</v>
      </c>
      <c r="G527" s="1245" t="s">
        <v>1414</v>
      </c>
      <c r="H527" s="1246" t="s">
        <v>1414</v>
      </c>
      <c r="I527" s="1239" t="s">
        <v>1467</v>
      </c>
      <c r="J527" s="1240" t="s">
        <v>1455</v>
      </c>
      <c r="K527" s="1184" t="s">
        <v>674</v>
      </c>
      <c r="L527" s="1183" t="s">
        <v>675</v>
      </c>
      <c r="M527" s="1186">
        <f>45655000-1985000</f>
        <v>43670000</v>
      </c>
      <c r="N527" s="1185" t="s">
        <v>724</v>
      </c>
      <c r="O527" s="1185" t="s">
        <v>1473</v>
      </c>
      <c r="R527" s="1180"/>
    </row>
    <row r="528" spans="1:18" s="1159" customFormat="1" ht="75" x14ac:dyDescent="0.35">
      <c r="A528" s="1182">
        <v>2022522</v>
      </c>
      <c r="B528" s="1182">
        <v>7658</v>
      </c>
      <c r="C528" s="1265" t="s">
        <v>679</v>
      </c>
      <c r="D528" s="1227" t="s">
        <v>698</v>
      </c>
      <c r="E528" s="1236">
        <v>80111600</v>
      </c>
      <c r="F528" s="1185" t="s">
        <v>1139</v>
      </c>
      <c r="G528" s="1245" t="s">
        <v>1414</v>
      </c>
      <c r="H528" s="1246" t="s">
        <v>1414</v>
      </c>
      <c r="I528" s="1239" t="s">
        <v>1467</v>
      </c>
      <c r="J528" s="1240" t="s">
        <v>1455</v>
      </c>
      <c r="K528" s="1184" t="s">
        <v>674</v>
      </c>
      <c r="L528" s="1183" t="s">
        <v>675</v>
      </c>
      <c r="M528" s="1186">
        <f>82915000-3605000</f>
        <v>79310000</v>
      </c>
      <c r="N528" s="1185" t="s">
        <v>724</v>
      </c>
      <c r="O528" s="1185" t="s">
        <v>1473</v>
      </c>
      <c r="R528" s="1180"/>
    </row>
    <row r="529" spans="1:18" s="1159" customFormat="1" ht="75" x14ac:dyDescent="0.35">
      <c r="A529" s="1182">
        <v>2022523</v>
      </c>
      <c r="B529" s="1182">
        <v>7658</v>
      </c>
      <c r="C529" s="1265" t="s">
        <v>679</v>
      </c>
      <c r="D529" s="1227" t="s">
        <v>698</v>
      </c>
      <c r="E529" s="1236">
        <v>80111600</v>
      </c>
      <c r="F529" s="1185" t="s">
        <v>1153</v>
      </c>
      <c r="G529" s="1245" t="s">
        <v>1414</v>
      </c>
      <c r="H529" s="1246" t="s">
        <v>1414</v>
      </c>
      <c r="I529" s="1239" t="s">
        <v>1467</v>
      </c>
      <c r="J529" s="1240" t="s">
        <v>1455</v>
      </c>
      <c r="K529" s="1184" t="s">
        <v>674</v>
      </c>
      <c r="L529" s="1183" t="s">
        <v>782</v>
      </c>
      <c r="M529" s="1186">
        <f>54510000-2370000</f>
        <v>52140000</v>
      </c>
      <c r="N529" s="1185" t="s">
        <v>1551</v>
      </c>
      <c r="O529" s="1185" t="s">
        <v>1473</v>
      </c>
      <c r="R529" s="1180"/>
    </row>
    <row r="530" spans="1:18" s="1159" customFormat="1" ht="75" x14ac:dyDescent="0.35">
      <c r="A530" s="1182">
        <v>2022524</v>
      </c>
      <c r="B530" s="1182">
        <v>7658</v>
      </c>
      <c r="C530" s="1265" t="s">
        <v>679</v>
      </c>
      <c r="D530" s="1227" t="s">
        <v>698</v>
      </c>
      <c r="E530" s="1236">
        <v>80111600</v>
      </c>
      <c r="F530" s="1185" t="s">
        <v>1154</v>
      </c>
      <c r="G530" s="1245" t="s">
        <v>1414</v>
      </c>
      <c r="H530" s="1246" t="s">
        <v>1414</v>
      </c>
      <c r="I530" s="1239" t="s">
        <v>1467</v>
      </c>
      <c r="J530" s="1240" t="s">
        <v>1455</v>
      </c>
      <c r="K530" s="1184" t="s">
        <v>674</v>
      </c>
      <c r="L530" s="1183" t="s">
        <v>675</v>
      </c>
      <c r="M530" s="1186">
        <f>36685000-1595000</f>
        <v>35090000</v>
      </c>
      <c r="N530" s="1185" t="s">
        <v>724</v>
      </c>
      <c r="O530" s="1185" t="s">
        <v>1473</v>
      </c>
    </row>
    <row r="531" spans="1:18" s="1159" customFormat="1" ht="75" x14ac:dyDescent="0.35">
      <c r="A531" s="1182">
        <v>2022525</v>
      </c>
      <c r="B531" s="1182">
        <v>7658</v>
      </c>
      <c r="C531" s="1265" t="s">
        <v>679</v>
      </c>
      <c r="D531" s="1227" t="s">
        <v>698</v>
      </c>
      <c r="E531" s="1236">
        <v>80111600</v>
      </c>
      <c r="F531" s="1185" t="s">
        <v>1155</v>
      </c>
      <c r="G531" s="1245" t="s">
        <v>1414</v>
      </c>
      <c r="H531" s="1246" t="s">
        <v>1414</v>
      </c>
      <c r="I531" s="1239" t="s">
        <v>1467</v>
      </c>
      <c r="J531" s="1240" t="s">
        <v>1455</v>
      </c>
      <c r="K531" s="1184" t="s">
        <v>674</v>
      </c>
      <c r="L531" s="1183" t="s">
        <v>675</v>
      </c>
      <c r="M531" s="1186">
        <f>54050000-2350000</f>
        <v>51700000</v>
      </c>
      <c r="N531" s="1185" t="s">
        <v>724</v>
      </c>
      <c r="O531" s="1185" t="s">
        <v>1473</v>
      </c>
    </row>
    <row r="532" spans="1:18" s="1159" customFormat="1" ht="75" x14ac:dyDescent="0.35">
      <c r="A532" s="1182">
        <v>2022526</v>
      </c>
      <c r="B532" s="1182">
        <v>7658</v>
      </c>
      <c r="C532" s="1265" t="s">
        <v>679</v>
      </c>
      <c r="D532" s="1227" t="s">
        <v>698</v>
      </c>
      <c r="E532" s="1236">
        <v>80111600</v>
      </c>
      <c r="F532" s="1185" t="s">
        <v>1156</v>
      </c>
      <c r="G532" s="1245" t="s">
        <v>1414</v>
      </c>
      <c r="H532" s="1246" t="s">
        <v>1414</v>
      </c>
      <c r="I532" s="1239" t="s">
        <v>1467</v>
      </c>
      <c r="J532" s="1240" t="s">
        <v>1455</v>
      </c>
      <c r="K532" s="1184" t="s">
        <v>674</v>
      </c>
      <c r="L532" s="1183" t="s">
        <v>675</v>
      </c>
      <c r="M532" s="1186">
        <f>28175000-1225000</f>
        <v>26950000</v>
      </c>
      <c r="N532" s="1185" t="s">
        <v>724</v>
      </c>
      <c r="O532" s="1185" t="s">
        <v>1473</v>
      </c>
    </row>
    <row r="533" spans="1:18" s="1159" customFormat="1" ht="75" x14ac:dyDescent="0.35">
      <c r="A533" s="1182">
        <v>2022527</v>
      </c>
      <c r="B533" s="1182">
        <v>7658</v>
      </c>
      <c r="C533" s="1265" t="s">
        <v>679</v>
      </c>
      <c r="D533" s="1227" t="s">
        <v>698</v>
      </c>
      <c r="E533" s="1236">
        <v>80111600</v>
      </c>
      <c r="F533" s="1185" t="s">
        <v>1157</v>
      </c>
      <c r="G533" s="1245" t="s">
        <v>1414</v>
      </c>
      <c r="H533" s="1246" t="s">
        <v>1414</v>
      </c>
      <c r="I533" s="1239" t="s">
        <v>1467</v>
      </c>
      <c r="J533" s="1240" t="s">
        <v>1455</v>
      </c>
      <c r="K533" s="1184" t="s">
        <v>674</v>
      </c>
      <c r="L533" s="1183" t="s">
        <v>675</v>
      </c>
      <c r="M533" s="1188">
        <f>36685000+28175000-6435000</f>
        <v>58425000</v>
      </c>
      <c r="N533" s="1185" t="s">
        <v>724</v>
      </c>
      <c r="O533" s="1185" t="s">
        <v>1473</v>
      </c>
      <c r="P533" s="1248"/>
    </row>
    <row r="534" spans="1:18" s="1159" customFormat="1" ht="75" x14ac:dyDescent="0.35">
      <c r="A534" s="1182">
        <v>2022528</v>
      </c>
      <c r="B534" s="1182">
        <v>7658</v>
      </c>
      <c r="C534" s="1265" t="s">
        <v>679</v>
      </c>
      <c r="D534" s="1227" t="s">
        <v>698</v>
      </c>
      <c r="E534" s="1236">
        <v>80111600</v>
      </c>
      <c r="F534" s="1185" t="s">
        <v>1158</v>
      </c>
      <c r="G534" s="1245" t="s">
        <v>1414</v>
      </c>
      <c r="H534" s="1246" t="s">
        <v>1414</v>
      </c>
      <c r="I534" s="1239" t="s">
        <v>1467</v>
      </c>
      <c r="J534" s="1240" t="s">
        <v>1455</v>
      </c>
      <c r="K534" s="1184" t="s">
        <v>674</v>
      </c>
      <c r="L534" s="1183" t="s">
        <v>675</v>
      </c>
      <c r="M534" s="1186">
        <f>51750000-2250000</f>
        <v>49500000</v>
      </c>
      <c r="N534" s="1185" t="s">
        <v>724</v>
      </c>
      <c r="O534" s="1185" t="s">
        <v>1473</v>
      </c>
    </row>
    <row r="535" spans="1:18" s="1159" customFormat="1" ht="75" x14ac:dyDescent="0.35">
      <c r="A535" s="1182">
        <v>2022529</v>
      </c>
      <c r="B535" s="1182">
        <v>7658</v>
      </c>
      <c r="C535" s="1265" t="s">
        <v>679</v>
      </c>
      <c r="D535" s="1227" t="s">
        <v>698</v>
      </c>
      <c r="E535" s="1236">
        <v>80111600</v>
      </c>
      <c r="F535" s="1185" t="s">
        <v>1159</v>
      </c>
      <c r="G535" s="1245" t="s">
        <v>1414</v>
      </c>
      <c r="H535" s="1246" t="s">
        <v>1414</v>
      </c>
      <c r="I535" s="1239" t="s">
        <v>1467</v>
      </c>
      <c r="J535" s="1240" t="s">
        <v>1455</v>
      </c>
      <c r="K535" s="1184" t="s">
        <v>674</v>
      </c>
      <c r="L535" s="1184" t="s">
        <v>675</v>
      </c>
      <c r="M535" s="1188">
        <f>48300000+20700000-1200000</f>
        <v>67800000</v>
      </c>
      <c r="N535" s="1185" t="s">
        <v>724</v>
      </c>
      <c r="O535" s="1185" t="s">
        <v>1473</v>
      </c>
      <c r="P535" s="1248"/>
    </row>
    <row r="536" spans="1:18" s="1159" customFormat="1" ht="75" x14ac:dyDescent="0.35">
      <c r="A536" s="1182">
        <v>2022530</v>
      </c>
      <c r="B536" s="1182">
        <v>7658</v>
      </c>
      <c r="C536" s="1265" t="s">
        <v>679</v>
      </c>
      <c r="D536" s="1227" t="s">
        <v>698</v>
      </c>
      <c r="E536" s="1236">
        <v>80111600</v>
      </c>
      <c r="F536" s="1185" t="s">
        <v>1139</v>
      </c>
      <c r="G536" s="1245" t="s">
        <v>1414</v>
      </c>
      <c r="H536" s="1246" t="s">
        <v>1414</v>
      </c>
      <c r="I536" s="1239" t="s">
        <v>1467</v>
      </c>
      <c r="J536" s="1240" t="s">
        <v>1455</v>
      </c>
      <c r="K536" s="1184" t="s">
        <v>674</v>
      </c>
      <c r="L536" s="1183" t="s">
        <v>675</v>
      </c>
      <c r="M536" s="1186">
        <f>82915000-3605000</f>
        <v>79310000</v>
      </c>
      <c r="N536" s="1185" t="s">
        <v>724</v>
      </c>
      <c r="O536" s="1185" t="s">
        <v>1473</v>
      </c>
    </row>
    <row r="537" spans="1:18" s="1159" customFormat="1" ht="75" x14ac:dyDescent="0.35">
      <c r="A537" s="1182">
        <v>2022531</v>
      </c>
      <c r="B537" s="1182">
        <v>7658</v>
      </c>
      <c r="C537" s="1265" t="s">
        <v>679</v>
      </c>
      <c r="D537" s="1227" t="s">
        <v>698</v>
      </c>
      <c r="E537" s="1236">
        <v>80111600</v>
      </c>
      <c r="F537" s="1185" t="s">
        <v>1160</v>
      </c>
      <c r="G537" s="1245" t="s">
        <v>1414</v>
      </c>
      <c r="H537" s="1246" t="s">
        <v>1414</v>
      </c>
      <c r="I537" s="1239" t="s">
        <v>1467</v>
      </c>
      <c r="J537" s="1240" t="s">
        <v>1455</v>
      </c>
      <c r="K537" s="1184" t="s">
        <v>674</v>
      </c>
      <c r="L537" s="1183" t="s">
        <v>675</v>
      </c>
      <c r="M537" s="1186">
        <f>45655000-1985000</f>
        <v>43670000</v>
      </c>
      <c r="N537" s="1185" t="s">
        <v>1551</v>
      </c>
      <c r="O537" s="1185" t="s">
        <v>1473</v>
      </c>
    </row>
    <row r="538" spans="1:18" s="1159" customFormat="1" ht="75" x14ac:dyDescent="0.35">
      <c r="A538" s="1182">
        <v>2022532</v>
      </c>
      <c r="B538" s="1182">
        <v>7658</v>
      </c>
      <c r="C538" s="1265" t="s">
        <v>679</v>
      </c>
      <c r="D538" s="1227" t="s">
        <v>698</v>
      </c>
      <c r="E538" s="1236">
        <v>80111600</v>
      </c>
      <c r="F538" s="1185" t="s">
        <v>1161</v>
      </c>
      <c r="G538" s="1245" t="s">
        <v>1414</v>
      </c>
      <c r="H538" s="1246" t="s">
        <v>1414</v>
      </c>
      <c r="I538" s="1239" t="s">
        <v>1467</v>
      </c>
      <c r="J538" s="1240" t="s">
        <v>1455</v>
      </c>
      <c r="K538" s="1184" t="s">
        <v>674</v>
      </c>
      <c r="L538" s="1183" t="s">
        <v>675</v>
      </c>
      <c r="M538" s="1186">
        <f>47380000-2060000</f>
        <v>45320000</v>
      </c>
      <c r="N538" s="1185" t="s">
        <v>1551</v>
      </c>
      <c r="O538" s="1185" t="s">
        <v>1473</v>
      </c>
    </row>
    <row r="539" spans="1:18" s="1159" customFormat="1" ht="90" x14ac:dyDescent="0.35">
      <c r="A539" s="1182">
        <v>2022533</v>
      </c>
      <c r="B539" s="1182">
        <v>7658</v>
      </c>
      <c r="C539" s="1265" t="s">
        <v>679</v>
      </c>
      <c r="D539" s="1227" t="s">
        <v>698</v>
      </c>
      <c r="E539" s="1236">
        <v>80111600</v>
      </c>
      <c r="F539" s="1185" t="s">
        <v>1162</v>
      </c>
      <c r="G539" s="1245" t="s">
        <v>1414</v>
      </c>
      <c r="H539" s="1246" t="s">
        <v>1414</v>
      </c>
      <c r="I539" s="1239" t="s">
        <v>1467</v>
      </c>
      <c r="J539" s="1240" t="s">
        <v>1455</v>
      </c>
      <c r="K539" s="1184" t="s">
        <v>674</v>
      </c>
      <c r="L539" s="1183" t="s">
        <v>675</v>
      </c>
      <c r="M539" s="1186">
        <f>54050000-2350000</f>
        <v>51700000</v>
      </c>
      <c r="N539" s="1185" t="s">
        <v>1551</v>
      </c>
      <c r="O539" s="1185" t="s">
        <v>1473</v>
      </c>
    </row>
    <row r="540" spans="1:18" s="1159" customFormat="1" ht="75" x14ac:dyDescent="0.35">
      <c r="A540" s="1182">
        <v>2022534</v>
      </c>
      <c r="B540" s="1182">
        <v>7658</v>
      </c>
      <c r="C540" s="1265" t="s">
        <v>679</v>
      </c>
      <c r="D540" s="1227" t="s">
        <v>698</v>
      </c>
      <c r="E540" s="1236">
        <v>80111600</v>
      </c>
      <c r="F540" s="1185" t="s">
        <v>1163</v>
      </c>
      <c r="G540" s="1245" t="s">
        <v>1414</v>
      </c>
      <c r="H540" s="1246" t="s">
        <v>1414</v>
      </c>
      <c r="I540" s="1239" t="s">
        <v>1467</v>
      </c>
      <c r="J540" s="1240" t="s">
        <v>1455</v>
      </c>
      <c r="K540" s="1184" t="s">
        <v>674</v>
      </c>
      <c r="L540" s="1183" t="s">
        <v>782</v>
      </c>
      <c r="M540" s="1186">
        <f>88550000-3850000</f>
        <v>84700000</v>
      </c>
      <c r="N540" s="1185" t="s">
        <v>724</v>
      </c>
      <c r="O540" s="1185" t="s">
        <v>1473</v>
      </c>
    </row>
    <row r="541" spans="1:18" s="1159" customFormat="1" ht="75" x14ac:dyDescent="0.35">
      <c r="A541" s="1182">
        <v>2022535</v>
      </c>
      <c r="B541" s="1182">
        <v>7658</v>
      </c>
      <c r="C541" s="1265" t="s">
        <v>679</v>
      </c>
      <c r="D541" s="1227" t="s">
        <v>698</v>
      </c>
      <c r="E541" s="1236">
        <v>80111600</v>
      </c>
      <c r="F541" s="1185" t="s">
        <v>1164</v>
      </c>
      <c r="G541" s="1245" t="s">
        <v>1414</v>
      </c>
      <c r="H541" s="1246" t="s">
        <v>1414</v>
      </c>
      <c r="I541" s="1239" t="s">
        <v>1467</v>
      </c>
      <c r="J541" s="1240" t="s">
        <v>1455</v>
      </c>
      <c r="K541" s="1184" t="s">
        <v>674</v>
      </c>
      <c r="L541" s="1183" t="s">
        <v>675</v>
      </c>
      <c r="M541" s="1186">
        <f>38525000-1675000</f>
        <v>36850000</v>
      </c>
      <c r="N541" s="1185" t="s">
        <v>724</v>
      </c>
      <c r="O541" s="1185" t="s">
        <v>1473</v>
      </c>
    </row>
    <row r="542" spans="1:18" s="1159" customFormat="1" ht="75" x14ac:dyDescent="0.35">
      <c r="A542" s="1182">
        <v>2022536</v>
      </c>
      <c r="B542" s="1182">
        <v>7658</v>
      </c>
      <c r="C542" s="1265" t="s">
        <v>679</v>
      </c>
      <c r="D542" s="1227" t="s">
        <v>698</v>
      </c>
      <c r="E542" s="1236">
        <v>80111600</v>
      </c>
      <c r="F542" s="1185" t="s">
        <v>1165</v>
      </c>
      <c r="G542" s="1245" t="s">
        <v>1414</v>
      </c>
      <c r="H542" s="1246" t="s">
        <v>1414</v>
      </c>
      <c r="I542" s="1239" t="s">
        <v>1467</v>
      </c>
      <c r="J542" s="1240" t="s">
        <v>1455</v>
      </c>
      <c r="K542" s="1184" t="s">
        <v>674</v>
      </c>
      <c r="L542" s="1183" t="s">
        <v>675</v>
      </c>
      <c r="M542" s="1186">
        <f>38525000-1125000</f>
        <v>37400000</v>
      </c>
      <c r="N542" s="1185" t="s">
        <v>724</v>
      </c>
      <c r="O542" s="1185" t="s">
        <v>1473</v>
      </c>
    </row>
    <row r="543" spans="1:18" s="1159" customFormat="1" ht="75" x14ac:dyDescent="0.35">
      <c r="A543" s="1182">
        <v>2022537</v>
      </c>
      <c r="B543" s="1182">
        <v>7658</v>
      </c>
      <c r="C543" s="1265" t="s">
        <v>679</v>
      </c>
      <c r="D543" s="1227" t="s">
        <v>698</v>
      </c>
      <c r="E543" s="1236">
        <v>80111600</v>
      </c>
      <c r="F543" s="1185" t="s">
        <v>1166</v>
      </c>
      <c r="G543" s="1245" t="s">
        <v>1414</v>
      </c>
      <c r="H543" s="1246" t="s">
        <v>1414</v>
      </c>
      <c r="I543" s="1239" t="s">
        <v>1467</v>
      </c>
      <c r="J543" s="1240" t="s">
        <v>1455</v>
      </c>
      <c r="K543" s="1184" t="s">
        <v>674</v>
      </c>
      <c r="L543" s="1184" t="s">
        <v>675</v>
      </c>
      <c r="M543" s="1186">
        <f>48300000+13225000+7475000-3000000</f>
        <v>66000000</v>
      </c>
      <c r="N543" s="1185" t="s">
        <v>1551</v>
      </c>
      <c r="O543" s="1185" t="s">
        <v>1473</v>
      </c>
    </row>
    <row r="544" spans="1:18" s="1159" customFormat="1" ht="75" x14ac:dyDescent="0.35">
      <c r="A544" s="1182">
        <v>2022538</v>
      </c>
      <c r="B544" s="1182">
        <v>7658</v>
      </c>
      <c r="C544" s="1182" t="s">
        <v>679</v>
      </c>
      <c r="D544" s="1227" t="s">
        <v>698</v>
      </c>
      <c r="E544" s="1236">
        <v>80111600</v>
      </c>
      <c r="F544" s="1185" t="s">
        <v>1167</v>
      </c>
      <c r="G544" s="1245" t="s">
        <v>1414</v>
      </c>
      <c r="H544" s="1246" t="s">
        <v>1414</v>
      </c>
      <c r="I544" s="1239" t="s">
        <v>1467</v>
      </c>
      <c r="J544" s="1240" t="s">
        <v>1455</v>
      </c>
      <c r="K544" s="1184" t="s">
        <v>674</v>
      </c>
      <c r="L544" s="1183" t="s">
        <v>675</v>
      </c>
      <c r="M544" s="1186">
        <f>65550000-23200000</f>
        <v>42350000</v>
      </c>
      <c r="N544" s="1185" t="s">
        <v>724</v>
      </c>
      <c r="O544" s="1185" t="s">
        <v>1473</v>
      </c>
    </row>
    <row r="545" spans="1:18" s="1159" customFormat="1" ht="75" x14ac:dyDescent="0.35">
      <c r="A545" s="1182">
        <v>2022539</v>
      </c>
      <c r="B545" s="1182">
        <v>7658</v>
      </c>
      <c r="C545" s="1182" t="s">
        <v>679</v>
      </c>
      <c r="D545" s="1227" t="s">
        <v>698</v>
      </c>
      <c r="E545" s="1236">
        <v>80111600</v>
      </c>
      <c r="F545" s="1185" t="s">
        <v>1168</v>
      </c>
      <c r="G545" s="1245" t="s">
        <v>1414</v>
      </c>
      <c r="H545" s="1246" t="s">
        <v>1414</v>
      </c>
      <c r="I545" s="1239" t="s">
        <v>1467</v>
      </c>
      <c r="J545" s="1240" t="s">
        <v>1455</v>
      </c>
      <c r="K545" s="1184" t="s">
        <v>674</v>
      </c>
      <c r="L545" s="1183" t="s">
        <v>675</v>
      </c>
      <c r="M545" s="1186">
        <f>69000000-3000000</f>
        <v>66000000</v>
      </c>
      <c r="N545" s="1185" t="s">
        <v>724</v>
      </c>
      <c r="O545" s="1185" t="s">
        <v>1473</v>
      </c>
    </row>
    <row r="546" spans="1:18" s="1159" customFormat="1" ht="75" x14ac:dyDescent="0.35">
      <c r="A546" s="1182">
        <v>2022540</v>
      </c>
      <c r="B546" s="1182">
        <v>7658</v>
      </c>
      <c r="C546" s="1182" t="s">
        <v>679</v>
      </c>
      <c r="D546" s="1227" t="s">
        <v>698</v>
      </c>
      <c r="E546" s="1236">
        <v>80111600</v>
      </c>
      <c r="F546" s="1185" t="s">
        <v>1169</v>
      </c>
      <c r="G546" s="1245" t="s">
        <v>1414</v>
      </c>
      <c r="H546" s="1246" t="s">
        <v>1414</v>
      </c>
      <c r="I546" s="1239" t="s">
        <v>1467</v>
      </c>
      <c r="J546" s="1240" t="s">
        <v>1455</v>
      </c>
      <c r="K546" s="1184" t="s">
        <v>674</v>
      </c>
      <c r="L546" s="1183" t="s">
        <v>675</v>
      </c>
      <c r="M546" s="1186">
        <f>39100000-3900000</f>
        <v>35200000</v>
      </c>
      <c r="N546" s="1185" t="s">
        <v>724</v>
      </c>
      <c r="O546" s="1185" t="s">
        <v>1473</v>
      </c>
    </row>
    <row r="547" spans="1:18" s="1159" customFormat="1" ht="75" x14ac:dyDescent="0.35">
      <c r="A547" s="1182">
        <v>2022541</v>
      </c>
      <c r="B547" s="1182">
        <v>7658</v>
      </c>
      <c r="C547" s="1182" t="s">
        <v>679</v>
      </c>
      <c r="D547" s="1227" t="s">
        <v>698</v>
      </c>
      <c r="E547" s="1236">
        <v>80111600</v>
      </c>
      <c r="F547" s="1185" t="s">
        <v>1170</v>
      </c>
      <c r="G547" s="1245" t="s">
        <v>1414</v>
      </c>
      <c r="H547" s="1246" t="s">
        <v>1414</v>
      </c>
      <c r="I547" s="1239" t="s">
        <v>1467</v>
      </c>
      <c r="J547" s="1240" t="s">
        <v>1455</v>
      </c>
      <c r="K547" s="1184" t="s">
        <v>674</v>
      </c>
      <c r="L547" s="1183" t="s">
        <v>675</v>
      </c>
      <c r="M547" s="1186">
        <f>36685000-1595000</f>
        <v>35090000</v>
      </c>
      <c r="N547" s="1185" t="s">
        <v>724</v>
      </c>
      <c r="O547" s="1185" t="s">
        <v>1473</v>
      </c>
    </row>
    <row r="548" spans="1:18" ht="60" x14ac:dyDescent="0.3">
      <c r="A548" s="1172">
        <v>2022542</v>
      </c>
      <c r="B548" s="1270" t="s">
        <v>459</v>
      </c>
      <c r="C548" s="1270"/>
      <c r="D548" s="1190" t="s">
        <v>689</v>
      </c>
      <c r="E548" s="1221" t="s">
        <v>1171</v>
      </c>
      <c r="F548" s="1197" t="s">
        <v>1172</v>
      </c>
      <c r="G548" s="1268" t="s">
        <v>1521</v>
      </c>
      <c r="H548" s="1268" t="s">
        <v>1521</v>
      </c>
      <c r="I548" s="1268" t="s">
        <v>1562</v>
      </c>
      <c r="J548" s="1268" t="s">
        <v>1432</v>
      </c>
      <c r="K548" s="1176" t="s">
        <v>43</v>
      </c>
      <c r="L548" s="1271"/>
      <c r="M548" s="1249">
        <v>4200000</v>
      </c>
      <c r="N548" s="1175"/>
      <c r="O548" s="1175"/>
    </row>
    <row r="549" spans="1:18" ht="60" x14ac:dyDescent="0.3">
      <c r="A549" s="1172">
        <v>2022543</v>
      </c>
      <c r="B549" s="1270" t="s">
        <v>459</v>
      </c>
      <c r="C549" s="1270"/>
      <c r="D549" s="1190" t="s">
        <v>689</v>
      </c>
      <c r="E549" s="1221" t="s">
        <v>1171</v>
      </c>
      <c r="F549" s="1197" t="s">
        <v>1173</v>
      </c>
      <c r="G549" s="1268" t="s">
        <v>1522</v>
      </c>
      <c r="H549" s="1268" t="s">
        <v>1522</v>
      </c>
      <c r="I549" s="1268" t="s">
        <v>1563</v>
      </c>
      <c r="J549" s="1268" t="s">
        <v>1432</v>
      </c>
      <c r="K549" s="1176" t="s">
        <v>43</v>
      </c>
      <c r="L549" s="1271"/>
      <c r="M549" s="1249">
        <v>6799000</v>
      </c>
      <c r="N549" s="1175"/>
      <c r="O549" s="1175"/>
    </row>
    <row r="550" spans="1:18" ht="60" x14ac:dyDescent="0.3">
      <c r="A550" s="1172">
        <v>2022544</v>
      </c>
      <c r="B550" s="1270" t="s">
        <v>459</v>
      </c>
      <c r="C550" s="1270"/>
      <c r="D550" s="1190" t="s">
        <v>689</v>
      </c>
      <c r="E550" s="1221" t="s">
        <v>1171</v>
      </c>
      <c r="F550" s="1197" t="s">
        <v>987</v>
      </c>
      <c r="G550" s="1268" t="s">
        <v>1521</v>
      </c>
      <c r="H550" s="1268" t="s">
        <v>1521</v>
      </c>
      <c r="I550" s="1268" t="s">
        <v>1499</v>
      </c>
      <c r="J550" s="1268" t="s">
        <v>1475</v>
      </c>
      <c r="K550" s="1176" t="s">
        <v>43</v>
      </c>
      <c r="L550" s="1271"/>
      <c r="M550" s="1249">
        <v>10000000</v>
      </c>
      <c r="N550" s="1175"/>
      <c r="O550" s="1175"/>
    </row>
    <row r="551" spans="1:18" ht="60" x14ac:dyDescent="0.3">
      <c r="A551" s="1172">
        <v>2022545</v>
      </c>
      <c r="B551" s="1270" t="s">
        <v>459</v>
      </c>
      <c r="C551" s="1270"/>
      <c r="D551" s="1190" t="s">
        <v>689</v>
      </c>
      <c r="E551" s="1221" t="s">
        <v>1171</v>
      </c>
      <c r="F551" s="1197" t="s">
        <v>1174</v>
      </c>
      <c r="G551" s="1268" t="s">
        <v>1521</v>
      </c>
      <c r="H551" s="1268" t="s">
        <v>1521</v>
      </c>
      <c r="I551" s="1268" t="s">
        <v>1470</v>
      </c>
      <c r="J551" s="1268" t="s">
        <v>1475</v>
      </c>
      <c r="K551" s="1176" t="s">
        <v>43</v>
      </c>
      <c r="L551" s="1271"/>
      <c r="M551" s="1249">
        <v>87000000</v>
      </c>
      <c r="N551" s="1175"/>
      <c r="O551" s="1175"/>
    </row>
    <row r="552" spans="1:18" ht="60" x14ac:dyDescent="0.3">
      <c r="A552" s="1172">
        <v>2022546</v>
      </c>
      <c r="B552" s="1270" t="s">
        <v>459</v>
      </c>
      <c r="C552" s="1270"/>
      <c r="D552" s="1190" t="s">
        <v>689</v>
      </c>
      <c r="E552" s="1221" t="s">
        <v>1171</v>
      </c>
      <c r="F552" s="1197" t="s">
        <v>1172</v>
      </c>
      <c r="G552" s="1268" t="s">
        <v>1521</v>
      </c>
      <c r="H552" s="1268" t="s">
        <v>1521</v>
      </c>
      <c r="I552" s="1268" t="s">
        <v>1562</v>
      </c>
      <c r="J552" s="1268" t="s">
        <v>1432</v>
      </c>
      <c r="K552" s="1176" t="s">
        <v>43</v>
      </c>
      <c r="L552" s="1271"/>
      <c r="M552" s="1249">
        <v>5600000</v>
      </c>
      <c r="N552" s="1175"/>
      <c r="O552" s="1175"/>
    </row>
    <row r="553" spans="1:18" ht="60" x14ac:dyDescent="0.3">
      <c r="A553" s="1172">
        <v>2022547</v>
      </c>
      <c r="B553" s="1270" t="s">
        <v>459</v>
      </c>
      <c r="C553" s="1270"/>
      <c r="D553" s="1190" t="s">
        <v>689</v>
      </c>
      <c r="E553" s="1221" t="s">
        <v>1171</v>
      </c>
      <c r="F553" s="1197" t="s">
        <v>1175</v>
      </c>
      <c r="G553" s="1268" t="s">
        <v>1522</v>
      </c>
      <c r="H553" s="1268" t="s">
        <v>1522</v>
      </c>
      <c r="I553" s="1268" t="s">
        <v>1563</v>
      </c>
      <c r="J553" s="1268" t="s">
        <v>1432</v>
      </c>
      <c r="K553" s="1176" t="s">
        <v>43</v>
      </c>
      <c r="L553" s="1271"/>
      <c r="M553" s="1249">
        <v>28400000</v>
      </c>
      <c r="N553" s="1175"/>
      <c r="O553" s="1175"/>
    </row>
    <row r="554" spans="1:18" ht="120" x14ac:dyDescent="0.3">
      <c r="A554" s="1182">
        <v>2022548</v>
      </c>
      <c r="B554" s="1272" t="s">
        <v>459</v>
      </c>
      <c r="C554" s="1273"/>
      <c r="D554" s="1227" t="s">
        <v>689</v>
      </c>
      <c r="E554" s="1274" t="s">
        <v>1176</v>
      </c>
      <c r="F554" s="1275" t="s">
        <v>1177</v>
      </c>
      <c r="G554" s="1265" t="s">
        <v>1521</v>
      </c>
      <c r="H554" s="1265" t="s">
        <v>1521</v>
      </c>
      <c r="I554" s="1265" t="s">
        <v>1470</v>
      </c>
      <c r="J554" s="1265" t="s">
        <v>1475</v>
      </c>
      <c r="K554" s="1184" t="s">
        <v>43</v>
      </c>
      <c r="L554" s="1276"/>
      <c r="M554" s="1188">
        <f>100000000-20000000</f>
        <v>80000000</v>
      </c>
      <c r="N554" s="1185"/>
      <c r="O554" s="1185"/>
      <c r="R554" s="1159"/>
    </row>
    <row r="555" spans="1:18" ht="120" x14ac:dyDescent="0.3">
      <c r="A555" s="1182">
        <v>2022549</v>
      </c>
      <c r="B555" s="1272" t="s">
        <v>459</v>
      </c>
      <c r="C555" s="1273"/>
      <c r="D555" s="1227" t="s">
        <v>689</v>
      </c>
      <c r="E555" s="1274" t="s">
        <v>1176</v>
      </c>
      <c r="F555" s="1275" t="s">
        <v>1178</v>
      </c>
      <c r="G555" s="1265" t="s">
        <v>1522</v>
      </c>
      <c r="H555" s="1265" t="s">
        <v>1522</v>
      </c>
      <c r="I555" s="1265" t="s">
        <v>1563</v>
      </c>
      <c r="J555" s="1265" t="s">
        <v>1432</v>
      </c>
      <c r="K555" s="1184" t="s">
        <v>43</v>
      </c>
      <c r="L555" s="1276"/>
      <c r="M555" s="1188">
        <f>10000000+20000000</f>
        <v>30000000</v>
      </c>
      <c r="N555" s="1185"/>
      <c r="O555" s="1185"/>
      <c r="R555" s="1159"/>
    </row>
    <row r="556" spans="1:18" ht="60" x14ac:dyDescent="0.3">
      <c r="A556" s="1172">
        <v>2022550</v>
      </c>
      <c r="B556" s="1270" t="s">
        <v>459</v>
      </c>
      <c r="C556" s="1270"/>
      <c r="D556" s="1190" t="s">
        <v>689</v>
      </c>
      <c r="E556" s="1221" t="s">
        <v>1171</v>
      </c>
      <c r="F556" s="1197" t="s">
        <v>989</v>
      </c>
      <c r="G556" s="1268" t="s">
        <v>1521</v>
      </c>
      <c r="H556" s="1268" t="s">
        <v>1521</v>
      </c>
      <c r="I556" s="1268" t="s">
        <v>1470</v>
      </c>
      <c r="J556" s="1268" t="s">
        <v>1475</v>
      </c>
      <c r="K556" s="1176" t="s">
        <v>43</v>
      </c>
      <c r="L556" s="1271"/>
      <c r="M556" s="1249">
        <v>42542000</v>
      </c>
      <c r="N556" s="1175"/>
      <c r="O556" s="1175"/>
    </row>
    <row r="557" spans="1:18" ht="60" x14ac:dyDescent="0.3">
      <c r="A557" s="1172">
        <v>2022551</v>
      </c>
      <c r="B557" s="1270" t="s">
        <v>459</v>
      </c>
      <c r="C557" s="1270"/>
      <c r="D557" s="1190" t="s">
        <v>689</v>
      </c>
      <c r="E557" s="1221" t="s">
        <v>1171</v>
      </c>
      <c r="F557" s="1197" t="s">
        <v>987</v>
      </c>
      <c r="G557" s="1268" t="s">
        <v>1521</v>
      </c>
      <c r="H557" s="1268" t="s">
        <v>1521</v>
      </c>
      <c r="I557" s="1268" t="s">
        <v>1499</v>
      </c>
      <c r="J557" s="1268" t="s">
        <v>1475</v>
      </c>
      <c r="K557" s="1176" t="s">
        <v>43</v>
      </c>
      <c r="L557" s="1271"/>
      <c r="M557" s="1249">
        <v>2345000</v>
      </c>
      <c r="N557" s="1175"/>
      <c r="O557" s="1175"/>
    </row>
    <row r="558" spans="1:18" ht="60" x14ac:dyDescent="0.3">
      <c r="A558" s="1172">
        <v>2022552</v>
      </c>
      <c r="B558" s="1270" t="s">
        <v>459</v>
      </c>
      <c r="C558" s="1270"/>
      <c r="D558" s="1190" t="s">
        <v>689</v>
      </c>
      <c r="E558" s="1221" t="s">
        <v>1171</v>
      </c>
      <c r="F558" s="1197" t="s">
        <v>987</v>
      </c>
      <c r="G558" s="1268" t="s">
        <v>1521</v>
      </c>
      <c r="H558" s="1268" t="s">
        <v>1521</v>
      </c>
      <c r="I558" s="1268" t="s">
        <v>1499</v>
      </c>
      <c r="J558" s="1268" t="s">
        <v>1475</v>
      </c>
      <c r="K558" s="1176" t="s">
        <v>43</v>
      </c>
      <c r="L558" s="1271"/>
      <c r="M558" s="1249">
        <v>1450000</v>
      </c>
      <c r="N558" s="1175"/>
      <c r="O558" s="1175"/>
    </row>
    <row r="559" spans="1:18" ht="60" x14ac:dyDescent="0.3">
      <c r="A559" s="1172">
        <v>2022553</v>
      </c>
      <c r="B559" s="1270" t="s">
        <v>459</v>
      </c>
      <c r="C559" s="1270"/>
      <c r="D559" s="1190" t="s">
        <v>689</v>
      </c>
      <c r="E559" s="1221" t="s">
        <v>1171</v>
      </c>
      <c r="F559" s="1197" t="s">
        <v>989</v>
      </c>
      <c r="G559" s="1268" t="s">
        <v>1521</v>
      </c>
      <c r="H559" s="1268" t="s">
        <v>1521</v>
      </c>
      <c r="I559" s="1268" t="s">
        <v>1470</v>
      </c>
      <c r="J559" s="1268" t="s">
        <v>1475</v>
      </c>
      <c r="K559" s="1176" t="s">
        <v>43</v>
      </c>
      <c r="L559" s="1271"/>
      <c r="M559" s="1249">
        <v>11550000</v>
      </c>
      <c r="N559" s="1175"/>
      <c r="O559" s="1175"/>
    </row>
    <row r="560" spans="1:18" ht="60" x14ac:dyDescent="0.3">
      <c r="A560" s="1172">
        <v>2022554</v>
      </c>
      <c r="B560" s="1270" t="s">
        <v>459</v>
      </c>
      <c r="C560" s="1270"/>
      <c r="D560" s="1190" t="s">
        <v>689</v>
      </c>
      <c r="E560" s="1221" t="s">
        <v>1171</v>
      </c>
      <c r="F560" s="1197" t="s">
        <v>1172</v>
      </c>
      <c r="G560" s="1268" t="s">
        <v>1521</v>
      </c>
      <c r="H560" s="1268" t="s">
        <v>1521</v>
      </c>
      <c r="I560" s="1268" t="s">
        <v>1562</v>
      </c>
      <c r="J560" s="1268" t="s">
        <v>1432</v>
      </c>
      <c r="K560" s="1176" t="s">
        <v>43</v>
      </c>
      <c r="L560" s="1271"/>
      <c r="M560" s="1249">
        <v>2800000</v>
      </c>
      <c r="N560" s="1175"/>
      <c r="O560" s="1175"/>
    </row>
    <row r="561" spans="1:15" ht="60" x14ac:dyDescent="0.3">
      <c r="A561" s="1172">
        <v>2022555</v>
      </c>
      <c r="B561" s="1270" t="s">
        <v>459</v>
      </c>
      <c r="C561" s="1270"/>
      <c r="D561" s="1190" t="s">
        <v>689</v>
      </c>
      <c r="E561" s="1221" t="s">
        <v>1171</v>
      </c>
      <c r="F561" s="1197" t="s">
        <v>1179</v>
      </c>
      <c r="G561" s="1268" t="s">
        <v>1522</v>
      </c>
      <c r="H561" s="1268" t="s">
        <v>1522</v>
      </c>
      <c r="I561" s="1268" t="s">
        <v>1563</v>
      </c>
      <c r="J561" s="1268" t="s">
        <v>1432</v>
      </c>
      <c r="K561" s="1176" t="s">
        <v>43</v>
      </c>
      <c r="L561" s="1271"/>
      <c r="M561" s="1249">
        <v>5204000</v>
      </c>
      <c r="N561" s="1175"/>
      <c r="O561" s="1175"/>
    </row>
    <row r="562" spans="1:15" ht="60" x14ac:dyDescent="0.3">
      <c r="A562" s="1172">
        <v>2022556</v>
      </c>
      <c r="B562" s="1270" t="s">
        <v>459</v>
      </c>
      <c r="C562" s="1270"/>
      <c r="D562" s="1190" t="s">
        <v>689</v>
      </c>
      <c r="E562" s="1221" t="s">
        <v>1171</v>
      </c>
      <c r="F562" s="1197" t="s">
        <v>987</v>
      </c>
      <c r="G562" s="1268" t="s">
        <v>1521</v>
      </c>
      <c r="H562" s="1268" t="s">
        <v>1521</v>
      </c>
      <c r="I562" s="1268" t="s">
        <v>1499</v>
      </c>
      <c r="J562" s="1268" t="s">
        <v>1475</v>
      </c>
      <c r="K562" s="1176" t="s">
        <v>43</v>
      </c>
      <c r="L562" s="1271"/>
      <c r="M562" s="1249">
        <v>1308000</v>
      </c>
      <c r="N562" s="1175"/>
      <c r="O562" s="1175"/>
    </row>
    <row r="563" spans="1:15" ht="60" x14ac:dyDescent="0.3">
      <c r="A563" s="1172">
        <v>2022557</v>
      </c>
      <c r="B563" s="1270" t="s">
        <v>459</v>
      </c>
      <c r="C563" s="1270"/>
      <c r="D563" s="1190" t="s">
        <v>689</v>
      </c>
      <c r="E563" s="1221" t="s">
        <v>1171</v>
      </c>
      <c r="F563" s="1197" t="s">
        <v>989</v>
      </c>
      <c r="G563" s="1268" t="s">
        <v>1521</v>
      </c>
      <c r="H563" s="1268" t="s">
        <v>1521</v>
      </c>
      <c r="I563" s="1268" t="s">
        <v>1470</v>
      </c>
      <c r="J563" s="1268" t="s">
        <v>1475</v>
      </c>
      <c r="K563" s="1176" t="s">
        <v>43</v>
      </c>
      <c r="L563" s="1271"/>
      <c r="M563" s="1249">
        <v>14692000</v>
      </c>
      <c r="N563" s="1175"/>
      <c r="O563" s="1175"/>
    </row>
    <row r="564" spans="1:15" ht="60" x14ac:dyDescent="0.3">
      <c r="A564" s="1172">
        <v>2022558</v>
      </c>
      <c r="B564" s="1270" t="s">
        <v>459</v>
      </c>
      <c r="C564" s="1270"/>
      <c r="D564" s="1190" t="s">
        <v>689</v>
      </c>
      <c r="E564" s="1221" t="s">
        <v>1171</v>
      </c>
      <c r="F564" s="1197" t="s">
        <v>1180</v>
      </c>
      <c r="G564" s="1268" t="s">
        <v>1521</v>
      </c>
      <c r="H564" s="1268" t="s">
        <v>1521</v>
      </c>
      <c r="I564" s="1268" t="s">
        <v>1562</v>
      </c>
      <c r="J564" s="1268" t="s">
        <v>1432</v>
      </c>
      <c r="K564" s="1176" t="s">
        <v>43</v>
      </c>
      <c r="L564" s="1271"/>
      <c r="M564" s="1249">
        <v>1400000</v>
      </c>
      <c r="N564" s="1175"/>
      <c r="O564" s="1175"/>
    </row>
    <row r="565" spans="1:15" ht="60" x14ac:dyDescent="0.3">
      <c r="A565" s="1172">
        <v>2022559</v>
      </c>
      <c r="B565" s="1270" t="s">
        <v>459</v>
      </c>
      <c r="C565" s="1270"/>
      <c r="D565" s="1190" t="s">
        <v>689</v>
      </c>
      <c r="E565" s="1221" t="s">
        <v>1171</v>
      </c>
      <c r="F565" s="1197" t="s">
        <v>1179</v>
      </c>
      <c r="G565" s="1268" t="s">
        <v>1522</v>
      </c>
      <c r="H565" s="1268" t="s">
        <v>1522</v>
      </c>
      <c r="I565" s="1268" t="s">
        <v>1563</v>
      </c>
      <c r="J565" s="1268" t="s">
        <v>1432</v>
      </c>
      <c r="K565" s="1176" t="s">
        <v>43</v>
      </c>
      <c r="L565" s="1271"/>
      <c r="M565" s="1249">
        <v>9600000</v>
      </c>
      <c r="N565" s="1175"/>
      <c r="O565" s="1175"/>
    </row>
    <row r="566" spans="1:15" ht="120" x14ac:dyDescent="0.3">
      <c r="A566" s="1172">
        <v>2022560</v>
      </c>
      <c r="B566" s="1270" t="s">
        <v>459</v>
      </c>
      <c r="C566" s="1270"/>
      <c r="D566" s="1190" t="s">
        <v>689</v>
      </c>
      <c r="E566" s="1270" t="s">
        <v>1181</v>
      </c>
      <c r="F566" s="1197" t="s">
        <v>1182</v>
      </c>
      <c r="G566" s="1268" t="s">
        <v>1537</v>
      </c>
      <c r="H566" s="1268" t="s">
        <v>1537</v>
      </c>
      <c r="I566" s="1268" t="s">
        <v>1564</v>
      </c>
      <c r="J566" s="1268" t="s">
        <v>1565</v>
      </c>
      <c r="K566" s="1176" t="s">
        <v>43</v>
      </c>
      <c r="L566" s="1271"/>
      <c r="M566" s="1249">
        <v>79500000</v>
      </c>
      <c r="N566" s="1175"/>
      <c r="O566" s="1175"/>
    </row>
    <row r="567" spans="1:15" ht="135" x14ac:dyDescent="0.3">
      <c r="A567" s="1172">
        <v>2022561</v>
      </c>
      <c r="B567" s="1270" t="s">
        <v>459</v>
      </c>
      <c r="C567" s="1270"/>
      <c r="D567" s="1190" t="s">
        <v>689</v>
      </c>
      <c r="E567" s="1270" t="s">
        <v>1181</v>
      </c>
      <c r="F567" s="1197" t="s">
        <v>1183</v>
      </c>
      <c r="G567" s="1268" t="s">
        <v>1526</v>
      </c>
      <c r="H567" s="1268" t="s">
        <v>1526</v>
      </c>
      <c r="I567" s="1268" t="s">
        <v>1566</v>
      </c>
      <c r="J567" s="1268" t="s">
        <v>1565</v>
      </c>
      <c r="K567" s="1176" t="s">
        <v>43</v>
      </c>
      <c r="L567" s="1271"/>
      <c r="M567" s="1249">
        <v>41500000</v>
      </c>
      <c r="N567" s="1175"/>
      <c r="O567" s="1175"/>
    </row>
    <row r="568" spans="1:15" ht="45" x14ac:dyDescent="0.3">
      <c r="A568" s="1172">
        <v>2022562</v>
      </c>
      <c r="B568" s="1270" t="s">
        <v>459</v>
      </c>
      <c r="C568" s="1270"/>
      <c r="D568" s="1190" t="s">
        <v>689</v>
      </c>
      <c r="E568" s="1270" t="s">
        <v>1184</v>
      </c>
      <c r="F568" s="1197" t="s">
        <v>1185</v>
      </c>
      <c r="G568" s="1268" t="s">
        <v>1526</v>
      </c>
      <c r="H568" s="1268" t="s">
        <v>1526</v>
      </c>
      <c r="I568" s="1268" t="s">
        <v>1567</v>
      </c>
      <c r="J568" s="1268" t="s">
        <v>1568</v>
      </c>
      <c r="K568" s="1176" t="s">
        <v>43</v>
      </c>
      <c r="L568" s="1271"/>
      <c r="M568" s="1249">
        <v>1500000000</v>
      </c>
      <c r="N568" s="1175"/>
      <c r="O568" s="1175"/>
    </row>
    <row r="569" spans="1:15" ht="45" x14ac:dyDescent="0.3">
      <c r="A569" s="1172">
        <v>2022563</v>
      </c>
      <c r="B569" s="1270" t="s">
        <v>459</v>
      </c>
      <c r="C569" s="1270"/>
      <c r="D569" s="1190" t="s">
        <v>689</v>
      </c>
      <c r="E569" s="1270" t="s">
        <v>1184</v>
      </c>
      <c r="F569" s="1197" t="s">
        <v>1185</v>
      </c>
      <c r="G569" s="1268" t="s">
        <v>1526</v>
      </c>
      <c r="H569" s="1268" t="s">
        <v>1526</v>
      </c>
      <c r="I569" s="1268" t="s">
        <v>1567</v>
      </c>
      <c r="J569" s="1268" t="s">
        <v>1568</v>
      </c>
      <c r="K569" s="1176" t="s">
        <v>43</v>
      </c>
      <c r="L569" s="1271"/>
      <c r="M569" s="1249">
        <v>550000000</v>
      </c>
      <c r="N569" s="1175"/>
      <c r="O569" s="1175"/>
    </row>
    <row r="570" spans="1:15" ht="45" x14ac:dyDescent="0.3">
      <c r="A570" s="1172">
        <v>2022564</v>
      </c>
      <c r="B570" s="1270" t="s">
        <v>459</v>
      </c>
      <c r="C570" s="1270"/>
      <c r="D570" s="1190" t="s">
        <v>689</v>
      </c>
      <c r="E570" s="1270" t="s">
        <v>1184</v>
      </c>
      <c r="F570" s="1197" t="s">
        <v>1185</v>
      </c>
      <c r="G570" s="1268" t="s">
        <v>1526</v>
      </c>
      <c r="H570" s="1268" t="s">
        <v>1526</v>
      </c>
      <c r="I570" s="1268" t="s">
        <v>1567</v>
      </c>
      <c r="J570" s="1268" t="s">
        <v>1568</v>
      </c>
      <c r="K570" s="1176" t="s">
        <v>43</v>
      </c>
      <c r="L570" s="1271"/>
      <c r="M570" s="1249">
        <v>733000000</v>
      </c>
      <c r="N570" s="1175"/>
      <c r="O570" s="1175"/>
    </row>
    <row r="571" spans="1:15" ht="45" x14ac:dyDescent="0.3">
      <c r="A571" s="1172">
        <v>2022565</v>
      </c>
      <c r="B571" s="1270" t="s">
        <v>459</v>
      </c>
      <c r="C571" s="1270"/>
      <c r="D571" s="1190" t="s">
        <v>689</v>
      </c>
      <c r="E571" s="1270" t="s">
        <v>1184</v>
      </c>
      <c r="F571" s="1197" t="s">
        <v>1185</v>
      </c>
      <c r="G571" s="1268" t="s">
        <v>1526</v>
      </c>
      <c r="H571" s="1268" t="s">
        <v>1526</v>
      </c>
      <c r="I571" s="1268" t="s">
        <v>1567</v>
      </c>
      <c r="J571" s="1268" t="s">
        <v>1568</v>
      </c>
      <c r="K571" s="1176" t="s">
        <v>43</v>
      </c>
      <c r="L571" s="1271"/>
      <c r="M571" s="1249">
        <v>150000000</v>
      </c>
      <c r="N571" s="1175"/>
      <c r="O571" s="1175"/>
    </row>
    <row r="572" spans="1:15" ht="45" x14ac:dyDescent="0.3">
      <c r="A572" s="1172">
        <v>2022566</v>
      </c>
      <c r="B572" s="1270" t="s">
        <v>459</v>
      </c>
      <c r="C572" s="1270"/>
      <c r="D572" s="1190" t="s">
        <v>689</v>
      </c>
      <c r="E572" s="1270" t="s">
        <v>1184</v>
      </c>
      <c r="F572" s="1197" t="s">
        <v>1185</v>
      </c>
      <c r="G572" s="1268" t="s">
        <v>1526</v>
      </c>
      <c r="H572" s="1268" t="s">
        <v>1526</v>
      </c>
      <c r="I572" s="1268" t="s">
        <v>1567</v>
      </c>
      <c r="J572" s="1268" t="s">
        <v>1568</v>
      </c>
      <c r="K572" s="1176" t="s">
        <v>43</v>
      </c>
      <c r="L572" s="1271"/>
      <c r="M572" s="1249">
        <v>300000000</v>
      </c>
      <c r="N572" s="1175"/>
      <c r="O572" s="1175"/>
    </row>
    <row r="573" spans="1:15" ht="45" x14ac:dyDescent="0.3">
      <c r="A573" s="1172">
        <v>2022567</v>
      </c>
      <c r="B573" s="1270" t="s">
        <v>459</v>
      </c>
      <c r="C573" s="1270"/>
      <c r="D573" s="1190" t="s">
        <v>689</v>
      </c>
      <c r="E573" s="1270" t="s">
        <v>1184</v>
      </c>
      <c r="F573" s="1197" t="s">
        <v>1185</v>
      </c>
      <c r="G573" s="1268" t="s">
        <v>1526</v>
      </c>
      <c r="H573" s="1268" t="s">
        <v>1526</v>
      </c>
      <c r="I573" s="1268" t="s">
        <v>1567</v>
      </c>
      <c r="J573" s="1268" t="s">
        <v>1568</v>
      </c>
      <c r="K573" s="1176" t="s">
        <v>43</v>
      </c>
      <c r="L573" s="1271"/>
      <c r="M573" s="1249">
        <v>67000000</v>
      </c>
      <c r="N573" s="1175"/>
      <c r="O573" s="1175"/>
    </row>
    <row r="574" spans="1:15" ht="45" x14ac:dyDescent="0.3">
      <c r="A574" s="1172">
        <v>2022568</v>
      </c>
      <c r="B574" s="1270" t="s">
        <v>459</v>
      </c>
      <c r="C574" s="1270"/>
      <c r="D574" s="1190" t="s">
        <v>689</v>
      </c>
      <c r="E574" s="1270" t="s">
        <v>1186</v>
      </c>
      <c r="F574" s="1197" t="s">
        <v>1187</v>
      </c>
      <c r="G574" s="1268" t="s">
        <v>1532</v>
      </c>
      <c r="H574" s="1268" t="s">
        <v>1532</v>
      </c>
      <c r="I574" s="1268" t="s">
        <v>1564</v>
      </c>
      <c r="J574" s="1268" t="s">
        <v>1565</v>
      </c>
      <c r="K574" s="1176" t="s">
        <v>43</v>
      </c>
      <c r="L574" s="1271"/>
      <c r="M574" s="1249">
        <v>124000000</v>
      </c>
      <c r="N574" s="1175"/>
      <c r="O574" s="1175"/>
    </row>
    <row r="575" spans="1:15" ht="45" x14ac:dyDescent="0.3">
      <c r="A575" s="1172">
        <v>2022569</v>
      </c>
      <c r="B575" s="1270" t="s">
        <v>459</v>
      </c>
      <c r="C575" s="1270"/>
      <c r="D575" s="1190" t="s">
        <v>689</v>
      </c>
      <c r="E575" s="1270" t="s">
        <v>1186</v>
      </c>
      <c r="F575" s="1197" t="s">
        <v>1188</v>
      </c>
      <c r="G575" s="1268" t="s">
        <v>1521</v>
      </c>
      <c r="H575" s="1268" t="s">
        <v>1521</v>
      </c>
      <c r="I575" s="1268" t="s">
        <v>1567</v>
      </c>
      <c r="J575" s="1268" t="s">
        <v>1565</v>
      </c>
      <c r="K575" s="1176" t="s">
        <v>43</v>
      </c>
      <c r="L575" s="1271"/>
      <c r="M575" s="1249">
        <v>109000000</v>
      </c>
      <c r="N575" s="1175"/>
      <c r="O575" s="1175"/>
    </row>
    <row r="576" spans="1:15" ht="45" x14ac:dyDescent="0.3">
      <c r="A576" s="1172">
        <v>2022570</v>
      </c>
      <c r="B576" s="1270" t="s">
        <v>459</v>
      </c>
      <c r="C576" s="1270"/>
      <c r="D576" s="1190" t="s">
        <v>689</v>
      </c>
      <c r="E576" s="1270" t="s">
        <v>780</v>
      </c>
      <c r="F576" s="1197" t="s">
        <v>1189</v>
      </c>
      <c r="G576" s="1268" t="s">
        <v>1538</v>
      </c>
      <c r="H576" s="1268" t="s">
        <v>1538</v>
      </c>
      <c r="I576" s="1268" t="s">
        <v>1569</v>
      </c>
      <c r="J576" s="1268" t="s">
        <v>1565</v>
      </c>
      <c r="K576" s="1176" t="s">
        <v>43</v>
      </c>
      <c r="L576" s="1271"/>
      <c r="M576" s="1249">
        <v>350000000</v>
      </c>
      <c r="N576" s="1175"/>
      <c r="O576" s="1175"/>
    </row>
    <row r="577" spans="1:18" ht="60" x14ac:dyDescent="0.3">
      <c r="A577" s="1182">
        <v>2022571</v>
      </c>
      <c r="B577" s="1273" t="s">
        <v>459</v>
      </c>
      <c r="C577" s="1273"/>
      <c r="D577" s="1227" t="s">
        <v>689</v>
      </c>
      <c r="E577" s="1273" t="s">
        <v>983</v>
      </c>
      <c r="F577" s="1275" t="s">
        <v>1190</v>
      </c>
      <c r="G577" s="1265" t="s">
        <v>1527</v>
      </c>
      <c r="H577" s="1265" t="s">
        <v>1527</v>
      </c>
      <c r="I577" s="1265" t="s">
        <v>1575</v>
      </c>
      <c r="J577" s="1265" t="s">
        <v>1568</v>
      </c>
      <c r="K577" s="1184" t="s">
        <v>43</v>
      </c>
      <c r="L577" s="1276"/>
      <c r="M577" s="1188">
        <v>756263000</v>
      </c>
      <c r="N577" s="1185"/>
      <c r="O577" s="1185"/>
      <c r="R577" s="1159"/>
    </row>
    <row r="578" spans="1:18" ht="45" x14ac:dyDescent="0.3">
      <c r="A578" s="1172">
        <v>2022572</v>
      </c>
      <c r="B578" s="1270" t="s">
        <v>459</v>
      </c>
      <c r="C578" s="1270"/>
      <c r="D578" s="1190" t="s">
        <v>689</v>
      </c>
      <c r="E578" s="1270" t="s">
        <v>1171</v>
      </c>
      <c r="F578" s="1197" t="s">
        <v>987</v>
      </c>
      <c r="G578" s="1268" t="s">
        <v>1521</v>
      </c>
      <c r="H578" s="1268" t="s">
        <v>1521</v>
      </c>
      <c r="I578" s="1268" t="s">
        <v>1499</v>
      </c>
      <c r="J578" s="1268" t="s">
        <v>1475</v>
      </c>
      <c r="K578" s="1176" t="s">
        <v>43</v>
      </c>
      <c r="L578" s="1271"/>
      <c r="M578" s="1249">
        <v>37063000</v>
      </c>
      <c r="N578" s="1175"/>
      <c r="O578" s="1175"/>
    </row>
    <row r="579" spans="1:18" ht="45" x14ac:dyDescent="0.3">
      <c r="A579" s="1172">
        <v>2022573</v>
      </c>
      <c r="B579" s="1270" t="s">
        <v>459</v>
      </c>
      <c r="C579" s="1270"/>
      <c r="D579" s="1190" t="s">
        <v>689</v>
      </c>
      <c r="E579" s="1270" t="s">
        <v>1171</v>
      </c>
      <c r="F579" s="1197" t="s">
        <v>989</v>
      </c>
      <c r="G579" s="1268" t="s">
        <v>1521</v>
      </c>
      <c r="H579" s="1268" t="s">
        <v>1521</v>
      </c>
      <c r="I579" s="1268" t="s">
        <v>1470</v>
      </c>
      <c r="J579" s="1268" t="s">
        <v>1475</v>
      </c>
      <c r="K579" s="1176" t="s">
        <v>43</v>
      </c>
      <c r="L579" s="1271"/>
      <c r="M579" s="1249">
        <v>382937000</v>
      </c>
      <c r="N579" s="1175"/>
      <c r="O579" s="1175"/>
    </row>
    <row r="580" spans="1:18" ht="45" x14ac:dyDescent="0.3">
      <c r="A580" s="1172">
        <v>2022574</v>
      </c>
      <c r="B580" s="1270" t="s">
        <v>459</v>
      </c>
      <c r="C580" s="1270"/>
      <c r="D580" s="1190" t="s">
        <v>689</v>
      </c>
      <c r="E580" s="1270" t="s">
        <v>1191</v>
      </c>
      <c r="F580" s="1197" t="s">
        <v>1571</v>
      </c>
      <c r="G580" s="1268" t="s">
        <v>1521</v>
      </c>
      <c r="H580" s="1268" t="s">
        <v>1521</v>
      </c>
      <c r="I580" s="1268" t="s">
        <v>1563</v>
      </c>
      <c r="J580" s="1268" t="s">
        <v>1565</v>
      </c>
      <c r="K580" s="1176" t="s">
        <v>43</v>
      </c>
      <c r="L580" s="1271"/>
      <c r="M580" s="1249">
        <v>4019274</v>
      </c>
      <c r="N580" s="1175"/>
      <c r="O580" s="1175"/>
    </row>
    <row r="581" spans="1:18" ht="45" x14ac:dyDescent="0.3">
      <c r="A581" s="1172">
        <v>2022575</v>
      </c>
      <c r="B581" s="1270" t="s">
        <v>459</v>
      </c>
      <c r="C581" s="1270"/>
      <c r="D581" s="1190" t="s">
        <v>689</v>
      </c>
      <c r="E581" s="1270" t="s">
        <v>1193</v>
      </c>
      <c r="F581" s="1197" t="s">
        <v>1194</v>
      </c>
      <c r="G581" s="1268" t="s">
        <v>1521</v>
      </c>
      <c r="H581" s="1268" t="s">
        <v>1521</v>
      </c>
      <c r="I581" s="1268" t="s">
        <v>1572</v>
      </c>
      <c r="J581" s="1268" t="s">
        <v>1565</v>
      </c>
      <c r="K581" s="1176" t="s">
        <v>43</v>
      </c>
      <c r="L581" s="1271"/>
      <c r="M581" s="1249">
        <v>8664250</v>
      </c>
      <c r="N581" s="1175"/>
      <c r="O581" s="1175"/>
    </row>
    <row r="582" spans="1:18" ht="45" x14ac:dyDescent="0.3">
      <c r="A582" s="1172">
        <v>2022576</v>
      </c>
      <c r="B582" s="1270" t="s">
        <v>459</v>
      </c>
      <c r="C582" s="1270"/>
      <c r="D582" s="1190" t="s">
        <v>689</v>
      </c>
      <c r="E582" s="1270" t="s">
        <v>1191</v>
      </c>
      <c r="F582" s="1197" t="s">
        <v>1195</v>
      </c>
      <c r="G582" s="1268" t="s">
        <v>1532</v>
      </c>
      <c r="H582" s="1268" t="s">
        <v>1532</v>
      </c>
      <c r="I582" s="1268" t="s">
        <v>1573</v>
      </c>
      <c r="J582" s="1268" t="s">
        <v>1565</v>
      </c>
      <c r="K582" s="1176" t="s">
        <v>43</v>
      </c>
      <c r="L582" s="1271"/>
      <c r="M582" s="1249">
        <v>13335750</v>
      </c>
      <c r="N582" s="1175"/>
      <c r="O582" s="1175"/>
    </row>
    <row r="583" spans="1:18" ht="45" x14ac:dyDescent="0.3">
      <c r="A583" s="1172">
        <v>2022577</v>
      </c>
      <c r="B583" s="1270" t="s">
        <v>459</v>
      </c>
      <c r="C583" s="1270"/>
      <c r="D583" s="1190" t="s">
        <v>689</v>
      </c>
      <c r="E583" s="1270" t="s">
        <v>1193</v>
      </c>
      <c r="F583" s="1197" t="s">
        <v>1192</v>
      </c>
      <c r="G583" s="1268" t="s">
        <v>1535</v>
      </c>
      <c r="H583" s="1268" t="s">
        <v>1535</v>
      </c>
      <c r="I583" s="1268" t="s">
        <v>1563</v>
      </c>
      <c r="J583" s="1268" t="s">
        <v>1565</v>
      </c>
      <c r="K583" s="1176" t="s">
        <v>43</v>
      </c>
      <c r="L583" s="1271"/>
      <c r="M583" s="1249">
        <v>3980726</v>
      </c>
      <c r="N583" s="1175"/>
      <c r="O583" s="1175"/>
    </row>
    <row r="584" spans="1:18" ht="45" x14ac:dyDescent="0.3">
      <c r="A584" s="1172">
        <v>2022578</v>
      </c>
      <c r="B584" s="1270" t="s">
        <v>459</v>
      </c>
      <c r="C584" s="1270"/>
      <c r="D584" s="1190" t="s">
        <v>689</v>
      </c>
      <c r="E584" s="1270" t="s">
        <v>808</v>
      </c>
      <c r="F584" s="1197" t="s">
        <v>809</v>
      </c>
      <c r="G584" s="1268" t="s">
        <v>1521</v>
      </c>
      <c r="H584" s="1268" t="s">
        <v>1521</v>
      </c>
      <c r="I584" s="1268">
        <v>0</v>
      </c>
      <c r="J584" s="1268" t="s">
        <v>1574</v>
      </c>
      <c r="K584" s="1176" t="s">
        <v>43</v>
      </c>
      <c r="L584" s="1271"/>
      <c r="M584" s="1249">
        <v>20000000</v>
      </c>
      <c r="N584" s="1175"/>
      <c r="O584" s="1175"/>
    </row>
    <row r="585" spans="1:18" ht="45" x14ac:dyDescent="0.3">
      <c r="A585" s="1172">
        <v>2022579</v>
      </c>
      <c r="B585" s="1270" t="s">
        <v>459</v>
      </c>
      <c r="C585" s="1270"/>
      <c r="D585" s="1190" t="s">
        <v>689</v>
      </c>
      <c r="E585" s="1270" t="s">
        <v>808</v>
      </c>
      <c r="F585" s="1197" t="s">
        <v>1196</v>
      </c>
      <c r="G585" s="1268" t="s">
        <v>1521</v>
      </c>
      <c r="H585" s="1268" t="s">
        <v>1521</v>
      </c>
      <c r="I585" s="1268" t="s">
        <v>1575</v>
      </c>
      <c r="J585" s="1268" t="s">
        <v>1574</v>
      </c>
      <c r="K585" s="1176" t="s">
        <v>43</v>
      </c>
      <c r="L585" s="1271"/>
      <c r="M585" s="1249">
        <v>130000000</v>
      </c>
      <c r="N585" s="1175"/>
      <c r="O585" s="1175"/>
    </row>
    <row r="586" spans="1:18" ht="30" x14ac:dyDescent="0.3">
      <c r="A586" s="1172">
        <v>2022580</v>
      </c>
      <c r="B586" s="1270" t="s">
        <v>459</v>
      </c>
      <c r="C586" s="1270"/>
      <c r="D586" s="1190" t="s">
        <v>682</v>
      </c>
      <c r="E586" s="1270" t="s">
        <v>780</v>
      </c>
      <c r="F586" s="1197" t="s">
        <v>1197</v>
      </c>
      <c r="G586" s="1277" t="s">
        <v>1521</v>
      </c>
      <c r="H586" s="1277" t="s">
        <v>1521</v>
      </c>
      <c r="I586" s="1268" t="s">
        <v>1576</v>
      </c>
      <c r="J586" s="1268" t="s">
        <v>1565</v>
      </c>
      <c r="K586" s="1176" t="s">
        <v>43</v>
      </c>
      <c r="L586" s="1271"/>
      <c r="M586" s="1249">
        <v>85650000</v>
      </c>
      <c r="N586" s="1175"/>
      <c r="O586" s="1175"/>
    </row>
    <row r="587" spans="1:18" ht="45" x14ac:dyDescent="0.3">
      <c r="A587" s="1172">
        <v>2022581</v>
      </c>
      <c r="B587" s="1270" t="s">
        <v>459</v>
      </c>
      <c r="C587" s="1270"/>
      <c r="D587" s="1190" t="s">
        <v>682</v>
      </c>
      <c r="E587" s="1270" t="s">
        <v>780</v>
      </c>
      <c r="F587" s="1197" t="s">
        <v>1198</v>
      </c>
      <c r="G587" s="1277" t="s">
        <v>1521</v>
      </c>
      <c r="H587" s="1277" t="s">
        <v>1521</v>
      </c>
      <c r="I587" s="1268" t="s">
        <v>1576</v>
      </c>
      <c r="J587" s="1268" t="s">
        <v>1565</v>
      </c>
      <c r="K587" s="1176" t="s">
        <v>43</v>
      </c>
      <c r="L587" s="1271"/>
      <c r="M587" s="1249">
        <v>55350000</v>
      </c>
      <c r="N587" s="1175"/>
      <c r="O587" s="1175"/>
    </row>
    <row r="588" spans="1:18" ht="45" x14ac:dyDescent="0.3">
      <c r="A588" s="1172">
        <v>2022582</v>
      </c>
      <c r="B588" s="1270" t="s">
        <v>459</v>
      </c>
      <c r="C588" s="1270"/>
      <c r="D588" s="1190" t="s">
        <v>682</v>
      </c>
      <c r="E588" s="1270" t="s">
        <v>780</v>
      </c>
      <c r="F588" s="1197" t="s">
        <v>1199</v>
      </c>
      <c r="G588" s="1277" t="s">
        <v>1521</v>
      </c>
      <c r="H588" s="1277" t="s">
        <v>1521</v>
      </c>
      <c r="I588" s="1268" t="s">
        <v>1474</v>
      </c>
      <c r="J588" s="1268" t="s">
        <v>1565</v>
      </c>
      <c r="K588" s="1176" t="s">
        <v>43</v>
      </c>
      <c r="L588" s="1271"/>
      <c r="M588" s="1249">
        <v>99000000</v>
      </c>
      <c r="N588" s="1175"/>
      <c r="O588" s="1175"/>
    </row>
    <row r="589" spans="1:18" ht="75" x14ac:dyDescent="0.3">
      <c r="A589" s="1172">
        <v>2022583</v>
      </c>
      <c r="B589" s="1270" t="s">
        <v>459</v>
      </c>
      <c r="C589" s="1270"/>
      <c r="D589" s="1190" t="s">
        <v>698</v>
      </c>
      <c r="E589" s="1270" t="s">
        <v>1200</v>
      </c>
      <c r="F589" s="1197" t="s">
        <v>1201</v>
      </c>
      <c r="G589" s="1277" t="s">
        <v>1521</v>
      </c>
      <c r="H589" s="1277" t="s">
        <v>1521</v>
      </c>
      <c r="I589" s="1268" t="s">
        <v>1460</v>
      </c>
      <c r="J589" s="1268" t="s">
        <v>1577</v>
      </c>
      <c r="K589" s="1176" t="s">
        <v>43</v>
      </c>
      <c r="L589" s="1271"/>
      <c r="M589" s="1249">
        <v>22000000</v>
      </c>
      <c r="N589" s="1175"/>
      <c r="O589" s="1175"/>
    </row>
    <row r="590" spans="1:18" ht="30" x14ac:dyDescent="0.3">
      <c r="A590" s="1172">
        <v>2022584</v>
      </c>
      <c r="B590" s="1270" t="s">
        <v>459</v>
      </c>
      <c r="C590" s="1270"/>
      <c r="D590" s="1190" t="s">
        <v>701</v>
      </c>
      <c r="E590" s="1270" t="s">
        <v>1202</v>
      </c>
      <c r="F590" s="1197" t="s">
        <v>1203</v>
      </c>
      <c r="G590" s="1268" t="s">
        <v>1526</v>
      </c>
      <c r="H590" s="1268" t="s">
        <v>1526</v>
      </c>
      <c r="I590" s="1268" t="s">
        <v>1563</v>
      </c>
      <c r="J590" s="1268" t="s">
        <v>1565</v>
      </c>
      <c r="K590" s="1176" t="s">
        <v>43</v>
      </c>
      <c r="L590" s="1271"/>
      <c r="M590" s="1249">
        <v>700102000</v>
      </c>
      <c r="N590" s="1175"/>
      <c r="O590" s="1175"/>
    </row>
    <row r="591" spans="1:18" ht="180" x14ac:dyDescent="0.3">
      <c r="A591" s="1172">
        <v>2022585</v>
      </c>
      <c r="B591" s="1270" t="s">
        <v>459</v>
      </c>
      <c r="C591" s="1270"/>
      <c r="D591" s="1190" t="s">
        <v>695</v>
      </c>
      <c r="E591" s="1270" t="s">
        <v>1204</v>
      </c>
      <c r="F591" s="1197" t="s">
        <v>1205</v>
      </c>
      <c r="G591" s="1268" t="s">
        <v>1532</v>
      </c>
      <c r="H591" s="1268" t="s">
        <v>1532</v>
      </c>
      <c r="I591" s="1268" t="s">
        <v>1563</v>
      </c>
      <c r="J591" s="1268" t="s">
        <v>1568</v>
      </c>
      <c r="K591" s="1176" t="s">
        <v>43</v>
      </c>
      <c r="L591" s="1271"/>
      <c r="M591" s="1249">
        <v>40000000</v>
      </c>
      <c r="N591" s="1175"/>
      <c r="O591" s="1175"/>
      <c r="R591" s="330"/>
    </row>
    <row r="592" spans="1:18" ht="45" x14ac:dyDescent="0.3">
      <c r="A592" s="1172">
        <v>2022586</v>
      </c>
      <c r="B592" s="1270" t="s">
        <v>459</v>
      </c>
      <c r="C592" s="1270"/>
      <c r="D592" s="1190" t="s">
        <v>695</v>
      </c>
      <c r="E592" s="1270" t="s">
        <v>1206</v>
      </c>
      <c r="F592" s="1197" t="s">
        <v>1207</v>
      </c>
      <c r="G592" s="1268" t="s">
        <v>1522</v>
      </c>
      <c r="H592" s="1268" t="s">
        <v>1522</v>
      </c>
      <c r="I592" s="1268" t="s">
        <v>1573</v>
      </c>
      <c r="J592" s="1268" t="s">
        <v>1568</v>
      </c>
      <c r="K592" s="1176" t="s">
        <v>43</v>
      </c>
      <c r="L592" s="1271"/>
      <c r="M592" s="1249">
        <v>870000000</v>
      </c>
      <c r="N592" s="1175"/>
      <c r="O592" s="1175"/>
    </row>
    <row r="593" spans="1:18" ht="30" x14ac:dyDescent="0.3">
      <c r="A593" s="1172">
        <v>2022587</v>
      </c>
      <c r="B593" s="1270" t="s">
        <v>459</v>
      </c>
      <c r="C593" s="1270"/>
      <c r="D593" s="1190" t="s">
        <v>695</v>
      </c>
      <c r="E593" s="1270" t="s">
        <v>1208</v>
      </c>
      <c r="F593" s="1197" t="s">
        <v>1209</v>
      </c>
      <c r="G593" s="1268" t="s">
        <v>1578</v>
      </c>
      <c r="H593" s="1268" t="s">
        <v>1578</v>
      </c>
      <c r="I593" s="1268" t="s">
        <v>1210</v>
      </c>
      <c r="J593" s="1268"/>
      <c r="K593" s="1176" t="s">
        <v>43</v>
      </c>
      <c r="L593" s="1271"/>
      <c r="M593" s="1249">
        <v>150000000</v>
      </c>
      <c r="N593" s="1175"/>
      <c r="O593" s="1175"/>
    </row>
    <row r="594" spans="1:18" ht="30" x14ac:dyDescent="0.3">
      <c r="A594" s="1172">
        <v>2022588</v>
      </c>
      <c r="B594" s="1270" t="s">
        <v>459</v>
      </c>
      <c r="C594" s="1270"/>
      <c r="D594" s="1190" t="s">
        <v>695</v>
      </c>
      <c r="E594" s="1270" t="s">
        <v>1211</v>
      </c>
      <c r="F594" s="1197" t="s">
        <v>1212</v>
      </c>
      <c r="G594" s="1268" t="s">
        <v>1537</v>
      </c>
      <c r="H594" s="1268" t="s">
        <v>1537</v>
      </c>
      <c r="I594" s="1268" t="s">
        <v>1564</v>
      </c>
      <c r="J594" s="1268" t="s">
        <v>1574</v>
      </c>
      <c r="K594" s="1176" t="s">
        <v>43</v>
      </c>
      <c r="L594" s="1271"/>
      <c r="M594" s="1249">
        <v>250000000</v>
      </c>
      <c r="N594" s="1175"/>
      <c r="O594" s="1175"/>
    </row>
    <row r="595" spans="1:18" ht="75" x14ac:dyDescent="0.3">
      <c r="A595" s="1182">
        <v>2022589</v>
      </c>
      <c r="B595" s="1273" t="s">
        <v>459</v>
      </c>
      <c r="C595" s="1273"/>
      <c r="D595" s="1227" t="s">
        <v>695</v>
      </c>
      <c r="E595" s="1273" t="s">
        <v>1213</v>
      </c>
      <c r="F595" s="1275" t="s">
        <v>1214</v>
      </c>
      <c r="G595" s="1265" t="s">
        <v>1522</v>
      </c>
      <c r="H595" s="1265" t="s">
        <v>1522</v>
      </c>
      <c r="I595" s="1265" t="s">
        <v>1573</v>
      </c>
      <c r="J595" s="1265" t="s">
        <v>1577</v>
      </c>
      <c r="K595" s="1184" t="s">
        <v>43</v>
      </c>
      <c r="L595" s="1276"/>
      <c r="M595" s="1188">
        <f>50000000-29250000</f>
        <v>20750000</v>
      </c>
      <c r="N595" s="1185"/>
      <c r="O595" s="1185"/>
      <c r="R595" s="1159"/>
    </row>
    <row r="596" spans="1:18" ht="60" x14ac:dyDescent="0.3">
      <c r="A596" s="1172">
        <v>2022590</v>
      </c>
      <c r="B596" s="1270" t="s">
        <v>459</v>
      </c>
      <c r="C596" s="1270"/>
      <c r="D596" s="1190" t="s">
        <v>695</v>
      </c>
      <c r="E596" s="1270" t="s">
        <v>1210</v>
      </c>
      <c r="F596" s="1197" t="s">
        <v>1215</v>
      </c>
      <c r="G596" s="1268" t="s">
        <v>1526</v>
      </c>
      <c r="H596" s="1268" t="s">
        <v>1526</v>
      </c>
      <c r="I596" s="1268" t="s">
        <v>1567</v>
      </c>
      <c r="J596" s="1268" t="s">
        <v>1579</v>
      </c>
      <c r="K596" s="1176" t="s">
        <v>43</v>
      </c>
      <c r="L596" s="1271"/>
      <c r="M596" s="1249">
        <v>2476000000</v>
      </c>
      <c r="N596" s="1175"/>
      <c r="O596" s="1175"/>
    </row>
    <row r="597" spans="1:18" ht="84" customHeight="1" x14ac:dyDescent="0.3">
      <c r="A597" s="1172">
        <v>2022591</v>
      </c>
      <c r="B597" s="1270" t="s">
        <v>459</v>
      </c>
      <c r="C597" s="1270"/>
      <c r="D597" s="1173" t="s">
        <v>671</v>
      </c>
      <c r="E597" s="1270" t="s">
        <v>1216</v>
      </c>
      <c r="F597" s="1197" t="s">
        <v>1580</v>
      </c>
      <c r="G597" s="1268" t="s">
        <v>1521</v>
      </c>
      <c r="H597" s="1268" t="s">
        <v>1521</v>
      </c>
      <c r="I597" s="1268" t="s">
        <v>1581</v>
      </c>
      <c r="J597" s="1268" t="s">
        <v>1565</v>
      </c>
      <c r="K597" s="1176" t="s">
        <v>43</v>
      </c>
      <c r="L597" s="1271"/>
      <c r="M597" s="1249">
        <v>35000000</v>
      </c>
      <c r="N597" s="1175"/>
      <c r="O597" s="1175"/>
    </row>
    <row r="598" spans="1:18" ht="45" x14ac:dyDescent="0.3">
      <c r="A598" s="1172">
        <v>2022592</v>
      </c>
      <c r="B598" s="1270" t="s">
        <v>459</v>
      </c>
      <c r="C598" s="1270"/>
      <c r="D598" s="1173" t="s">
        <v>671</v>
      </c>
      <c r="E598" s="1270" t="s">
        <v>1216</v>
      </c>
      <c r="F598" s="1197" t="s">
        <v>1218</v>
      </c>
      <c r="G598" s="1268" t="s">
        <v>1521</v>
      </c>
      <c r="H598" s="1268" t="s">
        <v>1521</v>
      </c>
      <c r="I598" s="1268" t="s">
        <v>1581</v>
      </c>
      <c r="J598" s="1268" t="s">
        <v>1582</v>
      </c>
      <c r="K598" s="1176" t="s">
        <v>43</v>
      </c>
      <c r="L598" s="1271"/>
      <c r="M598" s="1249">
        <v>19810000</v>
      </c>
      <c r="N598" s="1175"/>
      <c r="O598" s="1175"/>
    </row>
    <row r="599" spans="1:18" ht="45" x14ac:dyDescent="0.3">
      <c r="A599" s="1172">
        <v>2022593</v>
      </c>
      <c r="B599" s="1270" t="s">
        <v>459</v>
      </c>
      <c r="C599" s="1270"/>
      <c r="D599" s="1173" t="s">
        <v>671</v>
      </c>
      <c r="E599" s="1270" t="s">
        <v>1219</v>
      </c>
      <c r="F599" s="1197" t="s">
        <v>1220</v>
      </c>
      <c r="G599" s="1268" t="s">
        <v>1521</v>
      </c>
      <c r="H599" s="1268" t="s">
        <v>1521</v>
      </c>
      <c r="I599" s="1268" t="s">
        <v>1583</v>
      </c>
      <c r="J599" s="1268" t="s">
        <v>1565</v>
      </c>
      <c r="K599" s="1176" t="s">
        <v>43</v>
      </c>
      <c r="L599" s="1271"/>
      <c r="M599" s="1249">
        <v>10000000</v>
      </c>
      <c r="N599" s="1175"/>
      <c r="O599" s="1175"/>
      <c r="R599" s="1278"/>
    </row>
    <row r="600" spans="1:18" ht="30" x14ac:dyDescent="0.3">
      <c r="A600" s="1172">
        <v>2022594</v>
      </c>
      <c r="B600" s="1270" t="s">
        <v>459</v>
      </c>
      <c r="C600" s="1270"/>
      <c r="D600" s="1173" t="s">
        <v>671</v>
      </c>
      <c r="E600" s="1270" t="s">
        <v>1221</v>
      </c>
      <c r="F600" s="1197" t="s">
        <v>1584</v>
      </c>
      <c r="G600" s="1268" t="s">
        <v>1521</v>
      </c>
      <c r="H600" s="1268" t="s">
        <v>1521</v>
      </c>
      <c r="I600" s="1268" t="s">
        <v>1563</v>
      </c>
      <c r="J600" s="1268" t="s">
        <v>1565</v>
      </c>
      <c r="K600" s="1176" t="s">
        <v>43</v>
      </c>
      <c r="L600" s="1271"/>
      <c r="M600" s="1249">
        <v>8386190</v>
      </c>
      <c r="N600" s="1175"/>
      <c r="O600" s="1175"/>
    </row>
    <row r="601" spans="1:18" ht="30" x14ac:dyDescent="0.3">
      <c r="A601" s="1172">
        <v>2022595</v>
      </c>
      <c r="B601" s="1270" t="s">
        <v>459</v>
      </c>
      <c r="C601" s="1270"/>
      <c r="D601" s="1173" t="s">
        <v>671</v>
      </c>
      <c r="E601" s="1270" t="s">
        <v>1223</v>
      </c>
      <c r="F601" s="1197" t="s">
        <v>1224</v>
      </c>
      <c r="G601" s="1268" t="s">
        <v>1538</v>
      </c>
      <c r="H601" s="1268" t="s">
        <v>1538</v>
      </c>
      <c r="I601" s="1268" t="s">
        <v>1567</v>
      </c>
      <c r="J601" s="1268" t="s">
        <v>1565</v>
      </c>
      <c r="K601" s="1176" t="s">
        <v>43</v>
      </c>
      <c r="L601" s="1271"/>
      <c r="M601" s="1249">
        <v>35000000</v>
      </c>
      <c r="N601" s="1175"/>
      <c r="O601" s="1175"/>
    </row>
    <row r="602" spans="1:18" ht="45" x14ac:dyDescent="0.3">
      <c r="A602" s="1172">
        <v>2022596</v>
      </c>
      <c r="B602" s="1270" t="s">
        <v>459</v>
      </c>
      <c r="C602" s="1270"/>
      <c r="D602" s="1173" t="s">
        <v>671</v>
      </c>
      <c r="E602" s="1270" t="s">
        <v>1225</v>
      </c>
      <c r="F602" s="1197" t="s">
        <v>1585</v>
      </c>
      <c r="G602" s="1268" t="s">
        <v>1537</v>
      </c>
      <c r="H602" s="1268" t="s">
        <v>1537</v>
      </c>
      <c r="I602" s="1268" t="s">
        <v>1581</v>
      </c>
      <c r="J602" s="1268" t="s">
        <v>1475</v>
      </c>
      <c r="K602" s="1176" t="s">
        <v>43</v>
      </c>
      <c r="L602" s="1271"/>
      <c r="M602" s="1249">
        <v>35000000</v>
      </c>
      <c r="N602" s="1175"/>
      <c r="O602" s="1175"/>
    </row>
    <row r="603" spans="1:18" ht="75" x14ac:dyDescent="0.3">
      <c r="A603" s="1182">
        <v>2022597</v>
      </c>
      <c r="B603" s="1273" t="s">
        <v>459</v>
      </c>
      <c r="C603" s="1273"/>
      <c r="D603" s="1279" t="s">
        <v>671</v>
      </c>
      <c r="E603" s="1273" t="s">
        <v>1227</v>
      </c>
      <c r="F603" s="1275" t="s">
        <v>1228</v>
      </c>
      <c r="G603" s="1265" t="s">
        <v>1522</v>
      </c>
      <c r="H603" s="1265" t="s">
        <v>1522</v>
      </c>
      <c r="I603" s="1265" t="s">
        <v>1563</v>
      </c>
      <c r="J603" s="1265" t="s">
        <v>1475</v>
      </c>
      <c r="K603" s="1184" t="s">
        <v>43</v>
      </c>
      <c r="L603" s="1276"/>
      <c r="M603" s="1188">
        <f>300000000-81890487</f>
        <v>218109513</v>
      </c>
      <c r="N603" s="1185"/>
      <c r="O603" s="1185"/>
      <c r="R603" s="1159"/>
    </row>
    <row r="604" spans="1:18" ht="60" x14ac:dyDescent="0.3">
      <c r="A604" s="1172">
        <v>2022598</v>
      </c>
      <c r="B604" s="1270" t="s">
        <v>459</v>
      </c>
      <c r="C604" s="1270"/>
      <c r="D604" s="1173" t="s">
        <v>671</v>
      </c>
      <c r="E604" s="1270" t="s">
        <v>1229</v>
      </c>
      <c r="F604" s="1197" t="s">
        <v>1230</v>
      </c>
      <c r="G604" s="1268" t="s">
        <v>1521</v>
      </c>
      <c r="H604" s="1268" t="s">
        <v>1521</v>
      </c>
      <c r="I604" s="1268" t="s">
        <v>1587</v>
      </c>
      <c r="J604" s="1268" t="s">
        <v>1565</v>
      </c>
      <c r="K604" s="1176" t="s">
        <v>43</v>
      </c>
      <c r="L604" s="1271"/>
      <c r="M604" s="1249">
        <v>120473160</v>
      </c>
      <c r="N604" s="1175"/>
      <c r="O604" s="1175"/>
    </row>
    <row r="605" spans="1:18" ht="45" x14ac:dyDescent="0.3">
      <c r="A605" s="1172">
        <v>2022599</v>
      </c>
      <c r="B605" s="1270" t="s">
        <v>459</v>
      </c>
      <c r="C605" s="1270"/>
      <c r="D605" s="1173" t="s">
        <v>671</v>
      </c>
      <c r="E605" s="1270" t="s">
        <v>1229</v>
      </c>
      <c r="F605" s="1197" t="s">
        <v>1232</v>
      </c>
      <c r="G605" s="1268" t="s">
        <v>1532</v>
      </c>
      <c r="H605" s="1268" t="s">
        <v>1532</v>
      </c>
      <c r="I605" s="1268" t="s">
        <v>1588</v>
      </c>
      <c r="J605" s="1268" t="s">
        <v>1565</v>
      </c>
      <c r="K605" s="1176" t="s">
        <v>43</v>
      </c>
      <c r="L605" s="1271"/>
      <c r="M605" s="1249">
        <v>171518585</v>
      </c>
      <c r="N605" s="1175"/>
      <c r="O605" s="1175"/>
    </row>
    <row r="606" spans="1:18" ht="30" x14ac:dyDescent="0.3">
      <c r="A606" s="1172">
        <v>2022600</v>
      </c>
      <c r="B606" s="1270" t="s">
        <v>459</v>
      </c>
      <c r="C606" s="1270"/>
      <c r="D606" s="1173" t="s">
        <v>671</v>
      </c>
      <c r="E606" s="1270" t="s">
        <v>1210</v>
      </c>
      <c r="F606" s="1197" t="s">
        <v>1233</v>
      </c>
      <c r="G606" s="1268" t="s">
        <v>1210</v>
      </c>
      <c r="H606" s="1268" t="s">
        <v>1210</v>
      </c>
      <c r="I606" s="1268" t="s">
        <v>1210</v>
      </c>
      <c r="J606" s="1268" t="s">
        <v>1210</v>
      </c>
      <c r="K606" s="1176"/>
      <c r="L606" s="1271"/>
      <c r="M606" s="1249">
        <v>1613810</v>
      </c>
      <c r="N606" s="1175"/>
      <c r="O606" s="1175"/>
    </row>
    <row r="607" spans="1:18" ht="30" x14ac:dyDescent="0.3">
      <c r="A607" s="1172">
        <v>2022601</v>
      </c>
      <c r="B607" s="1270" t="s">
        <v>459</v>
      </c>
      <c r="C607" s="1270"/>
      <c r="D607" s="1173" t="s">
        <v>671</v>
      </c>
      <c r="E607" s="1270" t="s">
        <v>1210</v>
      </c>
      <c r="F607" s="1197" t="s">
        <v>1234</v>
      </c>
      <c r="G607" s="1268" t="s">
        <v>1210</v>
      </c>
      <c r="H607" s="1268" t="s">
        <v>1210</v>
      </c>
      <c r="I607" s="1268" t="s">
        <v>1210</v>
      </c>
      <c r="J607" s="1268" t="s">
        <v>1210</v>
      </c>
      <c r="K607" s="1176"/>
      <c r="L607" s="1271"/>
      <c r="M607" s="1249">
        <v>8008255</v>
      </c>
      <c r="N607" s="1175"/>
      <c r="O607" s="1175"/>
    </row>
    <row r="608" spans="1:18" s="330" customFormat="1" ht="105" x14ac:dyDescent="0.3">
      <c r="A608" s="1172">
        <v>2022602</v>
      </c>
      <c r="B608" s="1280">
        <v>7637</v>
      </c>
      <c r="C608" s="1268" t="s">
        <v>643</v>
      </c>
      <c r="D608" s="1173" t="s">
        <v>671</v>
      </c>
      <c r="E608" s="1280">
        <v>80111600</v>
      </c>
      <c r="F608" s="1197" t="s">
        <v>1235</v>
      </c>
      <c r="G608" s="1268" t="s">
        <v>1414</v>
      </c>
      <c r="H608" s="1268" t="s">
        <v>1414</v>
      </c>
      <c r="I608" s="1268" t="s">
        <v>1589</v>
      </c>
      <c r="J608" s="1268" t="s">
        <v>1455</v>
      </c>
      <c r="K608" s="1176" t="s">
        <v>674</v>
      </c>
      <c r="L608" s="1281" t="s">
        <v>675</v>
      </c>
      <c r="M608" s="1249">
        <v>3500000</v>
      </c>
      <c r="N608" s="1175" t="s">
        <v>732</v>
      </c>
      <c r="O608" s="1175" t="s">
        <v>1416</v>
      </c>
      <c r="R608" s="1207"/>
    </row>
    <row r="609" spans="1:18" ht="90" x14ac:dyDescent="0.3">
      <c r="A609" s="1172">
        <v>2022603</v>
      </c>
      <c r="B609" s="1172">
        <v>7655</v>
      </c>
      <c r="C609" s="1172" t="s">
        <v>668</v>
      </c>
      <c r="D609" s="1190" t="s">
        <v>671</v>
      </c>
      <c r="E609" s="1172">
        <v>80111600</v>
      </c>
      <c r="F609" s="1192" t="s">
        <v>1236</v>
      </c>
      <c r="G609" s="1193" t="s">
        <v>1414</v>
      </c>
      <c r="H609" s="1212" t="s">
        <v>1414</v>
      </c>
      <c r="I609" s="1215" t="s">
        <v>1457</v>
      </c>
      <c r="J609" s="1195" t="s">
        <v>1455</v>
      </c>
      <c r="K609" s="1176" t="s">
        <v>674</v>
      </c>
      <c r="L609" s="1176" t="s">
        <v>675</v>
      </c>
      <c r="M609" s="1179">
        <v>42000000</v>
      </c>
      <c r="N609" s="1214" t="s">
        <v>726</v>
      </c>
      <c r="O609" s="1206" t="s">
        <v>1456</v>
      </c>
      <c r="R609" s="1159"/>
    </row>
    <row r="610" spans="1:18" ht="60" x14ac:dyDescent="0.3">
      <c r="A610" s="1172">
        <v>2022604</v>
      </c>
      <c r="B610" s="1172">
        <v>7655</v>
      </c>
      <c r="C610" s="1172" t="s">
        <v>668</v>
      </c>
      <c r="D610" s="1190" t="s">
        <v>682</v>
      </c>
      <c r="E610" s="1172">
        <v>80111600</v>
      </c>
      <c r="F610" s="1192" t="s">
        <v>1237</v>
      </c>
      <c r="G610" s="1224">
        <v>44578</v>
      </c>
      <c r="H610" s="1224">
        <v>44578</v>
      </c>
      <c r="I610" s="1194" t="s">
        <v>1590</v>
      </c>
      <c r="J610" s="1195" t="s">
        <v>1455</v>
      </c>
      <c r="K610" s="1176" t="s">
        <v>674</v>
      </c>
      <c r="L610" s="1176" t="s">
        <v>675</v>
      </c>
      <c r="M610" s="1179">
        <v>28175000</v>
      </c>
      <c r="N610" s="1197" t="s">
        <v>730</v>
      </c>
      <c r="O610" s="1197" t="s">
        <v>1456</v>
      </c>
      <c r="R610" s="1159"/>
    </row>
    <row r="611" spans="1:18" ht="60" x14ac:dyDescent="0.3">
      <c r="A611" s="1172">
        <v>2022605</v>
      </c>
      <c r="B611" s="1172">
        <v>7655</v>
      </c>
      <c r="C611" s="1172" t="s">
        <v>668</v>
      </c>
      <c r="D611" s="1190" t="s">
        <v>671</v>
      </c>
      <c r="E611" s="1172">
        <v>80111600</v>
      </c>
      <c r="F611" s="1192" t="s">
        <v>1238</v>
      </c>
      <c r="G611" s="1193" t="s">
        <v>1414</v>
      </c>
      <c r="H611" s="1212" t="s">
        <v>1414</v>
      </c>
      <c r="I611" s="1282" t="s">
        <v>1459</v>
      </c>
      <c r="J611" s="1195" t="s">
        <v>1455</v>
      </c>
      <c r="K611" s="1176" t="s">
        <v>674</v>
      </c>
      <c r="L611" s="1176" t="s">
        <v>675</v>
      </c>
      <c r="M611" s="1179">
        <f>10*4500000</f>
        <v>45000000</v>
      </c>
      <c r="N611" s="1197" t="s">
        <v>730</v>
      </c>
      <c r="O611" s="1206" t="s">
        <v>1456</v>
      </c>
      <c r="R611" s="1159"/>
    </row>
    <row r="612" spans="1:18" ht="60" x14ac:dyDescent="0.3">
      <c r="A612" s="1172">
        <v>2022606</v>
      </c>
      <c r="B612" s="1172">
        <v>7655</v>
      </c>
      <c r="C612" s="1172" t="s">
        <v>668</v>
      </c>
      <c r="D612" s="1190" t="s">
        <v>682</v>
      </c>
      <c r="E612" s="1172">
        <v>80111600</v>
      </c>
      <c r="F612" s="1197" t="s">
        <v>1239</v>
      </c>
      <c r="G612" s="1283">
        <v>44582</v>
      </c>
      <c r="H612" s="1283">
        <v>44582</v>
      </c>
      <c r="I612" s="1268" t="s">
        <v>1563</v>
      </c>
      <c r="J612" s="1195" t="s">
        <v>1455</v>
      </c>
      <c r="K612" s="1176" t="s">
        <v>674</v>
      </c>
      <c r="L612" s="1176" t="s">
        <v>675</v>
      </c>
      <c r="M612" s="1179">
        <v>19200000</v>
      </c>
      <c r="N612" s="1197" t="s">
        <v>730</v>
      </c>
      <c r="O612" s="1206" t="s">
        <v>1456</v>
      </c>
      <c r="R612" s="1159"/>
    </row>
    <row r="613" spans="1:18" ht="105" x14ac:dyDescent="0.3">
      <c r="A613" s="1172">
        <v>2022607</v>
      </c>
      <c r="B613" s="1280" t="s">
        <v>97</v>
      </c>
      <c r="C613" s="1280" t="s">
        <v>97</v>
      </c>
      <c r="D613" s="1190" t="s">
        <v>689</v>
      </c>
      <c r="E613" s="1270" t="s">
        <v>1240</v>
      </c>
      <c r="F613" s="1197" t="s">
        <v>1241</v>
      </c>
      <c r="G613" s="1277">
        <v>44606</v>
      </c>
      <c r="H613" s="1268"/>
      <c r="I613" s="1268" t="s">
        <v>1591</v>
      </c>
      <c r="J613" s="1268" t="s">
        <v>1592</v>
      </c>
      <c r="K613" s="1176" t="s">
        <v>97</v>
      </c>
      <c r="L613" s="1271" t="s">
        <v>97</v>
      </c>
      <c r="M613" s="1249">
        <v>0</v>
      </c>
      <c r="N613" s="1175" t="s">
        <v>97</v>
      </c>
      <c r="O613" s="1175" t="s">
        <v>97</v>
      </c>
    </row>
    <row r="614" spans="1:18" ht="105" x14ac:dyDescent="0.3">
      <c r="A614" s="1191">
        <v>2022608</v>
      </c>
      <c r="B614" s="1191">
        <v>7637</v>
      </c>
      <c r="C614" s="1191" t="s">
        <v>643</v>
      </c>
      <c r="D614" s="1243" t="s">
        <v>671</v>
      </c>
      <c r="E614" s="1284">
        <v>80111600</v>
      </c>
      <c r="F614" s="1243" t="s">
        <v>1242</v>
      </c>
      <c r="G614" s="1285" t="s">
        <v>1414</v>
      </c>
      <c r="H614" s="1285" t="s">
        <v>1414</v>
      </c>
      <c r="I614" s="1285">
        <v>10</v>
      </c>
      <c r="J614" s="1285" t="s">
        <v>1415</v>
      </c>
      <c r="K614" s="1285" t="s">
        <v>674</v>
      </c>
      <c r="L614" s="1286" t="s">
        <v>675</v>
      </c>
      <c r="M614" s="1196">
        <v>23400000</v>
      </c>
      <c r="N614" s="1287" t="s">
        <v>732</v>
      </c>
      <c r="O614" s="1287" t="s">
        <v>1416</v>
      </c>
      <c r="R614" s="1159"/>
    </row>
    <row r="615" spans="1:18" s="1278" customFormat="1" ht="60" x14ac:dyDescent="0.35">
      <c r="A615" s="1182">
        <v>2022609</v>
      </c>
      <c r="B615" s="1182">
        <v>7658</v>
      </c>
      <c r="C615" s="1265" t="s">
        <v>679</v>
      </c>
      <c r="D615" s="1182" t="s">
        <v>692</v>
      </c>
      <c r="E615" s="1182" t="s">
        <v>1448</v>
      </c>
      <c r="F615" s="1182" t="s">
        <v>1244</v>
      </c>
      <c r="G615" s="1182" t="s">
        <v>1414</v>
      </c>
      <c r="H615" s="1182" t="s">
        <v>1414</v>
      </c>
      <c r="I615" s="1182" t="s">
        <v>1593</v>
      </c>
      <c r="J615" s="1182" t="s">
        <v>1531</v>
      </c>
      <c r="K615" s="1182" t="s">
        <v>674</v>
      </c>
      <c r="L615" s="1182" t="s">
        <v>675</v>
      </c>
      <c r="M615" s="1288">
        <f>181080376-104794000</f>
        <v>76286376</v>
      </c>
      <c r="N615" s="1182" t="s">
        <v>741</v>
      </c>
      <c r="O615" s="1182" t="s">
        <v>1524</v>
      </c>
      <c r="R615" s="1159"/>
    </row>
    <row r="616" spans="1:18" ht="105" x14ac:dyDescent="0.3">
      <c r="A616" s="1172">
        <v>2022610</v>
      </c>
      <c r="B616" s="1270" t="s">
        <v>459</v>
      </c>
      <c r="C616" s="1270"/>
      <c r="D616" s="1173" t="s">
        <v>671</v>
      </c>
      <c r="E616" s="1172" t="s">
        <v>1227</v>
      </c>
      <c r="F616" s="1197" t="s">
        <v>1245</v>
      </c>
      <c r="G616" s="1268" t="s">
        <v>1526</v>
      </c>
      <c r="H616" s="1268" t="s">
        <v>1526</v>
      </c>
      <c r="I616" s="1289" t="s">
        <v>1594</v>
      </c>
      <c r="J616" s="1268" t="s">
        <v>1475</v>
      </c>
      <c r="K616" s="1176" t="s">
        <v>43</v>
      </c>
      <c r="L616" s="1271"/>
      <c r="M616" s="1249">
        <v>81890487</v>
      </c>
      <c r="N616" s="1175"/>
      <c r="O616" s="1175"/>
    </row>
    <row r="617" spans="1:18" ht="75.650000000000006" customHeight="1" x14ac:dyDescent="0.3">
      <c r="A617" s="1272">
        <v>2022611</v>
      </c>
      <c r="B617" s="1265">
        <v>7658</v>
      </c>
      <c r="C617" s="1265" t="s">
        <v>679</v>
      </c>
      <c r="D617" s="1265" t="s">
        <v>692</v>
      </c>
      <c r="E617" s="1290"/>
      <c r="F617" s="1273" t="s">
        <v>1131</v>
      </c>
      <c r="G617" s="1291"/>
      <c r="H617" s="1291"/>
      <c r="I617" s="1291"/>
      <c r="J617" s="1291"/>
      <c r="K617" s="1182" t="s">
        <v>674</v>
      </c>
      <c r="L617" s="1183" t="s">
        <v>675</v>
      </c>
      <c r="M617" s="1188">
        <v>560000</v>
      </c>
      <c r="N617" s="1185" t="s">
        <v>741</v>
      </c>
      <c r="O617" s="1185" t="s">
        <v>1524</v>
      </c>
      <c r="R617" s="1159"/>
    </row>
    <row r="618" spans="1:18" ht="125.5" customHeight="1" x14ac:dyDescent="0.3">
      <c r="A618" s="1272">
        <v>2022612</v>
      </c>
      <c r="B618" s="1265">
        <v>7637</v>
      </c>
      <c r="C618" s="1265" t="s">
        <v>643</v>
      </c>
      <c r="D618" s="1265" t="s">
        <v>671</v>
      </c>
      <c r="E618" s="1265" t="s">
        <v>1227</v>
      </c>
      <c r="F618" s="1274" t="s">
        <v>1228</v>
      </c>
      <c r="G618" s="1272" t="s">
        <v>1522</v>
      </c>
      <c r="H618" s="1272" t="s">
        <v>1522</v>
      </c>
      <c r="I618" s="1272" t="s">
        <v>1563</v>
      </c>
      <c r="J618" s="1274" t="s">
        <v>1475</v>
      </c>
      <c r="K618" s="1182" t="s">
        <v>674</v>
      </c>
      <c r="L618" s="1183" t="s">
        <v>1430</v>
      </c>
      <c r="M618" s="1188">
        <v>55735449</v>
      </c>
      <c r="N618" s="1187" t="s">
        <v>732</v>
      </c>
      <c r="O618" s="1187" t="s">
        <v>1416</v>
      </c>
      <c r="R618" s="1180"/>
    </row>
    <row r="619" spans="1:18" ht="75" x14ac:dyDescent="0.35">
      <c r="A619" s="1272">
        <v>2022613</v>
      </c>
      <c r="B619" s="1292">
        <v>7658</v>
      </c>
      <c r="C619" s="1292" t="s">
        <v>679</v>
      </c>
      <c r="D619" s="1292" t="s">
        <v>698</v>
      </c>
      <c r="E619" s="1293"/>
      <c r="F619" s="1185" t="s">
        <v>1246</v>
      </c>
      <c r="G619" s="1292" t="s">
        <v>1420</v>
      </c>
      <c r="H619" s="1292" t="s">
        <v>1420</v>
      </c>
      <c r="I619" s="1294" t="s">
        <v>97</v>
      </c>
      <c r="J619" s="1294" t="s">
        <v>97</v>
      </c>
      <c r="K619" s="1292" t="s">
        <v>674</v>
      </c>
      <c r="L619" s="1295" t="s">
        <v>1602</v>
      </c>
      <c r="M619" s="1186">
        <v>35781881</v>
      </c>
      <c r="N619" s="1185" t="s">
        <v>1551</v>
      </c>
      <c r="O619" s="1185" t="s">
        <v>1473</v>
      </c>
      <c r="P619" s="1296"/>
      <c r="R619" s="1159"/>
    </row>
    <row r="620" spans="1:18" ht="75" x14ac:dyDescent="0.35">
      <c r="A620" s="1272">
        <v>2022614</v>
      </c>
      <c r="B620" s="1292">
        <v>7658</v>
      </c>
      <c r="C620" s="1292" t="s">
        <v>679</v>
      </c>
      <c r="D620" s="1292" t="s">
        <v>698</v>
      </c>
      <c r="E620" s="1293"/>
      <c r="F620" s="1185" t="s">
        <v>1247</v>
      </c>
      <c r="G620" s="1292" t="s">
        <v>1420</v>
      </c>
      <c r="H620" s="1292" t="s">
        <v>1420</v>
      </c>
      <c r="I620" s="1294" t="s">
        <v>97</v>
      </c>
      <c r="J620" s="1294" t="s">
        <v>97</v>
      </c>
      <c r="K620" s="1292" t="s">
        <v>674</v>
      </c>
      <c r="L620" s="1295" t="s">
        <v>1603</v>
      </c>
      <c r="M620" s="1186">
        <f>27886255+576000</f>
        <v>28462255</v>
      </c>
      <c r="N620" s="1185" t="s">
        <v>1551</v>
      </c>
      <c r="O620" s="1185" t="s">
        <v>1473</v>
      </c>
      <c r="P620" s="1296"/>
      <c r="R620" s="1159"/>
    </row>
    <row r="621" spans="1:18" ht="75" x14ac:dyDescent="0.35">
      <c r="A621" s="1272">
        <v>2022615</v>
      </c>
      <c r="B621" s="1292">
        <v>7658</v>
      </c>
      <c r="C621" s="1292" t="s">
        <v>679</v>
      </c>
      <c r="D621" s="1292" t="s">
        <v>698</v>
      </c>
      <c r="E621" s="1293"/>
      <c r="F621" s="1185" t="s">
        <v>1249</v>
      </c>
      <c r="G621" s="1292" t="s">
        <v>1420</v>
      </c>
      <c r="H621" s="1292" t="s">
        <v>1420</v>
      </c>
      <c r="I621" s="1294" t="s">
        <v>97</v>
      </c>
      <c r="J621" s="1294" t="s">
        <v>97</v>
      </c>
      <c r="K621" s="1292" t="s">
        <v>674</v>
      </c>
      <c r="L621" s="1295" t="s">
        <v>1604</v>
      </c>
      <c r="M621" s="1186">
        <v>46885058</v>
      </c>
      <c r="N621" s="1185" t="s">
        <v>724</v>
      </c>
      <c r="O621" s="1185" t="s">
        <v>1473</v>
      </c>
      <c r="P621" s="1296"/>
      <c r="R621" s="1159"/>
    </row>
    <row r="622" spans="1:18" ht="75" x14ac:dyDescent="0.35">
      <c r="A622" s="1272">
        <v>2022616</v>
      </c>
      <c r="B622" s="1292">
        <v>7658</v>
      </c>
      <c r="C622" s="1292" t="s">
        <v>679</v>
      </c>
      <c r="D622" s="1292" t="s">
        <v>698</v>
      </c>
      <c r="E622" s="1293"/>
      <c r="F622" s="1185" t="s">
        <v>1251</v>
      </c>
      <c r="G622" s="1292" t="s">
        <v>1420</v>
      </c>
      <c r="H622" s="1292" t="s">
        <v>1420</v>
      </c>
      <c r="I622" s="1294" t="s">
        <v>97</v>
      </c>
      <c r="J622" s="1294" t="s">
        <v>97</v>
      </c>
      <c r="K622" s="1292" t="s">
        <v>674</v>
      </c>
      <c r="L622" s="1295" t="s">
        <v>1605</v>
      </c>
      <c r="M622" s="1186">
        <v>432800</v>
      </c>
      <c r="N622" s="1185" t="s">
        <v>1551</v>
      </c>
      <c r="O622" s="1185" t="s">
        <v>1473</v>
      </c>
      <c r="P622" s="1296"/>
      <c r="R622" s="1159"/>
    </row>
    <row r="623" spans="1:18" ht="90" x14ac:dyDescent="0.3">
      <c r="A623" s="1272">
        <v>2022617</v>
      </c>
      <c r="B623" s="1292">
        <v>7658</v>
      </c>
      <c r="C623" s="1292" t="s">
        <v>679</v>
      </c>
      <c r="D623" s="1292" t="s">
        <v>698</v>
      </c>
      <c r="E623" s="1292" t="s">
        <v>1122</v>
      </c>
      <c r="F623" s="1185" t="s">
        <v>1253</v>
      </c>
      <c r="G623" s="1292" t="s">
        <v>1424</v>
      </c>
      <c r="H623" s="1292" t="s">
        <v>1424</v>
      </c>
      <c r="I623" s="1292" t="s">
        <v>1554</v>
      </c>
      <c r="J623" s="1292" t="s">
        <v>1510</v>
      </c>
      <c r="K623" s="1292" t="s">
        <v>674</v>
      </c>
      <c r="L623" s="1297" t="s">
        <v>981</v>
      </c>
      <c r="M623" s="1186">
        <v>175000000</v>
      </c>
      <c r="N623" s="1185" t="s">
        <v>724</v>
      </c>
      <c r="O623" s="1185" t="s">
        <v>1473</v>
      </c>
      <c r="P623" s="1296"/>
      <c r="R623" s="1159"/>
    </row>
    <row r="624" spans="1:18" ht="60" x14ac:dyDescent="0.3">
      <c r="A624" s="1272">
        <v>2022618</v>
      </c>
      <c r="B624" s="1273" t="s">
        <v>459</v>
      </c>
      <c r="C624" s="1273" t="s">
        <v>459</v>
      </c>
      <c r="D624" s="1265" t="s">
        <v>695</v>
      </c>
      <c r="E624" s="1265" t="s">
        <v>1606</v>
      </c>
      <c r="F624" s="1274" t="s">
        <v>1254</v>
      </c>
      <c r="G624" s="1272" t="s">
        <v>1522</v>
      </c>
      <c r="H624" s="1272" t="s">
        <v>1527</v>
      </c>
      <c r="I624" s="1272" t="s">
        <v>1572</v>
      </c>
      <c r="J624" s="1265" t="s">
        <v>1577</v>
      </c>
      <c r="K624" s="1265" t="s">
        <v>770</v>
      </c>
      <c r="L624" s="1265"/>
      <c r="M624" s="1186">
        <v>29250000</v>
      </c>
      <c r="N624" s="1291"/>
      <c r="O624" s="1291"/>
      <c r="R624" s="1159"/>
    </row>
    <row r="625" spans="1:18" ht="105" x14ac:dyDescent="0.3">
      <c r="A625" s="1272">
        <v>2022619</v>
      </c>
      <c r="B625" s="1272">
        <v>7637</v>
      </c>
      <c r="C625" s="1274" t="s">
        <v>643</v>
      </c>
      <c r="D625" s="1274" t="s">
        <v>671</v>
      </c>
      <c r="E625" s="1290" t="s">
        <v>1255</v>
      </c>
      <c r="F625" s="1274" t="s">
        <v>1256</v>
      </c>
      <c r="G625" s="1272" t="s">
        <v>1527</v>
      </c>
      <c r="H625" s="1272" t="s">
        <v>1537</v>
      </c>
      <c r="I625" s="1272">
        <v>12</v>
      </c>
      <c r="J625" s="1274" t="s">
        <v>1432</v>
      </c>
      <c r="K625" s="1274" t="s">
        <v>674</v>
      </c>
      <c r="L625" s="1265" t="s">
        <v>729</v>
      </c>
      <c r="M625" s="1186">
        <v>8000000</v>
      </c>
      <c r="N625" s="1274" t="s">
        <v>732</v>
      </c>
      <c r="O625" s="1274" t="s">
        <v>1416</v>
      </c>
      <c r="R625" s="1159"/>
    </row>
    <row r="626" spans="1:18" ht="102.75" customHeight="1" x14ac:dyDescent="0.3">
      <c r="A626" s="1272">
        <v>2022620</v>
      </c>
      <c r="B626" s="1272">
        <v>7658</v>
      </c>
      <c r="C626" s="1274" t="s">
        <v>679</v>
      </c>
      <c r="D626" s="1274" t="s">
        <v>698</v>
      </c>
      <c r="E626" s="1265" t="s">
        <v>1607</v>
      </c>
      <c r="F626" s="1274" t="s">
        <v>1258</v>
      </c>
      <c r="G626" s="1272" t="s">
        <v>1420</v>
      </c>
      <c r="H626" s="1272" t="s">
        <v>1420</v>
      </c>
      <c r="I626" s="1272" t="s">
        <v>1552</v>
      </c>
      <c r="J626" s="1274" t="s">
        <v>1510</v>
      </c>
      <c r="K626" s="1274" t="s">
        <v>674</v>
      </c>
      <c r="L626" s="1265" t="s">
        <v>981</v>
      </c>
      <c r="M626" s="1186">
        <v>8000000</v>
      </c>
      <c r="N626" s="1274" t="s">
        <v>724</v>
      </c>
      <c r="O626" s="1274" t="s">
        <v>1473</v>
      </c>
      <c r="R626" s="1159"/>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xr:uid="{00000000-0009-0000-0000-000009000000}"/>
  <mergeCells count="4">
    <mergeCell ref="A1:L1"/>
    <mergeCell ref="A2:L2"/>
    <mergeCell ref="A3:O3"/>
    <mergeCell ref="M4:N4"/>
  </mergeCells>
  <dataValidations count="1">
    <dataValidation type="list" allowBlank="1" showInputMessage="1" showErrorMessage="1" sqref="L609 L214:L217 L182 L220:L255 L614 L611:L612 L7:L15 L17:L48" xr:uid="{00000000-0002-0000-0900-000000000000}">
      <formula1>tec</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740"/>
  <sheetViews>
    <sheetView workbookViewId="0">
      <selection activeCell="A2" sqref="A2:XFD2"/>
    </sheetView>
  </sheetViews>
  <sheetFormatPr baseColWidth="10" defaultColWidth="9.1796875" defaultRowHeight="14.5" x14ac:dyDescent="0.35"/>
  <cols>
    <col min="1" max="1" width="10.54296875" style="806" customWidth="1"/>
    <col min="2" max="2" width="28" style="806" customWidth="1"/>
    <col min="3" max="3" width="18" style="806" customWidth="1"/>
    <col min="4" max="4" width="8" style="806" customWidth="1"/>
    <col min="5" max="5" width="11.453125" style="806" customWidth="1"/>
    <col min="6" max="6" width="5.7265625" style="806" customWidth="1"/>
    <col min="7" max="7" width="10.1796875" style="806" customWidth="1"/>
    <col min="8" max="8" width="22.1796875" style="806" customWidth="1"/>
    <col min="9" max="9" width="15.453125" style="806" customWidth="1"/>
    <col min="10" max="10" width="20.81640625" style="806" customWidth="1"/>
    <col min="11" max="11" width="9.7265625" style="806" customWidth="1"/>
    <col min="12" max="12" width="7" style="806" customWidth="1"/>
    <col min="13" max="13" width="4" style="806" customWidth="1"/>
    <col min="14" max="14" width="5.453125" style="806" customWidth="1"/>
    <col min="15" max="15" width="41.81640625" style="806" customWidth="1"/>
    <col min="16" max="16" width="13.54296875" style="806" customWidth="1"/>
    <col min="17" max="17" width="26.453125" style="806" customWidth="1"/>
    <col min="18" max="18" width="9.1796875" style="806" customWidth="1"/>
  </cols>
  <sheetData>
    <row r="1" spans="1:18" ht="17.5" x14ac:dyDescent="0.35">
      <c r="A1" s="805" t="s">
        <v>1608</v>
      </c>
      <c r="B1" s="805"/>
      <c r="C1" s="805"/>
      <c r="D1" s="805"/>
      <c r="E1" s="805"/>
      <c r="F1" s="805"/>
      <c r="G1" s="805"/>
      <c r="H1" s="805"/>
      <c r="I1" s="805"/>
      <c r="J1" s="805"/>
      <c r="K1" s="805"/>
      <c r="L1" s="805"/>
      <c r="M1" s="805"/>
      <c r="N1" s="805"/>
      <c r="O1" s="805"/>
      <c r="P1" s="805"/>
      <c r="Q1" s="805"/>
      <c r="R1" s="805"/>
    </row>
    <row r="2" spans="1:18" s="810" customFormat="1" x14ac:dyDescent="0.35">
      <c r="A2" s="807" t="s">
        <v>649</v>
      </c>
      <c r="B2" s="808" t="s">
        <v>1609</v>
      </c>
      <c r="C2" s="808" t="s">
        <v>657</v>
      </c>
      <c r="D2" s="808" t="s">
        <v>1610</v>
      </c>
      <c r="E2" s="808" t="s">
        <v>1611</v>
      </c>
      <c r="F2" s="808" t="s">
        <v>1612</v>
      </c>
      <c r="G2" s="808" t="s">
        <v>1613</v>
      </c>
      <c r="H2" s="808" t="s">
        <v>654</v>
      </c>
      <c r="I2" s="808" t="s">
        <v>655</v>
      </c>
      <c r="J2" s="808" t="s">
        <v>1614</v>
      </c>
      <c r="K2" s="808" t="s">
        <v>1615</v>
      </c>
      <c r="L2" s="808" t="s">
        <v>1616</v>
      </c>
      <c r="M2" s="808" t="s">
        <v>1617</v>
      </c>
      <c r="N2" s="808" t="s">
        <v>1618</v>
      </c>
      <c r="O2" s="808" t="s">
        <v>1619</v>
      </c>
      <c r="P2" s="808" t="s">
        <v>1620</v>
      </c>
      <c r="Q2" s="808" t="s">
        <v>1621</v>
      </c>
      <c r="R2" s="809"/>
    </row>
    <row r="3" spans="1:18" x14ac:dyDescent="0.35">
      <c r="A3" s="811" t="s">
        <v>1622</v>
      </c>
      <c r="B3" s="811" t="s">
        <v>1623</v>
      </c>
      <c r="C3" s="812">
        <v>20000000</v>
      </c>
      <c r="D3" s="811" t="s">
        <v>1515</v>
      </c>
      <c r="E3" s="811" t="s">
        <v>1515</v>
      </c>
      <c r="F3" s="811" t="s">
        <v>1624</v>
      </c>
      <c r="G3" s="811" t="s">
        <v>1625</v>
      </c>
      <c r="H3" s="811" t="s">
        <v>1626</v>
      </c>
      <c r="I3" s="811" t="s">
        <v>1627</v>
      </c>
      <c r="J3" s="813">
        <v>20000000</v>
      </c>
      <c r="K3" s="811" t="s">
        <v>1628</v>
      </c>
      <c r="L3" s="811" t="s">
        <v>1210</v>
      </c>
      <c r="M3" s="811" t="s">
        <v>1608</v>
      </c>
      <c r="N3" s="811" t="s">
        <v>1608</v>
      </c>
      <c r="O3" s="811" t="s">
        <v>1629</v>
      </c>
      <c r="P3" s="811" t="s">
        <v>1630</v>
      </c>
      <c r="Q3" s="811" t="s">
        <v>1631</v>
      </c>
    </row>
    <row r="4" spans="1:18" x14ac:dyDescent="0.35">
      <c r="A4" s="811" t="s">
        <v>1622</v>
      </c>
      <c r="B4" s="811" t="s">
        <v>1632</v>
      </c>
      <c r="C4" s="812">
        <v>47200000</v>
      </c>
      <c r="D4" s="811" t="s">
        <v>1515</v>
      </c>
      <c r="E4" s="811" t="s">
        <v>1515</v>
      </c>
      <c r="F4" s="811" t="s">
        <v>1624</v>
      </c>
      <c r="G4" s="811" t="s">
        <v>1625</v>
      </c>
      <c r="H4" s="811" t="s">
        <v>1626</v>
      </c>
      <c r="I4" s="811" t="s">
        <v>1627</v>
      </c>
      <c r="J4" s="813">
        <v>47200000</v>
      </c>
      <c r="K4" s="811" t="s">
        <v>1628</v>
      </c>
      <c r="L4" s="811" t="s">
        <v>1210</v>
      </c>
      <c r="M4" s="811" t="s">
        <v>1608</v>
      </c>
      <c r="N4" s="811" t="s">
        <v>1608</v>
      </c>
      <c r="O4" s="811" t="s">
        <v>1629</v>
      </c>
      <c r="P4" s="811" t="s">
        <v>1630</v>
      </c>
      <c r="Q4" s="811" t="s">
        <v>1631</v>
      </c>
    </row>
    <row r="5" spans="1:18" x14ac:dyDescent="0.35">
      <c r="A5" s="811" t="s">
        <v>1633</v>
      </c>
      <c r="B5" s="811" t="s">
        <v>1634</v>
      </c>
      <c r="C5" s="812">
        <v>20000000</v>
      </c>
      <c r="D5" s="811" t="s">
        <v>1428</v>
      </c>
      <c r="E5" s="811" t="s">
        <v>1428</v>
      </c>
      <c r="F5" s="811" t="s">
        <v>1635</v>
      </c>
      <c r="G5" s="811" t="s">
        <v>1625</v>
      </c>
      <c r="H5" s="811" t="s">
        <v>1636</v>
      </c>
      <c r="I5" s="811" t="s">
        <v>1627</v>
      </c>
      <c r="J5" s="813">
        <v>20000000</v>
      </c>
      <c r="K5" s="811" t="s">
        <v>1628</v>
      </c>
      <c r="L5" s="811" t="s">
        <v>1210</v>
      </c>
      <c r="M5" s="811" t="s">
        <v>1608</v>
      </c>
      <c r="N5" s="811" t="s">
        <v>1608</v>
      </c>
      <c r="O5" s="811" t="s">
        <v>432</v>
      </c>
      <c r="P5" s="811" t="s">
        <v>1630</v>
      </c>
      <c r="Q5" s="811" t="s">
        <v>1637</v>
      </c>
    </row>
    <row r="6" spans="1:18" x14ac:dyDescent="0.35">
      <c r="A6" s="811" t="s">
        <v>1622</v>
      </c>
      <c r="B6" s="811" t="s">
        <v>1638</v>
      </c>
      <c r="C6" s="812">
        <v>23162500</v>
      </c>
      <c r="D6" s="811" t="s">
        <v>1515</v>
      </c>
      <c r="E6" s="811" t="s">
        <v>1515</v>
      </c>
      <c r="F6" s="811" t="s">
        <v>1639</v>
      </c>
      <c r="G6" s="811" t="s">
        <v>1625</v>
      </c>
      <c r="H6" s="811" t="s">
        <v>1626</v>
      </c>
      <c r="I6" s="811" t="s">
        <v>1627</v>
      </c>
      <c r="J6" s="813">
        <v>23162500</v>
      </c>
      <c r="K6" s="811" t="s">
        <v>1628</v>
      </c>
      <c r="L6" s="811" t="s">
        <v>1210</v>
      </c>
      <c r="M6" s="811" t="s">
        <v>1608</v>
      </c>
      <c r="N6" s="811" t="s">
        <v>1608</v>
      </c>
      <c r="O6" s="811" t="s">
        <v>1640</v>
      </c>
      <c r="P6" s="811" t="s">
        <v>1630</v>
      </c>
      <c r="Q6" s="811" t="s">
        <v>1641</v>
      </c>
    </row>
    <row r="7" spans="1:18" x14ac:dyDescent="0.35">
      <c r="A7" s="811" t="s">
        <v>1622</v>
      </c>
      <c r="B7" s="811" t="s">
        <v>1642</v>
      </c>
      <c r="C7" s="812">
        <v>23162500</v>
      </c>
      <c r="D7" s="811" t="s">
        <v>1515</v>
      </c>
      <c r="E7" s="811" t="s">
        <v>1515</v>
      </c>
      <c r="F7" s="811" t="s">
        <v>1639</v>
      </c>
      <c r="G7" s="811" t="s">
        <v>1625</v>
      </c>
      <c r="H7" s="811" t="s">
        <v>1626</v>
      </c>
      <c r="I7" s="811" t="s">
        <v>1627</v>
      </c>
      <c r="J7" s="813">
        <v>23162500</v>
      </c>
      <c r="K7" s="811" t="s">
        <v>1628</v>
      </c>
      <c r="L7" s="811" t="s">
        <v>1210</v>
      </c>
      <c r="M7" s="811" t="s">
        <v>1608</v>
      </c>
      <c r="N7" s="811" t="s">
        <v>1608</v>
      </c>
      <c r="O7" s="811" t="s">
        <v>1640</v>
      </c>
      <c r="P7" s="811" t="s">
        <v>1630</v>
      </c>
      <c r="Q7" s="811" t="s">
        <v>1641</v>
      </c>
    </row>
    <row r="8" spans="1:18" x14ac:dyDescent="0.35">
      <c r="A8" s="811" t="s">
        <v>1643</v>
      </c>
      <c r="B8" s="811" t="s">
        <v>1644</v>
      </c>
      <c r="C8" s="812">
        <v>161928000</v>
      </c>
      <c r="D8" s="811" t="s">
        <v>1515</v>
      </c>
      <c r="E8" s="811" t="s">
        <v>1515</v>
      </c>
      <c r="F8" s="811" t="s">
        <v>1645</v>
      </c>
      <c r="G8" s="811" t="s">
        <v>1625</v>
      </c>
      <c r="H8" s="811" t="s">
        <v>1626</v>
      </c>
      <c r="I8" s="811" t="s">
        <v>1627</v>
      </c>
      <c r="J8" s="813">
        <v>161928000</v>
      </c>
      <c r="K8" s="811" t="s">
        <v>1628</v>
      </c>
      <c r="L8" s="811" t="s">
        <v>1210</v>
      </c>
      <c r="M8" s="811" t="s">
        <v>1608</v>
      </c>
      <c r="N8" s="811" t="s">
        <v>1608</v>
      </c>
      <c r="O8" s="811" t="s">
        <v>1629</v>
      </c>
      <c r="P8" s="811" t="s">
        <v>1630</v>
      </c>
      <c r="Q8" s="811" t="s">
        <v>1631</v>
      </c>
    </row>
    <row r="9" spans="1:18" x14ac:dyDescent="0.35">
      <c r="A9" s="811" t="s">
        <v>1643</v>
      </c>
      <c r="B9" s="811" t="s">
        <v>1646</v>
      </c>
      <c r="C9" s="812">
        <v>325067484</v>
      </c>
      <c r="D9" s="811" t="s">
        <v>1515</v>
      </c>
      <c r="E9" s="811" t="s">
        <v>1515</v>
      </c>
      <c r="F9" s="811" t="s">
        <v>1645</v>
      </c>
      <c r="G9" s="811" t="s">
        <v>1625</v>
      </c>
      <c r="H9" s="811" t="s">
        <v>1626</v>
      </c>
      <c r="I9" s="811" t="s">
        <v>1627</v>
      </c>
      <c r="J9" s="813">
        <v>325067484</v>
      </c>
      <c r="K9" s="811" t="s">
        <v>1628</v>
      </c>
      <c r="L9" s="811" t="s">
        <v>1210</v>
      </c>
      <c r="M9" s="811" t="s">
        <v>1608</v>
      </c>
      <c r="N9" s="811" t="s">
        <v>1608</v>
      </c>
      <c r="O9" s="811" t="s">
        <v>1629</v>
      </c>
      <c r="P9" s="811" t="s">
        <v>1630</v>
      </c>
      <c r="Q9" s="811" t="s">
        <v>1631</v>
      </c>
    </row>
    <row r="10" spans="1:18" x14ac:dyDescent="0.35">
      <c r="A10" s="811" t="s">
        <v>1643</v>
      </c>
      <c r="B10" s="811" t="s">
        <v>1647</v>
      </c>
      <c r="C10" s="812">
        <v>135660000</v>
      </c>
      <c r="D10" s="811" t="s">
        <v>1515</v>
      </c>
      <c r="E10" s="811" t="s">
        <v>1515</v>
      </c>
      <c r="F10" s="811" t="s">
        <v>1635</v>
      </c>
      <c r="G10" s="811" t="s">
        <v>1625</v>
      </c>
      <c r="H10" s="811" t="s">
        <v>1626</v>
      </c>
      <c r="I10" s="811" t="s">
        <v>1627</v>
      </c>
      <c r="J10" s="813">
        <v>135660000</v>
      </c>
      <c r="K10" s="811" t="s">
        <v>1628</v>
      </c>
      <c r="L10" s="811" t="s">
        <v>1210</v>
      </c>
      <c r="M10" s="811" t="s">
        <v>1608</v>
      </c>
      <c r="N10" s="811" t="s">
        <v>1608</v>
      </c>
      <c r="O10" s="811" t="s">
        <v>1629</v>
      </c>
      <c r="P10" s="811" t="s">
        <v>1630</v>
      </c>
      <c r="Q10" s="811" t="s">
        <v>1631</v>
      </c>
    </row>
    <row r="11" spans="1:18" x14ac:dyDescent="0.35">
      <c r="A11" s="811" t="s">
        <v>1643</v>
      </c>
      <c r="B11" s="811" t="s">
        <v>1648</v>
      </c>
      <c r="C11" s="812">
        <v>330000000</v>
      </c>
      <c r="D11" s="811" t="s">
        <v>1515</v>
      </c>
      <c r="E11" s="811" t="s">
        <v>1515</v>
      </c>
      <c r="F11" s="811" t="s">
        <v>1645</v>
      </c>
      <c r="G11" s="811" t="s">
        <v>1625</v>
      </c>
      <c r="H11" s="811" t="s">
        <v>1626</v>
      </c>
      <c r="I11" s="811" t="s">
        <v>1627</v>
      </c>
      <c r="J11" s="813">
        <v>330000000</v>
      </c>
      <c r="K11" s="811" t="s">
        <v>1628</v>
      </c>
      <c r="L11" s="811" t="s">
        <v>1210</v>
      </c>
      <c r="M11" s="811" t="s">
        <v>1608</v>
      </c>
      <c r="N11" s="811" t="s">
        <v>1608</v>
      </c>
      <c r="O11" s="811" t="s">
        <v>1629</v>
      </c>
      <c r="P11" s="811" t="s">
        <v>1630</v>
      </c>
      <c r="Q11" s="811" t="s">
        <v>1631</v>
      </c>
    </row>
    <row r="12" spans="1:18" x14ac:dyDescent="0.35">
      <c r="A12" s="811" t="s">
        <v>1643</v>
      </c>
      <c r="B12" s="811" t="s">
        <v>1649</v>
      </c>
      <c r="C12" s="812">
        <v>251328000</v>
      </c>
      <c r="D12" s="811" t="s">
        <v>1421</v>
      </c>
      <c r="E12" s="811" t="s">
        <v>1421</v>
      </c>
      <c r="F12" s="811" t="s">
        <v>1645</v>
      </c>
      <c r="G12" s="811" t="s">
        <v>1625</v>
      </c>
      <c r="H12" s="811" t="s">
        <v>1626</v>
      </c>
      <c r="I12" s="811" t="s">
        <v>1627</v>
      </c>
      <c r="J12" s="813">
        <v>251328000</v>
      </c>
      <c r="K12" s="811" t="s">
        <v>1628</v>
      </c>
      <c r="L12" s="811" t="s">
        <v>1210</v>
      </c>
      <c r="M12" s="811" t="s">
        <v>1608</v>
      </c>
      <c r="N12" s="811" t="s">
        <v>1608</v>
      </c>
      <c r="O12" s="811" t="s">
        <v>1629</v>
      </c>
      <c r="P12" s="811" t="s">
        <v>1630</v>
      </c>
      <c r="Q12" s="811" t="s">
        <v>1631</v>
      </c>
    </row>
    <row r="13" spans="1:18" x14ac:dyDescent="0.35">
      <c r="A13" s="811" t="s">
        <v>1643</v>
      </c>
      <c r="B13" s="811" t="s">
        <v>1650</v>
      </c>
      <c r="C13" s="812">
        <v>180000000</v>
      </c>
      <c r="D13" s="811" t="s">
        <v>1421</v>
      </c>
      <c r="E13" s="811" t="s">
        <v>1421</v>
      </c>
      <c r="F13" s="811" t="s">
        <v>1645</v>
      </c>
      <c r="G13" s="811" t="s">
        <v>1625</v>
      </c>
      <c r="H13" s="811" t="s">
        <v>1626</v>
      </c>
      <c r="I13" s="811" t="s">
        <v>1627</v>
      </c>
      <c r="J13" s="813">
        <v>180000000</v>
      </c>
      <c r="K13" s="811" t="s">
        <v>1628</v>
      </c>
      <c r="L13" s="811" t="s">
        <v>1210</v>
      </c>
      <c r="M13" s="811" t="s">
        <v>1608</v>
      </c>
      <c r="N13" s="811" t="s">
        <v>1608</v>
      </c>
      <c r="O13" s="811" t="s">
        <v>1629</v>
      </c>
      <c r="P13" s="811" t="s">
        <v>1630</v>
      </c>
      <c r="Q13" s="811" t="s">
        <v>1631</v>
      </c>
    </row>
    <row r="14" spans="1:18" x14ac:dyDescent="0.35">
      <c r="A14" s="811" t="s">
        <v>1643</v>
      </c>
      <c r="B14" s="811" t="s">
        <v>1651</v>
      </c>
      <c r="C14" s="812">
        <v>240000000</v>
      </c>
      <c r="D14" s="811" t="s">
        <v>1421</v>
      </c>
      <c r="E14" s="811" t="s">
        <v>1421</v>
      </c>
      <c r="F14" s="811" t="s">
        <v>1645</v>
      </c>
      <c r="G14" s="811" t="s">
        <v>1625</v>
      </c>
      <c r="H14" s="811" t="s">
        <v>1626</v>
      </c>
      <c r="I14" s="811" t="s">
        <v>1627</v>
      </c>
      <c r="J14" s="813">
        <v>240000000</v>
      </c>
      <c r="K14" s="811" t="s">
        <v>1628</v>
      </c>
      <c r="L14" s="811" t="s">
        <v>1210</v>
      </c>
      <c r="M14" s="811" t="s">
        <v>1608</v>
      </c>
      <c r="N14" s="811" t="s">
        <v>1608</v>
      </c>
      <c r="O14" s="811" t="s">
        <v>1629</v>
      </c>
      <c r="P14" s="811" t="s">
        <v>1630</v>
      </c>
      <c r="Q14" s="811" t="s">
        <v>1631</v>
      </c>
    </row>
    <row r="15" spans="1:18" x14ac:dyDescent="0.35">
      <c r="A15" s="811" t="s">
        <v>1643</v>
      </c>
      <c r="B15" s="811" t="s">
        <v>1652</v>
      </c>
      <c r="C15" s="812">
        <v>300000000</v>
      </c>
      <c r="D15" s="811" t="s">
        <v>1421</v>
      </c>
      <c r="E15" s="811" t="s">
        <v>1421</v>
      </c>
      <c r="F15" s="811" t="s">
        <v>1645</v>
      </c>
      <c r="G15" s="811" t="s">
        <v>1625</v>
      </c>
      <c r="H15" s="811" t="s">
        <v>1626</v>
      </c>
      <c r="I15" s="811" t="s">
        <v>1627</v>
      </c>
      <c r="J15" s="813">
        <v>300000000</v>
      </c>
      <c r="K15" s="811" t="s">
        <v>1628</v>
      </c>
      <c r="L15" s="811" t="s">
        <v>1210</v>
      </c>
      <c r="M15" s="811" t="s">
        <v>1608</v>
      </c>
      <c r="N15" s="811" t="s">
        <v>1608</v>
      </c>
      <c r="O15" s="811" t="s">
        <v>1629</v>
      </c>
      <c r="P15" s="811" t="s">
        <v>1630</v>
      </c>
      <c r="Q15" s="811" t="s">
        <v>1631</v>
      </c>
    </row>
    <row r="16" spans="1:18" x14ac:dyDescent="0.35">
      <c r="A16" s="811" t="s">
        <v>1622</v>
      </c>
      <c r="B16" s="811" t="s">
        <v>1653</v>
      </c>
      <c r="C16" s="812">
        <v>85698000</v>
      </c>
      <c r="D16" s="811" t="s">
        <v>1420</v>
      </c>
      <c r="E16" s="811" t="s">
        <v>1420</v>
      </c>
      <c r="F16" s="811" t="s">
        <v>1639</v>
      </c>
      <c r="G16" s="811" t="s">
        <v>1625</v>
      </c>
      <c r="H16" s="811" t="s">
        <v>1626</v>
      </c>
      <c r="I16" s="811" t="s">
        <v>1627</v>
      </c>
      <c r="J16" s="813">
        <v>85698000</v>
      </c>
      <c r="K16" s="811" t="s">
        <v>1628</v>
      </c>
      <c r="L16" s="811" t="s">
        <v>1210</v>
      </c>
      <c r="M16" s="811" t="s">
        <v>1608</v>
      </c>
      <c r="N16" s="811" t="s">
        <v>1608</v>
      </c>
      <c r="O16" s="811" t="s">
        <v>1654</v>
      </c>
      <c r="P16" s="811" t="s">
        <v>1630</v>
      </c>
      <c r="Q16" s="811" t="s">
        <v>1655</v>
      </c>
    </row>
    <row r="17" spans="1:17" x14ac:dyDescent="0.35">
      <c r="A17" s="811" t="s">
        <v>1622</v>
      </c>
      <c r="B17" s="811" t="s">
        <v>1656</v>
      </c>
      <c r="C17" s="812">
        <v>96000000</v>
      </c>
      <c r="D17" s="811" t="s">
        <v>1515</v>
      </c>
      <c r="E17" s="811" t="s">
        <v>1515</v>
      </c>
      <c r="F17" s="811" t="s">
        <v>1624</v>
      </c>
      <c r="G17" s="811" t="s">
        <v>1625</v>
      </c>
      <c r="H17" s="811" t="s">
        <v>1626</v>
      </c>
      <c r="I17" s="811" t="s">
        <v>1627</v>
      </c>
      <c r="J17" s="813">
        <v>96000000</v>
      </c>
      <c r="K17" s="811" t="s">
        <v>1628</v>
      </c>
      <c r="L17" s="811" t="s">
        <v>1210</v>
      </c>
      <c r="M17" s="811" t="s">
        <v>1608</v>
      </c>
      <c r="N17" s="811" t="s">
        <v>1608</v>
      </c>
      <c r="O17" s="811" t="s">
        <v>1654</v>
      </c>
      <c r="P17" s="811" t="s">
        <v>1630</v>
      </c>
      <c r="Q17" s="811" t="s">
        <v>1655</v>
      </c>
    </row>
    <row r="18" spans="1:17" x14ac:dyDescent="0.35">
      <c r="A18" s="811" t="s">
        <v>1622</v>
      </c>
      <c r="B18" s="811" t="s">
        <v>1657</v>
      </c>
      <c r="C18" s="812">
        <v>58300000</v>
      </c>
      <c r="D18" s="811" t="s">
        <v>1424</v>
      </c>
      <c r="E18" s="811" t="s">
        <v>1424</v>
      </c>
      <c r="F18" s="811" t="s">
        <v>1658</v>
      </c>
      <c r="G18" s="811" t="s">
        <v>1625</v>
      </c>
      <c r="H18" s="811" t="s">
        <v>1626</v>
      </c>
      <c r="I18" s="811" t="s">
        <v>1627</v>
      </c>
      <c r="J18" s="813">
        <v>58300000</v>
      </c>
      <c r="K18" s="811" t="s">
        <v>1628</v>
      </c>
      <c r="L18" s="811" t="s">
        <v>1210</v>
      </c>
      <c r="M18" s="811" t="s">
        <v>1608</v>
      </c>
      <c r="N18" s="811" t="s">
        <v>1608</v>
      </c>
      <c r="O18" s="811" t="s">
        <v>1659</v>
      </c>
      <c r="P18" s="811" t="s">
        <v>1630</v>
      </c>
      <c r="Q18" s="811" t="s">
        <v>1631</v>
      </c>
    </row>
    <row r="19" spans="1:17" x14ac:dyDescent="0.35">
      <c r="A19" s="811" t="s">
        <v>1622</v>
      </c>
      <c r="B19" s="811" t="s">
        <v>1660</v>
      </c>
      <c r="C19" s="812">
        <v>58300000</v>
      </c>
      <c r="D19" s="811" t="s">
        <v>1424</v>
      </c>
      <c r="E19" s="811" t="s">
        <v>1424</v>
      </c>
      <c r="F19" s="811" t="s">
        <v>1658</v>
      </c>
      <c r="G19" s="811" t="s">
        <v>1625</v>
      </c>
      <c r="H19" s="811" t="s">
        <v>1626</v>
      </c>
      <c r="I19" s="811" t="s">
        <v>1627</v>
      </c>
      <c r="J19" s="813">
        <v>58300000</v>
      </c>
      <c r="K19" s="811" t="s">
        <v>1628</v>
      </c>
      <c r="L19" s="811" t="s">
        <v>1210</v>
      </c>
      <c r="M19" s="811" t="s">
        <v>1608</v>
      </c>
      <c r="N19" s="811" t="s">
        <v>1608</v>
      </c>
      <c r="O19" s="811" t="s">
        <v>1659</v>
      </c>
      <c r="P19" s="811" t="s">
        <v>1630</v>
      </c>
      <c r="Q19" s="811" t="s">
        <v>1631</v>
      </c>
    </row>
    <row r="20" spans="1:17" x14ac:dyDescent="0.35">
      <c r="A20" s="811" t="s">
        <v>1622</v>
      </c>
      <c r="B20" s="811" t="s">
        <v>1660</v>
      </c>
      <c r="C20" s="812">
        <v>43780000</v>
      </c>
      <c r="D20" s="811" t="s">
        <v>1424</v>
      </c>
      <c r="E20" s="811" t="s">
        <v>1424</v>
      </c>
      <c r="F20" s="811" t="s">
        <v>1645</v>
      </c>
      <c r="G20" s="811" t="s">
        <v>1625</v>
      </c>
      <c r="H20" s="811" t="s">
        <v>1626</v>
      </c>
      <c r="I20" s="811" t="s">
        <v>1627</v>
      </c>
      <c r="J20" s="813">
        <v>43780000</v>
      </c>
      <c r="K20" s="811" t="s">
        <v>1628</v>
      </c>
      <c r="L20" s="811" t="s">
        <v>1210</v>
      </c>
      <c r="M20" s="811" t="s">
        <v>1608</v>
      </c>
      <c r="N20" s="811" t="s">
        <v>1608</v>
      </c>
      <c r="O20" s="811" t="s">
        <v>1659</v>
      </c>
      <c r="P20" s="811" t="s">
        <v>1630</v>
      </c>
      <c r="Q20" s="811" t="s">
        <v>1631</v>
      </c>
    </row>
    <row r="21" spans="1:17" x14ac:dyDescent="0.35">
      <c r="A21" s="811" t="s">
        <v>1622</v>
      </c>
      <c r="B21" s="811" t="s">
        <v>1660</v>
      </c>
      <c r="C21" s="812">
        <v>53900000</v>
      </c>
      <c r="D21" s="811" t="s">
        <v>1424</v>
      </c>
      <c r="E21" s="811" t="s">
        <v>1424</v>
      </c>
      <c r="F21" s="811" t="s">
        <v>1645</v>
      </c>
      <c r="G21" s="811" t="s">
        <v>1625</v>
      </c>
      <c r="H21" s="811" t="s">
        <v>1626</v>
      </c>
      <c r="I21" s="811" t="s">
        <v>1627</v>
      </c>
      <c r="J21" s="813">
        <v>53900000</v>
      </c>
      <c r="K21" s="811" t="s">
        <v>1628</v>
      </c>
      <c r="L21" s="811" t="s">
        <v>1210</v>
      </c>
      <c r="M21" s="811" t="s">
        <v>1608</v>
      </c>
      <c r="N21" s="811" t="s">
        <v>1608</v>
      </c>
      <c r="O21" s="811" t="s">
        <v>1659</v>
      </c>
      <c r="P21" s="811" t="s">
        <v>1630</v>
      </c>
      <c r="Q21" s="811" t="s">
        <v>1631</v>
      </c>
    </row>
    <row r="22" spans="1:17" x14ac:dyDescent="0.35">
      <c r="A22" s="811" t="s">
        <v>1622</v>
      </c>
      <c r="B22" s="811" t="s">
        <v>1660</v>
      </c>
      <c r="C22" s="812">
        <v>58300000</v>
      </c>
      <c r="D22" s="811" t="s">
        <v>1424</v>
      </c>
      <c r="E22" s="811" t="s">
        <v>1424</v>
      </c>
      <c r="F22" s="811" t="s">
        <v>1645</v>
      </c>
      <c r="G22" s="811" t="s">
        <v>1625</v>
      </c>
      <c r="H22" s="811" t="s">
        <v>1626</v>
      </c>
      <c r="I22" s="811" t="s">
        <v>1627</v>
      </c>
      <c r="J22" s="813">
        <v>58300000</v>
      </c>
      <c r="K22" s="811" t="s">
        <v>1628</v>
      </c>
      <c r="L22" s="811" t="s">
        <v>1210</v>
      </c>
      <c r="M22" s="811" t="s">
        <v>1608</v>
      </c>
      <c r="N22" s="811" t="s">
        <v>1608</v>
      </c>
      <c r="O22" s="811" t="s">
        <v>1659</v>
      </c>
      <c r="P22" s="811" t="s">
        <v>1630</v>
      </c>
      <c r="Q22" s="811" t="s">
        <v>1631</v>
      </c>
    </row>
    <row r="23" spans="1:17" x14ac:dyDescent="0.35">
      <c r="A23" s="811" t="s">
        <v>1622</v>
      </c>
      <c r="B23" s="811" t="s">
        <v>1660</v>
      </c>
      <c r="C23" s="812">
        <v>43780000</v>
      </c>
      <c r="D23" s="811" t="s">
        <v>1424</v>
      </c>
      <c r="E23" s="811" t="s">
        <v>1424</v>
      </c>
      <c r="F23" s="811" t="s">
        <v>1645</v>
      </c>
      <c r="G23" s="811" t="s">
        <v>1625</v>
      </c>
      <c r="H23" s="811" t="s">
        <v>1626</v>
      </c>
      <c r="I23" s="811" t="s">
        <v>1627</v>
      </c>
      <c r="J23" s="813">
        <v>43780000</v>
      </c>
      <c r="K23" s="811" t="s">
        <v>1628</v>
      </c>
      <c r="L23" s="811" t="s">
        <v>1210</v>
      </c>
      <c r="M23" s="811" t="s">
        <v>1608</v>
      </c>
      <c r="N23" s="811" t="s">
        <v>1608</v>
      </c>
      <c r="O23" s="811" t="s">
        <v>1659</v>
      </c>
      <c r="P23" s="811" t="s">
        <v>1630</v>
      </c>
      <c r="Q23" s="811" t="s">
        <v>1631</v>
      </c>
    </row>
    <row r="24" spans="1:17" x14ac:dyDescent="0.35">
      <c r="A24" s="811" t="s">
        <v>1622</v>
      </c>
      <c r="B24" s="811" t="s">
        <v>1661</v>
      </c>
      <c r="C24" s="812">
        <v>44330000</v>
      </c>
      <c r="D24" s="811" t="s">
        <v>1424</v>
      </c>
      <c r="E24" s="811" t="s">
        <v>1424</v>
      </c>
      <c r="F24" s="811" t="s">
        <v>1645</v>
      </c>
      <c r="G24" s="811" t="s">
        <v>1625</v>
      </c>
      <c r="H24" s="811" t="s">
        <v>1626</v>
      </c>
      <c r="I24" s="811" t="s">
        <v>1627</v>
      </c>
      <c r="J24" s="813">
        <v>44330000</v>
      </c>
      <c r="K24" s="811" t="s">
        <v>1628</v>
      </c>
      <c r="L24" s="811" t="s">
        <v>1210</v>
      </c>
      <c r="M24" s="811" t="s">
        <v>1608</v>
      </c>
      <c r="N24" s="811" t="s">
        <v>1608</v>
      </c>
      <c r="O24" s="811" t="s">
        <v>1659</v>
      </c>
      <c r="P24" s="811" t="s">
        <v>1630</v>
      </c>
      <c r="Q24" s="811" t="s">
        <v>1631</v>
      </c>
    </row>
    <row r="25" spans="1:17" x14ac:dyDescent="0.35">
      <c r="A25" s="811" t="s">
        <v>1622</v>
      </c>
      <c r="B25" s="811" t="s">
        <v>1661</v>
      </c>
      <c r="C25" s="812">
        <v>58300000</v>
      </c>
      <c r="D25" s="811" t="s">
        <v>1424</v>
      </c>
      <c r="E25" s="811" t="s">
        <v>1424</v>
      </c>
      <c r="F25" s="811" t="s">
        <v>1662</v>
      </c>
      <c r="G25" s="811" t="s">
        <v>1625</v>
      </c>
      <c r="H25" s="811" t="s">
        <v>1626</v>
      </c>
      <c r="I25" s="811" t="s">
        <v>1627</v>
      </c>
      <c r="J25" s="813">
        <v>58300000</v>
      </c>
      <c r="K25" s="811" t="s">
        <v>1628</v>
      </c>
      <c r="L25" s="811" t="s">
        <v>1210</v>
      </c>
      <c r="M25" s="811" t="s">
        <v>1608</v>
      </c>
      <c r="N25" s="811" t="s">
        <v>1608</v>
      </c>
      <c r="O25" s="811" t="s">
        <v>1659</v>
      </c>
      <c r="P25" s="811" t="s">
        <v>1630</v>
      </c>
      <c r="Q25" s="811" t="s">
        <v>1631</v>
      </c>
    </row>
    <row r="26" spans="1:17" x14ac:dyDescent="0.35">
      <c r="A26" s="811" t="s">
        <v>1622</v>
      </c>
      <c r="B26" s="811" t="s">
        <v>1663</v>
      </c>
      <c r="C26" s="812">
        <v>47736000</v>
      </c>
      <c r="D26" s="811" t="s">
        <v>1424</v>
      </c>
      <c r="E26" s="811" t="s">
        <v>1424</v>
      </c>
      <c r="F26" s="811" t="s">
        <v>1645</v>
      </c>
      <c r="G26" s="811" t="s">
        <v>1625</v>
      </c>
      <c r="H26" s="811" t="s">
        <v>1626</v>
      </c>
      <c r="I26" s="811" t="s">
        <v>1627</v>
      </c>
      <c r="J26" s="813">
        <v>47736000</v>
      </c>
      <c r="K26" s="811" t="s">
        <v>1628</v>
      </c>
      <c r="L26" s="811" t="s">
        <v>1210</v>
      </c>
      <c r="M26" s="811" t="s">
        <v>1608</v>
      </c>
      <c r="N26" s="811" t="s">
        <v>1608</v>
      </c>
      <c r="O26" s="811" t="s">
        <v>1659</v>
      </c>
      <c r="P26" s="811" t="s">
        <v>1630</v>
      </c>
      <c r="Q26" s="811" t="s">
        <v>1631</v>
      </c>
    </row>
    <row r="27" spans="1:17" x14ac:dyDescent="0.35">
      <c r="A27" s="811" t="s">
        <v>1622</v>
      </c>
      <c r="B27" s="811" t="s">
        <v>1663</v>
      </c>
      <c r="C27" s="812">
        <v>112604000</v>
      </c>
      <c r="D27" s="811" t="s">
        <v>1424</v>
      </c>
      <c r="E27" s="811" t="s">
        <v>1424</v>
      </c>
      <c r="F27" s="811" t="s">
        <v>1645</v>
      </c>
      <c r="G27" s="811" t="s">
        <v>1625</v>
      </c>
      <c r="H27" s="811" t="s">
        <v>1626</v>
      </c>
      <c r="I27" s="811" t="s">
        <v>1627</v>
      </c>
      <c r="J27" s="813">
        <v>112604000</v>
      </c>
      <c r="K27" s="811" t="s">
        <v>1628</v>
      </c>
      <c r="L27" s="811" t="s">
        <v>1210</v>
      </c>
      <c r="M27" s="811" t="s">
        <v>1608</v>
      </c>
      <c r="N27" s="811" t="s">
        <v>1608</v>
      </c>
      <c r="O27" s="811" t="s">
        <v>1659</v>
      </c>
      <c r="P27" s="811" t="s">
        <v>1630</v>
      </c>
      <c r="Q27" s="811" t="s">
        <v>1631</v>
      </c>
    </row>
    <row r="28" spans="1:17" x14ac:dyDescent="0.35">
      <c r="A28" s="811" t="s">
        <v>1622</v>
      </c>
      <c r="B28" s="811" t="s">
        <v>1664</v>
      </c>
      <c r="C28" s="812">
        <v>58300000</v>
      </c>
      <c r="D28" s="811" t="s">
        <v>1424</v>
      </c>
      <c r="E28" s="811" t="s">
        <v>1424</v>
      </c>
      <c r="F28" s="811" t="s">
        <v>1658</v>
      </c>
      <c r="G28" s="811" t="s">
        <v>1625</v>
      </c>
      <c r="H28" s="811" t="s">
        <v>1626</v>
      </c>
      <c r="I28" s="811" t="s">
        <v>1627</v>
      </c>
      <c r="J28" s="813">
        <v>58300000</v>
      </c>
      <c r="K28" s="811" t="s">
        <v>1628</v>
      </c>
      <c r="L28" s="811" t="s">
        <v>1210</v>
      </c>
      <c r="M28" s="811" t="s">
        <v>1608</v>
      </c>
      <c r="N28" s="811" t="s">
        <v>1608</v>
      </c>
      <c r="O28" s="811" t="s">
        <v>1659</v>
      </c>
      <c r="P28" s="811" t="s">
        <v>1630</v>
      </c>
      <c r="Q28" s="811" t="s">
        <v>1631</v>
      </c>
    </row>
    <row r="29" spans="1:17" x14ac:dyDescent="0.35">
      <c r="A29" s="811" t="s">
        <v>1665</v>
      </c>
      <c r="B29" s="811" t="s">
        <v>1666</v>
      </c>
      <c r="C29" s="814" t="s">
        <v>1608</v>
      </c>
      <c r="D29" s="811" t="s">
        <v>1420</v>
      </c>
      <c r="E29" s="811" t="s">
        <v>1420</v>
      </c>
      <c r="F29" s="811" t="s">
        <v>1635</v>
      </c>
      <c r="G29" s="811" t="s">
        <v>1625</v>
      </c>
      <c r="H29" s="811" t="s">
        <v>1626</v>
      </c>
      <c r="I29" s="811" t="s">
        <v>1627</v>
      </c>
      <c r="J29" s="811" t="s">
        <v>1608</v>
      </c>
      <c r="K29" s="811" t="s">
        <v>1628</v>
      </c>
      <c r="L29" s="811" t="s">
        <v>1210</v>
      </c>
      <c r="M29" s="811" t="s">
        <v>1608</v>
      </c>
      <c r="N29" s="811" t="s">
        <v>1608</v>
      </c>
      <c r="O29" s="811" t="s">
        <v>1659</v>
      </c>
      <c r="P29" s="811" t="s">
        <v>1630</v>
      </c>
      <c r="Q29" s="811" t="s">
        <v>1631</v>
      </c>
    </row>
    <row r="30" spans="1:17" x14ac:dyDescent="0.35">
      <c r="A30" s="811" t="s">
        <v>1667</v>
      </c>
      <c r="B30" s="811" t="s">
        <v>1668</v>
      </c>
      <c r="C30" s="812">
        <v>59054190</v>
      </c>
      <c r="D30" s="811" t="s">
        <v>1429</v>
      </c>
      <c r="E30" s="811" t="s">
        <v>1429</v>
      </c>
      <c r="F30" s="811" t="s">
        <v>1635</v>
      </c>
      <c r="G30" s="811" t="s">
        <v>1625</v>
      </c>
      <c r="H30" s="811" t="s">
        <v>1550</v>
      </c>
      <c r="I30" s="811" t="s">
        <v>1627</v>
      </c>
      <c r="J30" s="813">
        <v>59054190</v>
      </c>
      <c r="K30" s="811" t="s">
        <v>1628</v>
      </c>
      <c r="L30" s="811" t="s">
        <v>1210</v>
      </c>
      <c r="M30" s="811" t="s">
        <v>1608</v>
      </c>
      <c r="N30" s="811" t="s">
        <v>1608</v>
      </c>
      <c r="O30" s="811" t="s">
        <v>1669</v>
      </c>
      <c r="P30" s="811" t="s">
        <v>1630</v>
      </c>
      <c r="Q30" s="811" t="s">
        <v>1655</v>
      </c>
    </row>
    <row r="31" spans="1:17" x14ac:dyDescent="0.35">
      <c r="A31" s="811" t="s">
        <v>1622</v>
      </c>
      <c r="B31" s="811" t="s">
        <v>1670</v>
      </c>
      <c r="C31" s="812">
        <v>59500000</v>
      </c>
      <c r="D31" s="811" t="s">
        <v>1420</v>
      </c>
      <c r="E31" s="811" t="s">
        <v>1515</v>
      </c>
      <c r="F31" s="811" t="s">
        <v>1671</v>
      </c>
      <c r="G31" s="811" t="s">
        <v>1625</v>
      </c>
      <c r="H31" s="811" t="s">
        <v>1626</v>
      </c>
      <c r="I31" s="811" t="s">
        <v>1627</v>
      </c>
      <c r="J31" s="813">
        <v>59500000</v>
      </c>
      <c r="K31" s="811" t="s">
        <v>1628</v>
      </c>
      <c r="L31" s="811" t="s">
        <v>1210</v>
      </c>
      <c r="M31" s="811" t="s">
        <v>1608</v>
      </c>
      <c r="N31" s="811" t="s">
        <v>1608</v>
      </c>
      <c r="O31" s="811" t="s">
        <v>1672</v>
      </c>
      <c r="P31" s="811" t="s">
        <v>1630</v>
      </c>
      <c r="Q31" s="811" t="s">
        <v>1673</v>
      </c>
    </row>
    <row r="32" spans="1:17" x14ac:dyDescent="0.35">
      <c r="A32" s="811" t="s">
        <v>1622</v>
      </c>
      <c r="B32" s="811" t="s">
        <v>1674</v>
      </c>
      <c r="C32" s="812">
        <v>27000000</v>
      </c>
      <c r="D32" s="811" t="s">
        <v>1428</v>
      </c>
      <c r="E32" s="811" t="s">
        <v>1428</v>
      </c>
      <c r="F32" s="811" t="s">
        <v>1635</v>
      </c>
      <c r="G32" s="811" t="s">
        <v>1625</v>
      </c>
      <c r="H32" s="811" t="s">
        <v>1626</v>
      </c>
      <c r="I32" s="811" t="s">
        <v>1627</v>
      </c>
      <c r="J32" s="813">
        <v>27000000</v>
      </c>
      <c r="K32" s="811" t="s">
        <v>1628</v>
      </c>
      <c r="L32" s="811" t="s">
        <v>1210</v>
      </c>
      <c r="M32" s="811" t="s">
        <v>1608</v>
      </c>
      <c r="N32" s="811" t="s">
        <v>1608</v>
      </c>
      <c r="O32" s="811" t="s">
        <v>1672</v>
      </c>
      <c r="P32" s="811" t="s">
        <v>1630</v>
      </c>
      <c r="Q32" s="811" t="s">
        <v>1673</v>
      </c>
    </row>
    <row r="33" spans="1:17" x14ac:dyDescent="0.35">
      <c r="A33" s="811" t="s">
        <v>1622</v>
      </c>
      <c r="B33" s="811" t="s">
        <v>1675</v>
      </c>
      <c r="C33" s="812">
        <v>59500000</v>
      </c>
      <c r="D33" s="811" t="s">
        <v>1515</v>
      </c>
      <c r="E33" s="811" t="s">
        <v>1515</v>
      </c>
      <c r="F33" s="811" t="s">
        <v>1671</v>
      </c>
      <c r="G33" s="811" t="s">
        <v>1625</v>
      </c>
      <c r="H33" s="811" t="s">
        <v>1626</v>
      </c>
      <c r="I33" s="811" t="s">
        <v>1627</v>
      </c>
      <c r="J33" s="813">
        <v>59500000</v>
      </c>
      <c r="K33" s="811" t="s">
        <v>1628</v>
      </c>
      <c r="L33" s="811" t="s">
        <v>1210</v>
      </c>
      <c r="M33" s="811" t="s">
        <v>1608</v>
      </c>
      <c r="N33" s="811" t="s">
        <v>1608</v>
      </c>
      <c r="O33" s="811" t="s">
        <v>1672</v>
      </c>
      <c r="P33" s="811" t="s">
        <v>1630</v>
      </c>
      <c r="Q33" s="811" t="s">
        <v>1673</v>
      </c>
    </row>
    <row r="34" spans="1:17" x14ac:dyDescent="0.35">
      <c r="A34" s="811" t="s">
        <v>1622</v>
      </c>
      <c r="B34" s="811" t="s">
        <v>1676</v>
      </c>
      <c r="C34" s="812">
        <v>6000000</v>
      </c>
      <c r="D34" s="811" t="s">
        <v>1424</v>
      </c>
      <c r="E34" s="811" t="s">
        <v>1424</v>
      </c>
      <c r="F34" s="811" t="s">
        <v>1658</v>
      </c>
      <c r="G34" s="811" t="s">
        <v>1625</v>
      </c>
      <c r="H34" s="811" t="s">
        <v>1626</v>
      </c>
      <c r="I34" s="811" t="s">
        <v>1627</v>
      </c>
      <c r="J34" s="813">
        <v>6000000</v>
      </c>
      <c r="K34" s="811" t="s">
        <v>1628</v>
      </c>
      <c r="L34" s="811" t="s">
        <v>1210</v>
      </c>
      <c r="M34" s="811" t="s">
        <v>1608</v>
      </c>
      <c r="N34" s="811" t="s">
        <v>1608</v>
      </c>
      <c r="O34" s="811" t="s">
        <v>1677</v>
      </c>
      <c r="P34" s="811" t="s">
        <v>1630</v>
      </c>
      <c r="Q34" s="811" t="s">
        <v>1678</v>
      </c>
    </row>
    <row r="35" spans="1:17" x14ac:dyDescent="0.35">
      <c r="A35" s="811" t="s">
        <v>1622</v>
      </c>
      <c r="B35" s="811" t="s">
        <v>1679</v>
      </c>
      <c r="C35" s="812">
        <v>63000000</v>
      </c>
      <c r="D35" s="811" t="s">
        <v>1420</v>
      </c>
      <c r="E35" s="811" t="s">
        <v>1420</v>
      </c>
      <c r="F35" s="811" t="s">
        <v>1639</v>
      </c>
      <c r="G35" s="811" t="s">
        <v>1625</v>
      </c>
      <c r="H35" s="811" t="s">
        <v>1626</v>
      </c>
      <c r="I35" s="811" t="s">
        <v>1627</v>
      </c>
      <c r="J35" s="813">
        <v>63000000</v>
      </c>
      <c r="K35" s="811" t="s">
        <v>1628</v>
      </c>
      <c r="L35" s="811" t="s">
        <v>1210</v>
      </c>
      <c r="M35" s="811" t="s">
        <v>1608</v>
      </c>
      <c r="N35" s="811" t="s">
        <v>1608</v>
      </c>
      <c r="O35" s="811" t="s">
        <v>1654</v>
      </c>
      <c r="P35" s="811" t="s">
        <v>1630</v>
      </c>
      <c r="Q35" s="811" t="s">
        <v>1655</v>
      </c>
    </row>
    <row r="36" spans="1:17" x14ac:dyDescent="0.35">
      <c r="A36" s="811" t="s">
        <v>1622</v>
      </c>
      <c r="B36" s="811" t="s">
        <v>1680</v>
      </c>
      <c r="C36" s="812">
        <v>85250000</v>
      </c>
      <c r="D36" s="811" t="s">
        <v>1414</v>
      </c>
      <c r="E36" s="811" t="s">
        <v>1414</v>
      </c>
      <c r="F36" s="811" t="s">
        <v>1662</v>
      </c>
      <c r="G36" s="811" t="s">
        <v>1625</v>
      </c>
      <c r="H36" s="811" t="s">
        <v>1626</v>
      </c>
      <c r="I36" s="811" t="s">
        <v>1627</v>
      </c>
      <c r="J36" s="813">
        <v>85250000</v>
      </c>
      <c r="K36" s="811" t="s">
        <v>1628</v>
      </c>
      <c r="L36" s="811" t="s">
        <v>1210</v>
      </c>
      <c r="M36" s="811" t="s">
        <v>1608</v>
      </c>
      <c r="N36" s="811" t="s">
        <v>1608</v>
      </c>
      <c r="O36" s="811" t="s">
        <v>1654</v>
      </c>
      <c r="P36" s="811" t="s">
        <v>1630</v>
      </c>
      <c r="Q36" s="811" t="s">
        <v>1655</v>
      </c>
    </row>
    <row r="37" spans="1:17" x14ac:dyDescent="0.35">
      <c r="A37" s="811" t="s">
        <v>1622</v>
      </c>
      <c r="B37" s="811" t="s">
        <v>1681</v>
      </c>
      <c r="C37" s="812">
        <v>33000000</v>
      </c>
      <c r="D37" s="811" t="s">
        <v>1429</v>
      </c>
      <c r="E37" s="811" t="s">
        <v>1429</v>
      </c>
      <c r="F37" s="811" t="s">
        <v>1635</v>
      </c>
      <c r="G37" s="811" t="s">
        <v>1625</v>
      </c>
      <c r="H37" s="811" t="s">
        <v>1626</v>
      </c>
      <c r="I37" s="811" t="s">
        <v>1627</v>
      </c>
      <c r="J37" s="813">
        <v>33000000</v>
      </c>
      <c r="K37" s="811" t="s">
        <v>1628</v>
      </c>
      <c r="L37" s="811" t="s">
        <v>1210</v>
      </c>
      <c r="M37" s="811" t="s">
        <v>1608</v>
      </c>
      <c r="N37" s="811" t="s">
        <v>1608</v>
      </c>
      <c r="O37" s="811" t="s">
        <v>1682</v>
      </c>
      <c r="P37" s="811" t="s">
        <v>1630</v>
      </c>
      <c r="Q37" s="811" t="s">
        <v>1683</v>
      </c>
    </row>
    <row r="38" spans="1:17" x14ac:dyDescent="0.35">
      <c r="A38" s="811" t="s">
        <v>1622</v>
      </c>
      <c r="B38" s="811" t="s">
        <v>1684</v>
      </c>
      <c r="C38" s="812">
        <v>22200000</v>
      </c>
      <c r="D38" s="811" t="s">
        <v>1428</v>
      </c>
      <c r="E38" s="811" t="s">
        <v>1428</v>
      </c>
      <c r="F38" s="811" t="s">
        <v>1635</v>
      </c>
      <c r="G38" s="811" t="s">
        <v>1625</v>
      </c>
      <c r="H38" s="811" t="s">
        <v>1626</v>
      </c>
      <c r="I38" s="811" t="s">
        <v>1627</v>
      </c>
      <c r="J38" s="813">
        <v>22200000</v>
      </c>
      <c r="K38" s="811" t="s">
        <v>1628</v>
      </c>
      <c r="L38" s="811" t="s">
        <v>1210</v>
      </c>
      <c r="M38" s="811" t="s">
        <v>1608</v>
      </c>
      <c r="N38" s="811" t="s">
        <v>1608</v>
      </c>
      <c r="O38" s="811" t="s">
        <v>1682</v>
      </c>
      <c r="P38" s="811" t="s">
        <v>1630</v>
      </c>
      <c r="Q38" s="811" t="s">
        <v>1683</v>
      </c>
    </row>
    <row r="39" spans="1:17" x14ac:dyDescent="0.35">
      <c r="A39" s="811" t="s">
        <v>1622</v>
      </c>
      <c r="B39" s="811" t="s">
        <v>1685</v>
      </c>
      <c r="C39" s="812">
        <v>20000000</v>
      </c>
      <c r="D39" s="811" t="s">
        <v>1429</v>
      </c>
      <c r="E39" s="811" t="s">
        <v>1429</v>
      </c>
      <c r="F39" s="811" t="s">
        <v>1635</v>
      </c>
      <c r="G39" s="811" t="s">
        <v>1625</v>
      </c>
      <c r="H39" s="811" t="s">
        <v>1626</v>
      </c>
      <c r="I39" s="811" t="s">
        <v>1627</v>
      </c>
      <c r="J39" s="813">
        <v>20000000</v>
      </c>
      <c r="K39" s="811" t="s">
        <v>1628</v>
      </c>
      <c r="L39" s="811" t="s">
        <v>1210</v>
      </c>
      <c r="M39" s="811" t="s">
        <v>1608</v>
      </c>
      <c r="N39" s="811" t="s">
        <v>1608</v>
      </c>
      <c r="O39" s="811" t="s">
        <v>1682</v>
      </c>
      <c r="P39" s="811" t="s">
        <v>1630</v>
      </c>
      <c r="Q39" s="811" t="s">
        <v>1683</v>
      </c>
    </row>
    <row r="40" spans="1:17" x14ac:dyDescent="0.35">
      <c r="A40" s="811" t="s">
        <v>1686</v>
      </c>
      <c r="B40" s="811" t="s">
        <v>461</v>
      </c>
      <c r="C40" s="812">
        <v>15000000</v>
      </c>
      <c r="D40" s="811" t="s">
        <v>1434</v>
      </c>
      <c r="E40" s="811" t="s">
        <v>1434</v>
      </c>
      <c r="F40" s="811" t="s">
        <v>1635</v>
      </c>
      <c r="G40" s="811" t="s">
        <v>1625</v>
      </c>
      <c r="H40" s="811" t="s">
        <v>1550</v>
      </c>
      <c r="I40" s="811" t="s">
        <v>1627</v>
      </c>
      <c r="J40" s="813">
        <v>15000000</v>
      </c>
      <c r="K40" s="811" t="s">
        <v>1628</v>
      </c>
      <c r="L40" s="811" t="s">
        <v>1210</v>
      </c>
      <c r="M40" s="811" t="s">
        <v>1608</v>
      </c>
      <c r="N40" s="811" t="s">
        <v>1608</v>
      </c>
      <c r="O40" s="811" t="s">
        <v>1682</v>
      </c>
      <c r="P40" s="811" t="s">
        <v>1630</v>
      </c>
      <c r="Q40" s="811" t="s">
        <v>1683</v>
      </c>
    </row>
    <row r="41" spans="1:17" x14ac:dyDescent="0.35">
      <c r="A41" s="811" t="s">
        <v>1687</v>
      </c>
      <c r="B41" s="811" t="s">
        <v>1688</v>
      </c>
      <c r="C41" s="812">
        <v>3000000</v>
      </c>
      <c r="D41" s="811" t="s">
        <v>1428</v>
      </c>
      <c r="E41" s="811" t="s">
        <v>1428</v>
      </c>
      <c r="F41" s="811" t="s">
        <v>1689</v>
      </c>
      <c r="G41" s="811" t="s">
        <v>1625</v>
      </c>
      <c r="H41" s="811" t="s">
        <v>1636</v>
      </c>
      <c r="I41" s="811" t="s">
        <v>1627</v>
      </c>
      <c r="J41" s="813">
        <v>3000000</v>
      </c>
      <c r="K41" s="811" t="s">
        <v>1628</v>
      </c>
      <c r="L41" s="811" t="s">
        <v>1210</v>
      </c>
      <c r="M41" s="811" t="s">
        <v>1608</v>
      </c>
      <c r="N41" s="811" t="s">
        <v>1608</v>
      </c>
      <c r="O41" s="811" t="s">
        <v>1682</v>
      </c>
      <c r="P41" s="811" t="s">
        <v>1630</v>
      </c>
      <c r="Q41" s="811" t="s">
        <v>1683</v>
      </c>
    </row>
    <row r="42" spans="1:17" x14ac:dyDescent="0.35">
      <c r="A42" s="811" t="s">
        <v>1622</v>
      </c>
      <c r="B42" s="811" t="s">
        <v>1690</v>
      </c>
      <c r="C42" s="812">
        <v>25000000</v>
      </c>
      <c r="D42" s="811" t="s">
        <v>1428</v>
      </c>
      <c r="E42" s="811" t="s">
        <v>1428</v>
      </c>
      <c r="F42" s="811" t="s">
        <v>1691</v>
      </c>
      <c r="G42" s="811" t="s">
        <v>1625</v>
      </c>
      <c r="H42" s="811" t="s">
        <v>1626</v>
      </c>
      <c r="I42" s="811" t="s">
        <v>1627</v>
      </c>
      <c r="J42" s="813">
        <v>25000000</v>
      </c>
      <c r="K42" s="811" t="s">
        <v>1628</v>
      </c>
      <c r="L42" s="811" t="s">
        <v>1210</v>
      </c>
      <c r="M42" s="811" t="s">
        <v>1608</v>
      </c>
      <c r="N42" s="811" t="s">
        <v>1608</v>
      </c>
      <c r="O42" s="811" t="s">
        <v>1682</v>
      </c>
      <c r="P42" s="811" t="s">
        <v>1630</v>
      </c>
      <c r="Q42" s="811" t="s">
        <v>1683</v>
      </c>
    </row>
    <row r="43" spans="1:17" x14ac:dyDescent="0.35">
      <c r="A43" s="811" t="s">
        <v>1622</v>
      </c>
      <c r="B43" s="811" t="s">
        <v>1692</v>
      </c>
      <c r="C43" s="812">
        <v>35000000</v>
      </c>
      <c r="D43" s="811" t="s">
        <v>1429</v>
      </c>
      <c r="E43" s="811" t="s">
        <v>1429</v>
      </c>
      <c r="F43" s="811" t="s">
        <v>1635</v>
      </c>
      <c r="G43" s="811" t="s">
        <v>1625</v>
      </c>
      <c r="H43" s="811" t="s">
        <v>1626</v>
      </c>
      <c r="I43" s="811" t="s">
        <v>1627</v>
      </c>
      <c r="J43" s="813">
        <v>35000000</v>
      </c>
      <c r="K43" s="811" t="s">
        <v>1628</v>
      </c>
      <c r="L43" s="811" t="s">
        <v>1210</v>
      </c>
      <c r="M43" s="811" t="s">
        <v>1608</v>
      </c>
      <c r="N43" s="811" t="s">
        <v>1608</v>
      </c>
      <c r="O43" s="811" t="s">
        <v>1682</v>
      </c>
      <c r="P43" s="811" t="s">
        <v>1630</v>
      </c>
      <c r="Q43" s="811" t="s">
        <v>1683</v>
      </c>
    </row>
    <row r="44" spans="1:17" x14ac:dyDescent="0.35">
      <c r="A44" s="811" t="s">
        <v>1622</v>
      </c>
      <c r="B44" s="811" t="s">
        <v>1693</v>
      </c>
      <c r="C44" s="812">
        <v>35000000</v>
      </c>
      <c r="D44" s="811" t="s">
        <v>1429</v>
      </c>
      <c r="E44" s="811" t="s">
        <v>1429</v>
      </c>
      <c r="F44" s="811" t="s">
        <v>1635</v>
      </c>
      <c r="G44" s="811" t="s">
        <v>1625</v>
      </c>
      <c r="H44" s="811" t="s">
        <v>1626</v>
      </c>
      <c r="I44" s="811" t="s">
        <v>1627</v>
      </c>
      <c r="J44" s="813">
        <v>35000000</v>
      </c>
      <c r="K44" s="811" t="s">
        <v>1628</v>
      </c>
      <c r="L44" s="811" t="s">
        <v>1210</v>
      </c>
      <c r="M44" s="811" t="s">
        <v>1608</v>
      </c>
      <c r="N44" s="811" t="s">
        <v>1608</v>
      </c>
      <c r="O44" s="811" t="s">
        <v>1682</v>
      </c>
      <c r="P44" s="811" t="s">
        <v>1630</v>
      </c>
      <c r="Q44" s="811" t="s">
        <v>1683</v>
      </c>
    </row>
    <row r="45" spans="1:17" x14ac:dyDescent="0.35">
      <c r="A45" s="811" t="s">
        <v>1622</v>
      </c>
      <c r="B45" s="811" t="s">
        <v>1694</v>
      </c>
      <c r="C45" s="812">
        <v>12000000</v>
      </c>
      <c r="D45" s="811" t="s">
        <v>1429</v>
      </c>
      <c r="E45" s="811" t="s">
        <v>1429</v>
      </c>
      <c r="F45" s="811" t="s">
        <v>1635</v>
      </c>
      <c r="G45" s="811" t="s">
        <v>1625</v>
      </c>
      <c r="H45" s="811" t="s">
        <v>1626</v>
      </c>
      <c r="I45" s="811" t="s">
        <v>1627</v>
      </c>
      <c r="J45" s="813">
        <v>12000000</v>
      </c>
      <c r="K45" s="811" t="s">
        <v>1628</v>
      </c>
      <c r="L45" s="811" t="s">
        <v>1210</v>
      </c>
      <c r="M45" s="811" t="s">
        <v>1608</v>
      </c>
      <c r="N45" s="811" t="s">
        <v>1608</v>
      </c>
      <c r="O45" s="811" t="s">
        <v>1682</v>
      </c>
      <c r="P45" s="811" t="s">
        <v>1630</v>
      </c>
      <c r="Q45" s="811" t="s">
        <v>1683</v>
      </c>
    </row>
    <row r="46" spans="1:17" x14ac:dyDescent="0.35">
      <c r="A46" s="811" t="s">
        <v>1622</v>
      </c>
      <c r="B46" s="811" t="s">
        <v>1695</v>
      </c>
      <c r="C46" s="812">
        <v>23621677</v>
      </c>
      <c r="D46" s="811" t="s">
        <v>1428</v>
      </c>
      <c r="E46" s="811" t="s">
        <v>1428</v>
      </c>
      <c r="F46" s="811" t="s">
        <v>1691</v>
      </c>
      <c r="G46" s="811" t="s">
        <v>1625</v>
      </c>
      <c r="H46" s="811" t="s">
        <v>1626</v>
      </c>
      <c r="I46" s="811" t="s">
        <v>1627</v>
      </c>
      <c r="J46" s="813">
        <v>23621677</v>
      </c>
      <c r="K46" s="811" t="s">
        <v>1628</v>
      </c>
      <c r="L46" s="811" t="s">
        <v>1210</v>
      </c>
      <c r="M46" s="811" t="s">
        <v>1608</v>
      </c>
      <c r="N46" s="811" t="s">
        <v>1608</v>
      </c>
      <c r="O46" s="811" t="s">
        <v>1696</v>
      </c>
      <c r="P46" s="811" t="s">
        <v>1630</v>
      </c>
      <c r="Q46" s="811" t="s">
        <v>1697</v>
      </c>
    </row>
    <row r="47" spans="1:17" x14ac:dyDescent="0.35">
      <c r="A47" s="811" t="s">
        <v>1698</v>
      </c>
      <c r="B47" s="811" t="s">
        <v>1699</v>
      </c>
      <c r="C47" s="812">
        <v>300000000</v>
      </c>
      <c r="D47" s="811" t="s">
        <v>1429</v>
      </c>
      <c r="E47" s="811" t="s">
        <v>1445</v>
      </c>
      <c r="F47" s="811" t="s">
        <v>1700</v>
      </c>
      <c r="G47" s="811" t="s">
        <v>1625</v>
      </c>
      <c r="H47" s="811" t="s">
        <v>1701</v>
      </c>
      <c r="I47" s="811" t="s">
        <v>1627</v>
      </c>
      <c r="J47" s="813">
        <v>300000000</v>
      </c>
      <c r="K47" s="811" t="s">
        <v>1628</v>
      </c>
      <c r="L47" s="811" t="s">
        <v>1210</v>
      </c>
      <c r="M47" s="811" t="s">
        <v>1608</v>
      </c>
      <c r="N47" s="811" t="s">
        <v>1608</v>
      </c>
      <c r="O47" s="811" t="s">
        <v>1702</v>
      </c>
      <c r="P47" s="811" t="s">
        <v>1630</v>
      </c>
      <c r="Q47" s="811" t="s">
        <v>1637</v>
      </c>
    </row>
    <row r="48" spans="1:17" x14ac:dyDescent="0.35">
      <c r="A48" s="811" t="s">
        <v>1622</v>
      </c>
      <c r="B48" s="811" t="s">
        <v>1703</v>
      </c>
      <c r="C48" s="812">
        <v>15600000</v>
      </c>
      <c r="D48" s="811" t="s">
        <v>1428</v>
      </c>
      <c r="E48" s="811" t="s">
        <v>1429</v>
      </c>
      <c r="F48" s="811" t="s">
        <v>1635</v>
      </c>
      <c r="G48" s="811" t="s">
        <v>1625</v>
      </c>
      <c r="H48" s="811" t="s">
        <v>1626</v>
      </c>
      <c r="I48" s="811" t="s">
        <v>1627</v>
      </c>
      <c r="J48" s="813">
        <v>15600000</v>
      </c>
      <c r="K48" s="811" t="s">
        <v>1628</v>
      </c>
      <c r="L48" s="811" t="s">
        <v>1210</v>
      </c>
      <c r="M48" s="811" t="s">
        <v>1608</v>
      </c>
      <c r="N48" s="811" t="s">
        <v>1608</v>
      </c>
      <c r="O48" s="811" t="s">
        <v>1702</v>
      </c>
      <c r="P48" s="811" t="s">
        <v>1630</v>
      </c>
      <c r="Q48" s="811" t="s">
        <v>1637</v>
      </c>
    </row>
    <row r="49" spans="1:17" x14ac:dyDescent="0.35">
      <c r="A49" s="811" t="s">
        <v>1704</v>
      </c>
      <c r="B49" s="811" t="s">
        <v>1705</v>
      </c>
      <c r="C49" s="812">
        <v>8000000</v>
      </c>
      <c r="D49" s="811" t="s">
        <v>1428</v>
      </c>
      <c r="E49" s="811" t="s">
        <v>1428</v>
      </c>
      <c r="F49" s="811" t="s">
        <v>1700</v>
      </c>
      <c r="G49" s="811" t="s">
        <v>1625</v>
      </c>
      <c r="H49" s="811" t="s">
        <v>1550</v>
      </c>
      <c r="I49" s="811" t="s">
        <v>1627</v>
      </c>
      <c r="J49" s="813">
        <v>8000000</v>
      </c>
      <c r="K49" s="811" t="s">
        <v>1628</v>
      </c>
      <c r="L49" s="811" t="s">
        <v>1210</v>
      </c>
      <c r="M49" s="811" t="s">
        <v>1608</v>
      </c>
      <c r="N49" s="811" t="s">
        <v>1608</v>
      </c>
      <c r="O49" s="811" t="s">
        <v>1702</v>
      </c>
      <c r="P49" s="811" t="s">
        <v>1630</v>
      </c>
      <c r="Q49" s="811" t="s">
        <v>1637</v>
      </c>
    </row>
    <row r="50" spans="1:17" x14ac:dyDescent="0.35">
      <c r="A50" s="811" t="s">
        <v>1706</v>
      </c>
      <c r="B50" s="811" t="s">
        <v>1707</v>
      </c>
      <c r="C50" s="812">
        <v>300000000</v>
      </c>
      <c r="D50" s="811" t="s">
        <v>1421</v>
      </c>
      <c r="E50" s="811" t="s">
        <v>1428</v>
      </c>
      <c r="F50" s="811" t="s">
        <v>1624</v>
      </c>
      <c r="G50" s="811" t="s">
        <v>1625</v>
      </c>
      <c r="H50" s="811" t="s">
        <v>1626</v>
      </c>
      <c r="I50" s="811" t="s">
        <v>1627</v>
      </c>
      <c r="J50" s="813">
        <v>300000000</v>
      </c>
      <c r="K50" s="811" t="s">
        <v>1628</v>
      </c>
      <c r="L50" s="811" t="s">
        <v>1210</v>
      </c>
      <c r="M50" s="811" t="s">
        <v>1608</v>
      </c>
      <c r="N50" s="811" t="s">
        <v>1608</v>
      </c>
      <c r="O50" s="811" t="s">
        <v>1702</v>
      </c>
      <c r="P50" s="811" t="s">
        <v>1630</v>
      </c>
      <c r="Q50" s="811" t="s">
        <v>1637</v>
      </c>
    </row>
    <row r="51" spans="1:17" x14ac:dyDescent="0.35">
      <c r="A51" s="811" t="s">
        <v>1708</v>
      </c>
      <c r="B51" s="811" t="s">
        <v>1709</v>
      </c>
      <c r="C51" s="812">
        <v>2000000000</v>
      </c>
      <c r="D51" s="811" t="s">
        <v>1421</v>
      </c>
      <c r="E51" s="811" t="s">
        <v>1421</v>
      </c>
      <c r="F51" s="811" t="s">
        <v>1689</v>
      </c>
      <c r="G51" s="811" t="s">
        <v>1625</v>
      </c>
      <c r="H51" s="811" t="s">
        <v>1626</v>
      </c>
      <c r="I51" s="811" t="s">
        <v>1627</v>
      </c>
      <c r="J51" s="813">
        <v>2000000000</v>
      </c>
      <c r="K51" s="811" t="s">
        <v>1628</v>
      </c>
      <c r="L51" s="811" t="s">
        <v>1210</v>
      </c>
      <c r="M51" s="811" t="s">
        <v>1608</v>
      </c>
      <c r="N51" s="811" t="s">
        <v>1608</v>
      </c>
      <c r="O51" s="811" t="s">
        <v>1702</v>
      </c>
      <c r="P51" s="811" t="s">
        <v>1630</v>
      </c>
      <c r="Q51" s="811" t="s">
        <v>1637</v>
      </c>
    </row>
    <row r="52" spans="1:17" x14ac:dyDescent="0.35">
      <c r="A52" s="811" t="s">
        <v>1710</v>
      </c>
      <c r="B52" s="811" t="s">
        <v>1711</v>
      </c>
      <c r="C52" s="812">
        <v>200000000</v>
      </c>
      <c r="D52" s="811" t="s">
        <v>1445</v>
      </c>
      <c r="E52" s="811" t="s">
        <v>1445</v>
      </c>
      <c r="F52" s="811" t="s">
        <v>1712</v>
      </c>
      <c r="G52" s="811" t="s">
        <v>1625</v>
      </c>
      <c r="H52" s="811" t="s">
        <v>1713</v>
      </c>
      <c r="I52" s="811" t="s">
        <v>1627</v>
      </c>
      <c r="J52" s="813">
        <v>200000000</v>
      </c>
      <c r="K52" s="811" t="s">
        <v>1628</v>
      </c>
      <c r="L52" s="811" t="s">
        <v>1210</v>
      </c>
      <c r="M52" s="811" t="s">
        <v>1608</v>
      </c>
      <c r="N52" s="811" t="s">
        <v>1608</v>
      </c>
      <c r="O52" s="811" t="s">
        <v>1702</v>
      </c>
      <c r="P52" s="811" t="s">
        <v>1630</v>
      </c>
      <c r="Q52" s="811" t="s">
        <v>1637</v>
      </c>
    </row>
    <row r="53" spans="1:17" x14ac:dyDescent="0.35">
      <c r="A53" s="811" t="s">
        <v>1714</v>
      </c>
      <c r="B53" s="811" t="s">
        <v>1715</v>
      </c>
      <c r="C53" s="812">
        <v>300000000</v>
      </c>
      <c r="D53" s="811" t="s">
        <v>1421</v>
      </c>
      <c r="E53" s="811" t="s">
        <v>1428</v>
      </c>
      <c r="F53" s="811" t="s">
        <v>1624</v>
      </c>
      <c r="G53" s="811" t="s">
        <v>1625</v>
      </c>
      <c r="H53" s="811" t="s">
        <v>1626</v>
      </c>
      <c r="I53" s="811" t="s">
        <v>1627</v>
      </c>
      <c r="J53" s="813">
        <v>300000000</v>
      </c>
      <c r="K53" s="811" t="s">
        <v>1628</v>
      </c>
      <c r="L53" s="811" t="s">
        <v>1210</v>
      </c>
      <c r="M53" s="811" t="s">
        <v>1608</v>
      </c>
      <c r="N53" s="811" t="s">
        <v>1608</v>
      </c>
      <c r="O53" s="811" t="s">
        <v>1702</v>
      </c>
      <c r="P53" s="811" t="s">
        <v>1630</v>
      </c>
      <c r="Q53" s="811" t="s">
        <v>1637</v>
      </c>
    </row>
    <row r="54" spans="1:17" x14ac:dyDescent="0.35">
      <c r="A54" s="811" t="s">
        <v>1716</v>
      </c>
      <c r="B54" s="811" t="s">
        <v>1717</v>
      </c>
      <c r="C54" s="812">
        <v>200000000</v>
      </c>
      <c r="D54" s="811" t="s">
        <v>1429</v>
      </c>
      <c r="E54" s="811" t="s">
        <v>1429</v>
      </c>
      <c r="F54" s="811" t="s">
        <v>1689</v>
      </c>
      <c r="G54" s="811" t="s">
        <v>1625</v>
      </c>
      <c r="H54" s="811" t="s">
        <v>1701</v>
      </c>
      <c r="I54" s="811" t="s">
        <v>1627</v>
      </c>
      <c r="J54" s="813">
        <v>200000000</v>
      </c>
      <c r="K54" s="811" t="s">
        <v>1628</v>
      </c>
      <c r="L54" s="811" t="s">
        <v>1210</v>
      </c>
      <c r="M54" s="811" t="s">
        <v>1608</v>
      </c>
      <c r="N54" s="811" t="s">
        <v>1608</v>
      </c>
      <c r="O54" s="811" t="s">
        <v>1702</v>
      </c>
      <c r="P54" s="811" t="s">
        <v>1630</v>
      </c>
      <c r="Q54" s="811" t="s">
        <v>1637</v>
      </c>
    </row>
    <row r="55" spans="1:17" x14ac:dyDescent="0.35">
      <c r="A55" s="811" t="s">
        <v>1718</v>
      </c>
      <c r="B55" s="811" t="s">
        <v>1719</v>
      </c>
      <c r="C55" s="812">
        <v>100000000</v>
      </c>
      <c r="D55" s="811" t="s">
        <v>1429</v>
      </c>
      <c r="E55" s="811" t="s">
        <v>1445</v>
      </c>
      <c r="F55" s="811" t="s">
        <v>1712</v>
      </c>
      <c r="G55" s="811" t="s">
        <v>1625</v>
      </c>
      <c r="H55" s="811" t="s">
        <v>1626</v>
      </c>
      <c r="I55" s="811" t="s">
        <v>1627</v>
      </c>
      <c r="J55" s="813">
        <v>100000000</v>
      </c>
      <c r="K55" s="811" t="s">
        <v>1628</v>
      </c>
      <c r="L55" s="811" t="s">
        <v>1210</v>
      </c>
      <c r="M55" s="811" t="s">
        <v>1608</v>
      </c>
      <c r="N55" s="811" t="s">
        <v>1608</v>
      </c>
      <c r="O55" s="811" t="s">
        <v>1702</v>
      </c>
      <c r="P55" s="811" t="s">
        <v>1630</v>
      </c>
      <c r="Q55" s="811" t="s">
        <v>1637</v>
      </c>
    </row>
    <row r="56" spans="1:17" x14ac:dyDescent="0.35">
      <c r="A56" s="811" t="s">
        <v>1622</v>
      </c>
      <c r="B56" s="811" t="s">
        <v>1720</v>
      </c>
      <c r="C56" s="812">
        <v>42400000</v>
      </c>
      <c r="D56" s="811" t="s">
        <v>1515</v>
      </c>
      <c r="E56" s="811" t="s">
        <v>1515</v>
      </c>
      <c r="F56" s="811" t="s">
        <v>1624</v>
      </c>
      <c r="G56" s="811" t="s">
        <v>1625</v>
      </c>
      <c r="H56" s="811" t="s">
        <v>1626</v>
      </c>
      <c r="I56" s="811" t="s">
        <v>1627</v>
      </c>
      <c r="J56" s="813">
        <v>42400000</v>
      </c>
      <c r="K56" s="811" t="s">
        <v>1628</v>
      </c>
      <c r="L56" s="811" t="s">
        <v>1210</v>
      </c>
      <c r="M56" s="811" t="s">
        <v>1608</v>
      </c>
      <c r="N56" s="811" t="s">
        <v>1608</v>
      </c>
      <c r="O56" s="811" t="s">
        <v>1659</v>
      </c>
      <c r="P56" s="811" t="s">
        <v>1630</v>
      </c>
      <c r="Q56" s="811" t="s">
        <v>1631</v>
      </c>
    </row>
    <row r="57" spans="1:17" x14ac:dyDescent="0.35">
      <c r="A57" s="811" t="s">
        <v>1622</v>
      </c>
      <c r="B57" s="811" t="s">
        <v>1721</v>
      </c>
      <c r="C57" s="812">
        <v>34100000</v>
      </c>
      <c r="D57" s="811" t="s">
        <v>1515</v>
      </c>
      <c r="E57" s="811" t="s">
        <v>1515</v>
      </c>
      <c r="F57" s="811" t="s">
        <v>1624</v>
      </c>
      <c r="G57" s="811" t="s">
        <v>1625</v>
      </c>
      <c r="H57" s="811" t="s">
        <v>1626</v>
      </c>
      <c r="I57" s="811" t="s">
        <v>1627</v>
      </c>
      <c r="J57" s="813">
        <v>34100000</v>
      </c>
      <c r="K57" s="811" t="s">
        <v>1628</v>
      </c>
      <c r="L57" s="811" t="s">
        <v>1210</v>
      </c>
      <c r="M57" s="811" t="s">
        <v>1608</v>
      </c>
      <c r="N57" s="811" t="s">
        <v>1608</v>
      </c>
      <c r="O57" s="811" t="s">
        <v>1659</v>
      </c>
      <c r="P57" s="811" t="s">
        <v>1630</v>
      </c>
      <c r="Q57" s="811" t="s">
        <v>1631</v>
      </c>
    </row>
    <row r="58" spans="1:17" x14ac:dyDescent="0.35">
      <c r="A58" s="811" t="s">
        <v>1622</v>
      </c>
      <c r="B58" s="811" t="s">
        <v>1722</v>
      </c>
      <c r="C58" s="812">
        <v>33000000</v>
      </c>
      <c r="D58" s="811" t="s">
        <v>1515</v>
      </c>
      <c r="E58" s="811" t="s">
        <v>1515</v>
      </c>
      <c r="F58" s="811" t="s">
        <v>1624</v>
      </c>
      <c r="G58" s="811" t="s">
        <v>1625</v>
      </c>
      <c r="H58" s="811" t="s">
        <v>1626</v>
      </c>
      <c r="I58" s="811" t="s">
        <v>1627</v>
      </c>
      <c r="J58" s="813">
        <v>33000000</v>
      </c>
      <c r="K58" s="811" t="s">
        <v>1628</v>
      </c>
      <c r="L58" s="811" t="s">
        <v>1210</v>
      </c>
      <c r="M58" s="811" t="s">
        <v>1608</v>
      </c>
      <c r="N58" s="811" t="s">
        <v>1608</v>
      </c>
      <c r="O58" s="811" t="s">
        <v>1659</v>
      </c>
      <c r="P58" s="811" t="s">
        <v>1630</v>
      </c>
      <c r="Q58" s="811" t="s">
        <v>1631</v>
      </c>
    </row>
    <row r="59" spans="1:17" x14ac:dyDescent="0.35">
      <c r="A59" s="811" t="s">
        <v>1622</v>
      </c>
      <c r="B59" s="811" t="s">
        <v>1723</v>
      </c>
      <c r="C59" s="812">
        <v>44000000</v>
      </c>
      <c r="D59" s="811" t="s">
        <v>1421</v>
      </c>
      <c r="E59" s="811" t="s">
        <v>1421</v>
      </c>
      <c r="F59" s="811" t="s">
        <v>1662</v>
      </c>
      <c r="G59" s="811" t="s">
        <v>1625</v>
      </c>
      <c r="H59" s="811" t="s">
        <v>1626</v>
      </c>
      <c r="I59" s="811" t="s">
        <v>1627</v>
      </c>
      <c r="J59" s="813">
        <v>44000000</v>
      </c>
      <c r="K59" s="811" t="s">
        <v>1628</v>
      </c>
      <c r="L59" s="811" t="s">
        <v>1210</v>
      </c>
      <c r="M59" s="811" t="s">
        <v>1608</v>
      </c>
      <c r="N59" s="811" t="s">
        <v>1608</v>
      </c>
      <c r="O59" s="811" t="s">
        <v>1659</v>
      </c>
      <c r="P59" s="811" t="s">
        <v>1630</v>
      </c>
      <c r="Q59" s="811" t="s">
        <v>1631</v>
      </c>
    </row>
    <row r="60" spans="1:17" x14ac:dyDescent="0.35">
      <c r="A60" s="811" t="s">
        <v>1622</v>
      </c>
      <c r="B60" s="811" t="s">
        <v>1724</v>
      </c>
      <c r="C60" s="812">
        <v>56000000</v>
      </c>
      <c r="D60" s="811" t="s">
        <v>1421</v>
      </c>
      <c r="E60" s="811" t="s">
        <v>1421</v>
      </c>
      <c r="F60" s="811" t="s">
        <v>1671</v>
      </c>
      <c r="G60" s="811" t="s">
        <v>1625</v>
      </c>
      <c r="H60" s="811" t="s">
        <v>1626</v>
      </c>
      <c r="I60" s="811" t="s">
        <v>1627</v>
      </c>
      <c r="J60" s="813">
        <v>56000000</v>
      </c>
      <c r="K60" s="811" t="s">
        <v>1628</v>
      </c>
      <c r="L60" s="811" t="s">
        <v>1210</v>
      </c>
      <c r="M60" s="811" t="s">
        <v>1608</v>
      </c>
      <c r="N60" s="811" t="s">
        <v>1608</v>
      </c>
      <c r="O60" s="811" t="s">
        <v>1659</v>
      </c>
      <c r="P60" s="811" t="s">
        <v>1630</v>
      </c>
      <c r="Q60" s="811" t="s">
        <v>1631</v>
      </c>
    </row>
    <row r="61" spans="1:17" x14ac:dyDescent="0.35">
      <c r="A61" s="811" t="s">
        <v>1622</v>
      </c>
      <c r="B61" s="811" t="s">
        <v>1725</v>
      </c>
      <c r="C61" s="812">
        <v>50150000</v>
      </c>
      <c r="D61" s="811" t="s">
        <v>1515</v>
      </c>
      <c r="E61" s="811" t="s">
        <v>1515</v>
      </c>
      <c r="F61" s="811" t="s">
        <v>1624</v>
      </c>
      <c r="G61" s="811" t="s">
        <v>1625</v>
      </c>
      <c r="H61" s="811" t="s">
        <v>1626</v>
      </c>
      <c r="I61" s="811" t="s">
        <v>1627</v>
      </c>
      <c r="J61" s="813">
        <v>50150000</v>
      </c>
      <c r="K61" s="811" t="s">
        <v>1628</v>
      </c>
      <c r="L61" s="811" t="s">
        <v>1210</v>
      </c>
      <c r="M61" s="811" t="s">
        <v>1608</v>
      </c>
      <c r="N61" s="811" t="s">
        <v>1608</v>
      </c>
      <c r="O61" s="811" t="s">
        <v>1659</v>
      </c>
      <c r="P61" s="811" t="s">
        <v>1630</v>
      </c>
      <c r="Q61" s="811" t="s">
        <v>1631</v>
      </c>
    </row>
    <row r="62" spans="1:17" x14ac:dyDescent="0.35">
      <c r="A62" s="811" t="s">
        <v>1622</v>
      </c>
      <c r="B62" s="811" t="s">
        <v>1726</v>
      </c>
      <c r="C62" s="812">
        <v>32000000</v>
      </c>
      <c r="D62" s="811" t="s">
        <v>1515</v>
      </c>
      <c r="E62" s="811" t="s">
        <v>1515</v>
      </c>
      <c r="F62" s="811" t="s">
        <v>1624</v>
      </c>
      <c r="G62" s="811" t="s">
        <v>1625</v>
      </c>
      <c r="H62" s="811" t="s">
        <v>1626</v>
      </c>
      <c r="I62" s="811" t="s">
        <v>1627</v>
      </c>
      <c r="J62" s="813">
        <v>32000000</v>
      </c>
      <c r="K62" s="811" t="s">
        <v>1628</v>
      </c>
      <c r="L62" s="811" t="s">
        <v>1210</v>
      </c>
      <c r="M62" s="811" t="s">
        <v>1608</v>
      </c>
      <c r="N62" s="811" t="s">
        <v>1608</v>
      </c>
      <c r="O62" s="811" t="s">
        <v>1659</v>
      </c>
      <c r="P62" s="811" t="s">
        <v>1630</v>
      </c>
      <c r="Q62" s="811" t="s">
        <v>1631</v>
      </c>
    </row>
    <row r="63" spans="1:17" x14ac:dyDescent="0.35">
      <c r="A63" s="811" t="s">
        <v>1622</v>
      </c>
      <c r="B63" s="811" t="s">
        <v>1727</v>
      </c>
      <c r="C63" s="812">
        <v>69600000</v>
      </c>
      <c r="D63" s="811" t="s">
        <v>1420</v>
      </c>
      <c r="E63" s="811" t="s">
        <v>1420</v>
      </c>
      <c r="F63" s="811" t="s">
        <v>1624</v>
      </c>
      <c r="G63" s="811" t="s">
        <v>1625</v>
      </c>
      <c r="H63" s="811" t="s">
        <v>1626</v>
      </c>
      <c r="I63" s="811" t="s">
        <v>1627</v>
      </c>
      <c r="J63" s="813">
        <v>69600000</v>
      </c>
      <c r="K63" s="811" t="s">
        <v>1628</v>
      </c>
      <c r="L63" s="811" t="s">
        <v>1210</v>
      </c>
      <c r="M63" s="811" t="s">
        <v>1608</v>
      </c>
      <c r="N63" s="811" t="s">
        <v>1608</v>
      </c>
      <c r="O63" s="811" t="s">
        <v>1702</v>
      </c>
      <c r="P63" s="811" t="s">
        <v>1630</v>
      </c>
      <c r="Q63" s="811" t="s">
        <v>1637</v>
      </c>
    </row>
    <row r="64" spans="1:17" x14ac:dyDescent="0.35">
      <c r="A64" s="811" t="s">
        <v>1622</v>
      </c>
      <c r="B64" s="811" t="s">
        <v>1728</v>
      </c>
      <c r="C64" s="812">
        <v>64000000</v>
      </c>
      <c r="D64" s="811" t="s">
        <v>1420</v>
      </c>
      <c r="E64" s="811" t="s">
        <v>1420</v>
      </c>
      <c r="F64" s="811" t="s">
        <v>1624</v>
      </c>
      <c r="G64" s="811" t="s">
        <v>1625</v>
      </c>
      <c r="H64" s="811" t="s">
        <v>1626</v>
      </c>
      <c r="I64" s="811" t="s">
        <v>1627</v>
      </c>
      <c r="J64" s="813">
        <v>64000000</v>
      </c>
      <c r="K64" s="811" t="s">
        <v>1628</v>
      </c>
      <c r="L64" s="811" t="s">
        <v>1210</v>
      </c>
      <c r="M64" s="811" t="s">
        <v>1608</v>
      </c>
      <c r="N64" s="811" t="s">
        <v>1608</v>
      </c>
      <c r="O64" s="811" t="s">
        <v>1702</v>
      </c>
      <c r="P64" s="811" t="s">
        <v>1630</v>
      </c>
      <c r="Q64" s="811" t="s">
        <v>1637</v>
      </c>
    </row>
    <row r="65" spans="1:17" x14ac:dyDescent="0.35">
      <c r="A65" s="811" t="s">
        <v>1622</v>
      </c>
      <c r="B65" s="811" t="s">
        <v>1729</v>
      </c>
      <c r="C65" s="812">
        <v>46400000</v>
      </c>
      <c r="D65" s="811" t="s">
        <v>1420</v>
      </c>
      <c r="E65" s="811" t="s">
        <v>1420</v>
      </c>
      <c r="F65" s="811" t="s">
        <v>1624</v>
      </c>
      <c r="G65" s="811" t="s">
        <v>1625</v>
      </c>
      <c r="H65" s="811" t="s">
        <v>1626</v>
      </c>
      <c r="I65" s="811" t="s">
        <v>1627</v>
      </c>
      <c r="J65" s="813">
        <v>46400000</v>
      </c>
      <c r="K65" s="811" t="s">
        <v>1628</v>
      </c>
      <c r="L65" s="811" t="s">
        <v>1210</v>
      </c>
      <c r="M65" s="811" t="s">
        <v>1608</v>
      </c>
      <c r="N65" s="811" t="s">
        <v>1608</v>
      </c>
      <c r="O65" s="811" t="s">
        <v>1702</v>
      </c>
      <c r="P65" s="811" t="s">
        <v>1630</v>
      </c>
      <c r="Q65" s="811" t="s">
        <v>1637</v>
      </c>
    </row>
    <row r="66" spans="1:17" x14ac:dyDescent="0.35">
      <c r="A66" s="811" t="s">
        <v>1622</v>
      </c>
      <c r="B66" s="811" t="s">
        <v>1730</v>
      </c>
      <c r="C66" s="812">
        <v>64000000</v>
      </c>
      <c r="D66" s="811" t="s">
        <v>1420</v>
      </c>
      <c r="E66" s="811" t="s">
        <v>1420</v>
      </c>
      <c r="F66" s="811" t="s">
        <v>1624</v>
      </c>
      <c r="G66" s="811" t="s">
        <v>1625</v>
      </c>
      <c r="H66" s="811" t="s">
        <v>1626</v>
      </c>
      <c r="I66" s="811" t="s">
        <v>1627</v>
      </c>
      <c r="J66" s="813">
        <v>64000000</v>
      </c>
      <c r="K66" s="811" t="s">
        <v>1628</v>
      </c>
      <c r="L66" s="811" t="s">
        <v>1210</v>
      </c>
      <c r="M66" s="811" t="s">
        <v>1608</v>
      </c>
      <c r="N66" s="811" t="s">
        <v>1608</v>
      </c>
      <c r="O66" s="811" t="s">
        <v>1702</v>
      </c>
      <c r="P66" s="811" t="s">
        <v>1630</v>
      </c>
      <c r="Q66" s="811" t="s">
        <v>1637</v>
      </c>
    </row>
    <row r="67" spans="1:17" x14ac:dyDescent="0.35">
      <c r="A67" s="811" t="s">
        <v>1622</v>
      </c>
      <c r="B67" s="811" t="s">
        <v>1731</v>
      </c>
      <c r="C67" s="812">
        <v>44000000</v>
      </c>
      <c r="D67" s="811" t="s">
        <v>1424</v>
      </c>
      <c r="E67" s="811" t="s">
        <v>1424</v>
      </c>
      <c r="F67" s="811" t="s">
        <v>1662</v>
      </c>
      <c r="G67" s="811" t="s">
        <v>1625</v>
      </c>
      <c r="H67" s="811" t="s">
        <v>1626</v>
      </c>
      <c r="I67" s="811" t="s">
        <v>1627</v>
      </c>
      <c r="J67" s="813">
        <v>44000000</v>
      </c>
      <c r="K67" s="811" t="s">
        <v>1628</v>
      </c>
      <c r="L67" s="811" t="s">
        <v>1210</v>
      </c>
      <c r="M67" s="811" t="s">
        <v>1608</v>
      </c>
      <c r="N67" s="811" t="s">
        <v>1608</v>
      </c>
      <c r="O67" s="811" t="s">
        <v>1732</v>
      </c>
      <c r="P67" s="811" t="s">
        <v>1733</v>
      </c>
      <c r="Q67" s="811" t="s">
        <v>1631</v>
      </c>
    </row>
    <row r="68" spans="1:17" x14ac:dyDescent="0.35">
      <c r="A68" s="811" t="s">
        <v>1622</v>
      </c>
      <c r="B68" s="811" t="s">
        <v>1734</v>
      </c>
      <c r="C68" s="812">
        <v>39600000</v>
      </c>
      <c r="D68" s="811" t="s">
        <v>1424</v>
      </c>
      <c r="E68" s="811" t="s">
        <v>1424</v>
      </c>
      <c r="F68" s="811" t="s">
        <v>1662</v>
      </c>
      <c r="G68" s="811" t="s">
        <v>1625</v>
      </c>
      <c r="H68" s="811" t="s">
        <v>1626</v>
      </c>
      <c r="I68" s="811" t="s">
        <v>1627</v>
      </c>
      <c r="J68" s="813">
        <v>39600000</v>
      </c>
      <c r="K68" s="811" t="s">
        <v>1628</v>
      </c>
      <c r="L68" s="811" t="s">
        <v>1210</v>
      </c>
      <c r="M68" s="811" t="s">
        <v>1608</v>
      </c>
      <c r="N68" s="811" t="s">
        <v>1608</v>
      </c>
      <c r="O68" s="811" t="s">
        <v>1732</v>
      </c>
      <c r="P68" s="811" t="s">
        <v>1733</v>
      </c>
      <c r="Q68" s="811" t="s">
        <v>1631</v>
      </c>
    </row>
    <row r="69" spans="1:17" x14ac:dyDescent="0.35">
      <c r="A69" s="811" t="s">
        <v>1622</v>
      </c>
      <c r="B69" s="811" t="s">
        <v>1735</v>
      </c>
      <c r="C69" s="812">
        <v>58300000</v>
      </c>
      <c r="D69" s="811" t="s">
        <v>1424</v>
      </c>
      <c r="E69" s="811" t="s">
        <v>1424</v>
      </c>
      <c r="F69" s="811" t="s">
        <v>1662</v>
      </c>
      <c r="G69" s="811" t="s">
        <v>1625</v>
      </c>
      <c r="H69" s="811" t="s">
        <v>1626</v>
      </c>
      <c r="I69" s="811" t="s">
        <v>1627</v>
      </c>
      <c r="J69" s="813">
        <v>58300000</v>
      </c>
      <c r="K69" s="811" t="s">
        <v>1628</v>
      </c>
      <c r="L69" s="811" t="s">
        <v>1210</v>
      </c>
      <c r="M69" s="811" t="s">
        <v>1608</v>
      </c>
      <c r="N69" s="811" t="s">
        <v>1608</v>
      </c>
      <c r="O69" s="811" t="s">
        <v>1732</v>
      </c>
      <c r="P69" s="811" t="s">
        <v>1733</v>
      </c>
      <c r="Q69" s="811" t="s">
        <v>1631</v>
      </c>
    </row>
    <row r="70" spans="1:17" x14ac:dyDescent="0.35">
      <c r="A70" s="811" t="s">
        <v>1622</v>
      </c>
      <c r="B70" s="811" t="s">
        <v>1736</v>
      </c>
      <c r="C70" s="812">
        <v>20800000</v>
      </c>
      <c r="D70" s="811" t="s">
        <v>1515</v>
      </c>
      <c r="E70" s="811" t="s">
        <v>1515</v>
      </c>
      <c r="F70" s="811" t="s">
        <v>1624</v>
      </c>
      <c r="G70" s="811" t="s">
        <v>1625</v>
      </c>
      <c r="H70" s="811" t="s">
        <v>1626</v>
      </c>
      <c r="I70" s="811" t="s">
        <v>1627</v>
      </c>
      <c r="J70" s="813">
        <v>20800000</v>
      </c>
      <c r="K70" s="811" t="s">
        <v>1628</v>
      </c>
      <c r="L70" s="811" t="s">
        <v>1210</v>
      </c>
      <c r="M70" s="811" t="s">
        <v>1608</v>
      </c>
      <c r="N70" s="811" t="s">
        <v>1608</v>
      </c>
      <c r="O70" s="811" t="s">
        <v>1629</v>
      </c>
      <c r="P70" s="811" t="s">
        <v>1630</v>
      </c>
      <c r="Q70" s="811" t="s">
        <v>1631</v>
      </c>
    </row>
    <row r="71" spans="1:17" x14ac:dyDescent="0.35">
      <c r="A71" s="811" t="s">
        <v>1622</v>
      </c>
      <c r="B71" s="811" t="s">
        <v>1737</v>
      </c>
      <c r="C71" s="812">
        <v>20800000</v>
      </c>
      <c r="D71" s="811" t="s">
        <v>1515</v>
      </c>
      <c r="E71" s="811" t="s">
        <v>1515</v>
      </c>
      <c r="F71" s="811" t="s">
        <v>1624</v>
      </c>
      <c r="G71" s="811" t="s">
        <v>1625</v>
      </c>
      <c r="H71" s="811" t="s">
        <v>1626</v>
      </c>
      <c r="I71" s="811" t="s">
        <v>1627</v>
      </c>
      <c r="J71" s="813">
        <v>20800000</v>
      </c>
      <c r="K71" s="811" t="s">
        <v>1628</v>
      </c>
      <c r="L71" s="811" t="s">
        <v>1210</v>
      </c>
      <c r="M71" s="811" t="s">
        <v>1608</v>
      </c>
      <c r="N71" s="811" t="s">
        <v>1608</v>
      </c>
      <c r="O71" s="811" t="s">
        <v>1629</v>
      </c>
      <c r="P71" s="811" t="s">
        <v>1630</v>
      </c>
      <c r="Q71" s="811" t="s">
        <v>1631</v>
      </c>
    </row>
    <row r="72" spans="1:17" x14ac:dyDescent="0.35">
      <c r="A72" s="811" t="s">
        <v>1622</v>
      </c>
      <c r="B72" s="811" t="s">
        <v>1738</v>
      </c>
      <c r="C72" s="812">
        <v>20800000</v>
      </c>
      <c r="D72" s="811" t="s">
        <v>1515</v>
      </c>
      <c r="E72" s="811" t="s">
        <v>1515</v>
      </c>
      <c r="F72" s="811" t="s">
        <v>1624</v>
      </c>
      <c r="G72" s="811" t="s">
        <v>1625</v>
      </c>
      <c r="H72" s="811" t="s">
        <v>1626</v>
      </c>
      <c r="I72" s="811" t="s">
        <v>1627</v>
      </c>
      <c r="J72" s="813">
        <v>20800000</v>
      </c>
      <c r="K72" s="811" t="s">
        <v>1628</v>
      </c>
      <c r="L72" s="811" t="s">
        <v>1210</v>
      </c>
      <c r="M72" s="811" t="s">
        <v>1608</v>
      </c>
      <c r="N72" s="811" t="s">
        <v>1608</v>
      </c>
      <c r="O72" s="811" t="s">
        <v>1629</v>
      </c>
      <c r="P72" s="811" t="s">
        <v>1630</v>
      </c>
      <c r="Q72" s="811" t="s">
        <v>1631</v>
      </c>
    </row>
    <row r="73" spans="1:17" x14ac:dyDescent="0.35">
      <c r="A73" s="811" t="s">
        <v>1622</v>
      </c>
      <c r="B73" s="811" t="s">
        <v>1739</v>
      </c>
      <c r="C73" s="812">
        <v>20800000</v>
      </c>
      <c r="D73" s="811" t="s">
        <v>1515</v>
      </c>
      <c r="E73" s="811" t="s">
        <v>1515</v>
      </c>
      <c r="F73" s="811" t="s">
        <v>1624</v>
      </c>
      <c r="G73" s="811" t="s">
        <v>1625</v>
      </c>
      <c r="H73" s="811" t="s">
        <v>1626</v>
      </c>
      <c r="I73" s="811" t="s">
        <v>1627</v>
      </c>
      <c r="J73" s="813">
        <v>20800000</v>
      </c>
      <c r="K73" s="811" t="s">
        <v>1628</v>
      </c>
      <c r="L73" s="811" t="s">
        <v>1210</v>
      </c>
      <c r="M73" s="811" t="s">
        <v>1608</v>
      </c>
      <c r="N73" s="811" t="s">
        <v>1608</v>
      </c>
      <c r="O73" s="811" t="s">
        <v>1629</v>
      </c>
      <c r="P73" s="811" t="s">
        <v>1630</v>
      </c>
      <c r="Q73" s="811" t="s">
        <v>1631</v>
      </c>
    </row>
    <row r="74" spans="1:17" x14ac:dyDescent="0.35">
      <c r="A74" s="811" t="s">
        <v>1622</v>
      </c>
      <c r="B74" s="811" t="s">
        <v>1740</v>
      </c>
      <c r="C74" s="812">
        <v>84000000</v>
      </c>
      <c r="D74" s="811" t="s">
        <v>1414</v>
      </c>
      <c r="E74" s="811" t="s">
        <v>1414</v>
      </c>
      <c r="F74" s="811" t="s">
        <v>1741</v>
      </c>
      <c r="G74" s="811" t="s">
        <v>1625</v>
      </c>
      <c r="H74" s="811" t="s">
        <v>1626</v>
      </c>
      <c r="I74" s="811" t="s">
        <v>1627</v>
      </c>
      <c r="J74" s="813">
        <v>84000000</v>
      </c>
      <c r="K74" s="811" t="s">
        <v>1628</v>
      </c>
      <c r="L74" s="811" t="s">
        <v>1210</v>
      </c>
      <c r="M74" s="811" t="s">
        <v>1608</v>
      </c>
      <c r="N74" s="811" t="s">
        <v>1608</v>
      </c>
      <c r="O74" s="811" t="s">
        <v>1742</v>
      </c>
      <c r="P74" s="811" t="s">
        <v>1630</v>
      </c>
      <c r="Q74" s="811" t="s">
        <v>1678</v>
      </c>
    </row>
    <row r="75" spans="1:17" x14ac:dyDescent="0.35">
      <c r="A75" s="811" t="s">
        <v>1622</v>
      </c>
      <c r="B75" s="811" t="s">
        <v>1743</v>
      </c>
      <c r="C75" s="812">
        <v>85250000</v>
      </c>
      <c r="D75" s="811" t="s">
        <v>1414</v>
      </c>
      <c r="E75" s="811" t="s">
        <v>1414</v>
      </c>
      <c r="F75" s="811" t="s">
        <v>1662</v>
      </c>
      <c r="G75" s="811" t="s">
        <v>1625</v>
      </c>
      <c r="H75" s="811" t="s">
        <v>1626</v>
      </c>
      <c r="I75" s="811" t="s">
        <v>1627</v>
      </c>
      <c r="J75" s="813">
        <v>85250000</v>
      </c>
      <c r="K75" s="811" t="s">
        <v>1628</v>
      </c>
      <c r="L75" s="811" t="s">
        <v>1210</v>
      </c>
      <c r="M75" s="811" t="s">
        <v>1608</v>
      </c>
      <c r="N75" s="811" t="s">
        <v>1608</v>
      </c>
      <c r="O75" s="811" t="s">
        <v>1654</v>
      </c>
      <c r="P75" s="811" t="s">
        <v>1630</v>
      </c>
      <c r="Q75" s="811" t="s">
        <v>1655</v>
      </c>
    </row>
    <row r="76" spans="1:17" x14ac:dyDescent="0.35">
      <c r="A76" s="811" t="s">
        <v>1622</v>
      </c>
      <c r="B76" s="811" t="s">
        <v>1744</v>
      </c>
      <c r="C76" s="812">
        <v>29700000</v>
      </c>
      <c r="D76" s="811" t="s">
        <v>1414</v>
      </c>
      <c r="E76" s="811" t="s">
        <v>1414</v>
      </c>
      <c r="F76" s="811" t="s">
        <v>1662</v>
      </c>
      <c r="G76" s="811" t="s">
        <v>1625</v>
      </c>
      <c r="H76" s="811" t="s">
        <v>1626</v>
      </c>
      <c r="I76" s="811" t="s">
        <v>1627</v>
      </c>
      <c r="J76" s="813">
        <v>29700000</v>
      </c>
      <c r="K76" s="811" t="s">
        <v>1628</v>
      </c>
      <c r="L76" s="811" t="s">
        <v>1210</v>
      </c>
      <c r="M76" s="811" t="s">
        <v>1608</v>
      </c>
      <c r="N76" s="811" t="s">
        <v>1608</v>
      </c>
      <c r="O76" s="811" t="s">
        <v>1654</v>
      </c>
      <c r="P76" s="811" t="s">
        <v>1630</v>
      </c>
      <c r="Q76" s="811" t="s">
        <v>1655</v>
      </c>
    </row>
    <row r="77" spans="1:17" x14ac:dyDescent="0.35">
      <c r="A77" s="811" t="s">
        <v>1622</v>
      </c>
      <c r="B77" s="811" t="s">
        <v>1745</v>
      </c>
      <c r="C77" s="812">
        <v>88000000</v>
      </c>
      <c r="D77" s="811" t="s">
        <v>1414</v>
      </c>
      <c r="E77" s="811" t="s">
        <v>1414</v>
      </c>
      <c r="F77" s="811" t="s">
        <v>1662</v>
      </c>
      <c r="G77" s="811" t="s">
        <v>1625</v>
      </c>
      <c r="H77" s="811" t="s">
        <v>1626</v>
      </c>
      <c r="I77" s="811" t="s">
        <v>1627</v>
      </c>
      <c r="J77" s="813">
        <v>88000000</v>
      </c>
      <c r="K77" s="811" t="s">
        <v>1628</v>
      </c>
      <c r="L77" s="811" t="s">
        <v>1210</v>
      </c>
      <c r="M77" s="811" t="s">
        <v>1608</v>
      </c>
      <c r="N77" s="811" t="s">
        <v>1608</v>
      </c>
      <c r="O77" s="811" t="s">
        <v>1654</v>
      </c>
      <c r="P77" s="811" t="s">
        <v>1630</v>
      </c>
      <c r="Q77" s="811" t="s">
        <v>1655</v>
      </c>
    </row>
    <row r="78" spans="1:17" x14ac:dyDescent="0.35">
      <c r="A78" s="811" t="s">
        <v>1622</v>
      </c>
      <c r="B78" s="811" t="s">
        <v>1744</v>
      </c>
      <c r="C78" s="812">
        <v>29700000</v>
      </c>
      <c r="D78" s="811" t="s">
        <v>1414</v>
      </c>
      <c r="E78" s="811" t="s">
        <v>1414</v>
      </c>
      <c r="F78" s="811" t="s">
        <v>1662</v>
      </c>
      <c r="G78" s="811" t="s">
        <v>1625</v>
      </c>
      <c r="H78" s="811" t="s">
        <v>1626</v>
      </c>
      <c r="I78" s="811" t="s">
        <v>1627</v>
      </c>
      <c r="J78" s="813">
        <v>29700000</v>
      </c>
      <c r="K78" s="811" t="s">
        <v>1628</v>
      </c>
      <c r="L78" s="811" t="s">
        <v>1210</v>
      </c>
      <c r="M78" s="811" t="s">
        <v>1608</v>
      </c>
      <c r="N78" s="811" t="s">
        <v>1608</v>
      </c>
      <c r="O78" s="811" t="s">
        <v>1654</v>
      </c>
      <c r="P78" s="811" t="s">
        <v>1630</v>
      </c>
      <c r="Q78" s="811" t="s">
        <v>1655</v>
      </c>
    </row>
    <row r="79" spans="1:17" x14ac:dyDescent="0.35">
      <c r="A79" s="811" t="s">
        <v>1622</v>
      </c>
      <c r="B79" s="811" t="s">
        <v>1664</v>
      </c>
      <c r="C79" s="812">
        <v>47736000</v>
      </c>
      <c r="D79" s="811" t="s">
        <v>1424</v>
      </c>
      <c r="E79" s="811" t="s">
        <v>1424</v>
      </c>
      <c r="F79" s="811" t="s">
        <v>1645</v>
      </c>
      <c r="G79" s="811" t="s">
        <v>1625</v>
      </c>
      <c r="H79" s="811" t="s">
        <v>1626</v>
      </c>
      <c r="I79" s="811" t="s">
        <v>1627</v>
      </c>
      <c r="J79" s="813">
        <v>47736000</v>
      </c>
      <c r="K79" s="811" t="s">
        <v>1628</v>
      </c>
      <c r="L79" s="811" t="s">
        <v>1210</v>
      </c>
      <c r="M79" s="811" t="s">
        <v>1608</v>
      </c>
      <c r="N79" s="811" t="s">
        <v>1608</v>
      </c>
      <c r="O79" s="811" t="s">
        <v>1732</v>
      </c>
      <c r="P79" s="811" t="s">
        <v>1733</v>
      </c>
      <c r="Q79" s="811" t="s">
        <v>1631</v>
      </c>
    </row>
    <row r="80" spans="1:17" x14ac:dyDescent="0.35">
      <c r="A80" s="811" t="s">
        <v>1622</v>
      </c>
      <c r="B80" s="811" t="s">
        <v>1746</v>
      </c>
      <c r="C80" s="812">
        <v>112560000</v>
      </c>
      <c r="D80" s="811" t="s">
        <v>1424</v>
      </c>
      <c r="E80" s="811" t="s">
        <v>1424</v>
      </c>
      <c r="F80" s="811" t="s">
        <v>1645</v>
      </c>
      <c r="G80" s="811" t="s">
        <v>1625</v>
      </c>
      <c r="H80" s="811" t="s">
        <v>1626</v>
      </c>
      <c r="I80" s="811" t="s">
        <v>1627</v>
      </c>
      <c r="J80" s="813">
        <v>112560000</v>
      </c>
      <c r="K80" s="811" t="s">
        <v>1628</v>
      </c>
      <c r="L80" s="811" t="s">
        <v>1210</v>
      </c>
      <c r="M80" s="811" t="s">
        <v>1608</v>
      </c>
      <c r="N80" s="811" t="s">
        <v>1608</v>
      </c>
      <c r="O80" s="811" t="s">
        <v>1732</v>
      </c>
      <c r="P80" s="811" t="s">
        <v>1733</v>
      </c>
      <c r="Q80" s="811" t="s">
        <v>1631</v>
      </c>
    </row>
    <row r="81" spans="1:17" x14ac:dyDescent="0.35">
      <c r="A81" s="811" t="s">
        <v>1622</v>
      </c>
      <c r="B81" s="811" t="s">
        <v>1664</v>
      </c>
      <c r="C81" s="812">
        <v>112604000</v>
      </c>
      <c r="D81" s="811" t="s">
        <v>1424</v>
      </c>
      <c r="E81" s="811" t="s">
        <v>1424</v>
      </c>
      <c r="F81" s="811" t="s">
        <v>1645</v>
      </c>
      <c r="G81" s="811" t="s">
        <v>1625</v>
      </c>
      <c r="H81" s="811" t="s">
        <v>1626</v>
      </c>
      <c r="I81" s="811" t="s">
        <v>1627</v>
      </c>
      <c r="J81" s="813">
        <v>112604000</v>
      </c>
      <c r="K81" s="811" t="s">
        <v>1628</v>
      </c>
      <c r="L81" s="811" t="s">
        <v>1210</v>
      </c>
      <c r="M81" s="811" t="s">
        <v>1608</v>
      </c>
      <c r="N81" s="811" t="s">
        <v>1608</v>
      </c>
      <c r="O81" s="811" t="s">
        <v>1732</v>
      </c>
      <c r="P81" s="811" t="s">
        <v>1733</v>
      </c>
      <c r="Q81" s="811" t="s">
        <v>1631</v>
      </c>
    </row>
    <row r="82" spans="1:17" x14ac:dyDescent="0.35">
      <c r="A82" s="811" t="s">
        <v>1622</v>
      </c>
      <c r="B82" s="811" t="s">
        <v>1747</v>
      </c>
      <c r="C82" s="812">
        <v>112604000</v>
      </c>
      <c r="D82" s="811" t="s">
        <v>1424</v>
      </c>
      <c r="E82" s="811" t="s">
        <v>1424</v>
      </c>
      <c r="F82" s="811" t="s">
        <v>1645</v>
      </c>
      <c r="G82" s="811" t="s">
        <v>1625</v>
      </c>
      <c r="H82" s="811" t="s">
        <v>1626</v>
      </c>
      <c r="I82" s="811" t="s">
        <v>1627</v>
      </c>
      <c r="J82" s="813">
        <v>112604000</v>
      </c>
      <c r="K82" s="811" t="s">
        <v>1628</v>
      </c>
      <c r="L82" s="811" t="s">
        <v>1210</v>
      </c>
      <c r="M82" s="811" t="s">
        <v>1608</v>
      </c>
      <c r="N82" s="811" t="s">
        <v>1608</v>
      </c>
      <c r="O82" s="811" t="s">
        <v>1732</v>
      </c>
      <c r="P82" s="811" t="s">
        <v>1733</v>
      </c>
      <c r="Q82" s="811" t="s">
        <v>1631</v>
      </c>
    </row>
    <row r="83" spans="1:17" x14ac:dyDescent="0.35">
      <c r="A83" s="811" t="s">
        <v>1622</v>
      </c>
      <c r="B83" s="811" t="s">
        <v>1748</v>
      </c>
      <c r="C83" s="812">
        <v>49608000</v>
      </c>
      <c r="D83" s="811" t="s">
        <v>1424</v>
      </c>
      <c r="E83" s="811" t="s">
        <v>1424</v>
      </c>
      <c r="F83" s="811" t="s">
        <v>1645</v>
      </c>
      <c r="G83" s="811" t="s">
        <v>1625</v>
      </c>
      <c r="H83" s="811" t="s">
        <v>1626</v>
      </c>
      <c r="I83" s="811" t="s">
        <v>1627</v>
      </c>
      <c r="J83" s="813">
        <v>49608000</v>
      </c>
      <c r="K83" s="811" t="s">
        <v>1628</v>
      </c>
      <c r="L83" s="811" t="s">
        <v>1210</v>
      </c>
      <c r="M83" s="811" t="s">
        <v>1608</v>
      </c>
      <c r="N83" s="811" t="s">
        <v>1608</v>
      </c>
      <c r="O83" s="811" t="s">
        <v>1732</v>
      </c>
      <c r="P83" s="811" t="s">
        <v>1733</v>
      </c>
      <c r="Q83" s="811" t="s">
        <v>1631</v>
      </c>
    </row>
    <row r="84" spans="1:17" x14ac:dyDescent="0.35">
      <c r="A84" s="811" t="s">
        <v>1643</v>
      </c>
      <c r="B84" s="811" t="s">
        <v>1749</v>
      </c>
      <c r="C84" s="812">
        <v>356000000</v>
      </c>
      <c r="D84" s="811" t="s">
        <v>1429</v>
      </c>
      <c r="E84" s="811" t="s">
        <v>1429</v>
      </c>
      <c r="F84" s="811" t="s">
        <v>1645</v>
      </c>
      <c r="G84" s="811" t="s">
        <v>1625</v>
      </c>
      <c r="H84" s="811" t="s">
        <v>1626</v>
      </c>
      <c r="I84" s="811" t="s">
        <v>1627</v>
      </c>
      <c r="J84" s="813">
        <v>356000000</v>
      </c>
      <c r="K84" s="811" t="s">
        <v>1628</v>
      </c>
      <c r="L84" s="811" t="s">
        <v>1210</v>
      </c>
      <c r="M84" s="811" t="s">
        <v>1608</v>
      </c>
      <c r="N84" s="811" t="s">
        <v>1608</v>
      </c>
      <c r="O84" s="811" t="s">
        <v>1750</v>
      </c>
      <c r="P84" s="811" t="s">
        <v>1630</v>
      </c>
      <c r="Q84" s="811" t="s">
        <v>1631</v>
      </c>
    </row>
    <row r="85" spans="1:17" x14ac:dyDescent="0.35">
      <c r="A85" s="811" t="s">
        <v>1643</v>
      </c>
      <c r="B85" s="811" t="s">
        <v>1751</v>
      </c>
      <c r="C85" s="812">
        <v>257000000</v>
      </c>
      <c r="D85" s="811" t="s">
        <v>1429</v>
      </c>
      <c r="E85" s="811" t="s">
        <v>1429</v>
      </c>
      <c r="F85" s="811" t="s">
        <v>1645</v>
      </c>
      <c r="G85" s="811" t="s">
        <v>1625</v>
      </c>
      <c r="H85" s="811" t="s">
        <v>1626</v>
      </c>
      <c r="I85" s="811" t="s">
        <v>1627</v>
      </c>
      <c r="J85" s="813">
        <v>257000000</v>
      </c>
      <c r="K85" s="811" t="s">
        <v>1628</v>
      </c>
      <c r="L85" s="811" t="s">
        <v>1210</v>
      </c>
      <c r="M85" s="811" t="s">
        <v>1608</v>
      </c>
      <c r="N85" s="811" t="s">
        <v>1608</v>
      </c>
      <c r="O85" s="811" t="s">
        <v>1629</v>
      </c>
      <c r="P85" s="811" t="s">
        <v>1630</v>
      </c>
      <c r="Q85" s="811" t="s">
        <v>1631</v>
      </c>
    </row>
    <row r="86" spans="1:17" x14ac:dyDescent="0.35">
      <c r="A86" s="811" t="s">
        <v>1643</v>
      </c>
      <c r="B86" s="811" t="s">
        <v>1752</v>
      </c>
      <c r="C86" s="812">
        <v>316000000</v>
      </c>
      <c r="D86" s="811" t="s">
        <v>1445</v>
      </c>
      <c r="E86" s="811" t="s">
        <v>1445</v>
      </c>
      <c r="F86" s="811" t="s">
        <v>1645</v>
      </c>
      <c r="G86" s="811" t="s">
        <v>1625</v>
      </c>
      <c r="H86" s="811" t="s">
        <v>1626</v>
      </c>
      <c r="I86" s="811" t="s">
        <v>1627</v>
      </c>
      <c r="J86" s="813">
        <v>316000000</v>
      </c>
      <c r="K86" s="811" t="s">
        <v>1628</v>
      </c>
      <c r="L86" s="811" t="s">
        <v>1210</v>
      </c>
      <c r="M86" s="811" t="s">
        <v>1608</v>
      </c>
      <c r="N86" s="811" t="s">
        <v>1608</v>
      </c>
      <c r="O86" s="811" t="s">
        <v>1629</v>
      </c>
      <c r="P86" s="811" t="s">
        <v>1630</v>
      </c>
      <c r="Q86" s="811" t="s">
        <v>1631</v>
      </c>
    </row>
    <row r="87" spans="1:17" x14ac:dyDescent="0.35">
      <c r="A87" s="811" t="s">
        <v>1643</v>
      </c>
      <c r="B87" s="811" t="s">
        <v>1753</v>
      </c>
      <c r="C87" s="812">
        <v>120000000</v>
      </c>
      <c r="D87" s="811" t="s">
        <v>1428</v>
      </c>
      <c r="E87" s="811" t="s">
        <v>1428</v>
      </c>
      <c r="F87" s="811" t="s">
        <v>1635</v>
      </c>
      <c r="G87" s="811" t="s">
        <v>1625</v>
      </c>
      <c r="H87" s="811" t="s">
        <v>1626</v>
      </c>
      <c r="I87" s="811" t="s">
        <v>1627</v>
      </c>
      <c r="J87" s="813">
        <v>120000000</v>
      </c>
      <c r="K87" s="811" t="s">
        <v>1628</v>
      </c>
      <c r="L87" s="811" t="s">
        <v>1210</v>
      </c>
      <c r="M87" s="811" t="s">
        <v>1608</v>
      </c>
      <c r="N87" s="811" t="s">
        <v>1608</v>
      </c>
      <c r="O87" s="811" t="s">
        <v>1629</v>
      </c>
      <c r="P87" s="811" t="s">
        <v>1630</v>
      </c>
      <c r="Q87" s="811" t="s">
        <v>1631</v>
      </c>
    </row>
    <row r="88" spans="1:17" x14ac:dyDescent="0.35">
      <c r="A88" s="811" t="s">
        <v>1643</v>
      </c>
      <c r="B88" s="811" t="s">
        <v>1754</v>
      </c>
      <c r="C88" s="812">
        <v>381000000</v>
      </c>
      <c r="D88" s="811" t="s">
        <v>1429</v>
      </c>
      <c r="E88" s="811" t="s">
        <v>1429</v>
      </c>
      <c r="F88" s="811" t="s">
        <v>1645</v>
      </c>
      <c r="G88" s="811" t="s">
        <v>1625</v>
      </c>
      <c r="H88" s="811" t="s">
        <v>1626</v>
      </c>
      <c r="I88" s="811" t="s">
        <v>1627</v>
      </c>
      <c r="J88" s="813">
        <v>381000000</v>
      </c>
      <c r="K88" s="811" t="s">
        <v>1628</v>
      </c>
      <c r="L88" s="811" t="s">
        <v>1210</v>
      </c>
      <c r="M88" s="811" t="s">
        <v>1608</v>
      </c>
      <c r="N88" s="811" t="s">
        <v>1608</v>
      </c>
      <c r="O88" s="811" t="s">
        <v>1629</v>
      </c>
      <c r="P88" s="811" t="s">
        <v>1630</v>
      </c>
      <c r="Q88" s="811" t="s">
        <v>1631</v>
      </c>
    </row>
    <row r="89" spans="1:17" x14ac:dyDescent="0.35">
      <c r="A89" s="811" t="s">
        <v>1755</v>
      </c>
      <c r="B89" s="811" t="s">
        <v>1756</v>
      </c>
      <c r="C89" s="812">
        <v>2500000000</v>
      </c>
      <c r="D89" s="811" t="s">
        <v>1434</v>
      </c>
      <c r="E89" s="811" t="s">
        <v>1434</v>
      </c>
      <c r="F89" s="811" t="s">
        <v>1635</v>
      </c>
      <c r="G89" s="811" t="s">
        <v>1625</v>
      </c>
      <c r="H89" s="811" t="s">
        <v>1757</v>
      </c>
      <c r="I89" s="811" t="s">
        <v>1627</v>
      </c>
      <c r="J89" s="813">
        <v>2500000000</v>
      </c>
      <c r="K89" s="811" t="s">
        <v>1628</v>
      </c>
      <c r="L89" s="811" t="s">
        <v>1210</v>
      </c>
      <c r="M89" s="811" t="s">
        <v>1608</v>
      </c>
      <c r="N89" s="811" t="s">
        <v>1608</v>
      </c>
      <c r="O89" s="811" t="s">
        <v>1629</v>
      </c>
      <c r="P89" s="811" t="s">
        <v>1630</v>
      </c>
      <c r="Q89" s="811" t="s">
        <v>1631</v>
      </c>
    </row>
    <row r="90" spans="1:17" x14ac:dyDescent="0.35">
      <c r="A90" s="811" t="s">
        <v>1758</v>
      </c>
      <c r="B90" s="811" t="s">
        <v>1759</v>
      </c>
      <c r="C90" s="812">
        <v>8500000000</v>
      </c>
      <c r="D90" s="811" t="s">
        <v>1434</v>
      </c>
      <c r="E90" s="811" t="s">
        <v>1434</v>
      </c>
      <c r="F90" s="811" t="s">
        <v>1635</v>
      </c>
      <c r="G90" s="811" t="s">
        <v>1625</v>
      </c>
      <c r="H90" s="811" t="s">
        <v>1757</v>
      </c>
      <c r="I90" s="811" t="s">
        <v>1627</v>
      </c>
      <c r="J90" s="813">
        <v>8500000000</v>
      </c>
      <c r="K90" s="811" t="s">
        <v>1628</v>
      </c>
      <c r="L90" s="811" t="s">
        <v>1210</v>
      </c>
      <c r="M90" s="811" t="s">
        <v>1608</v>
      </c>
      <c r="N90" s="811" t="s">
        <v>1608</v>
      </c>
      <c r="O90" s="811" t="s">
        <v>1629</v>
      </c>
      <c r="P90" s="811" t="s">
        <v>1630</v>
      </c>
      <c r="Q90" s="811" t="s">
        <v>1631</v>
      </c>
    </row>
    <row r="91" spans="1:17" x14ac:dyDescent="0.35">
      <c r="A91" s="811" t="s">
        <v>1760</v>
      </c>
      <c r="B91" s="811" t="s">
        <v>1761</v>
      </c>
      <c r="C91" s="812">
        <v>1500000000</v>
      </c>
      <c r="D91" s="811" t="s">
        <v>1445</v>
      </c>
      <c r="E91" s="811" t="s">
        <v>1445</v>
      </c>
      <c r="F91" s="811" t="s">
        <v>1691</v>
      </c>
      <c r="G91" s="811" t="s">
        <v>1625</v>
      </c>
      <c r="H91" s="811" t="s">
        <v>1757</v>
      </c>
      <c r="I91" s="811" t="s">
        <v>1627</v>
      </c>
      <c r="J91" s="813">
        <v>1500000000</v>
      </c>
      <c r="K91" s="811" t="s">
        <v>1628</v>
      </c>
      <c r="L91" s="811" t="s">
        <v>1210</v>
      </c>
      <c r="M91" s="811" t="s">
        <v>1608</v>
      </c>
      <c r="N91" s="811" t="s">
        <v>1608</v>
      </c>
      <c r="O91" s="811" t="s">
        <v>1629</v>
      </c>
      <c r="P91" s="811" t="s">
        <v>1630</v>
      </c>
      <c r="Q91" s="811" t="s">
        <v>1631</v>
      </c>
    </row>
    <row r="92" spans="1:17" x14ac:dyDescent="0.35">
      <c r="A92" s="811" t="s">
        <v>1758</v>
      </c>
      <c r="B92" s="811" t="s">
        <v>1762</v>
      </c>
      <c r="C92" s="812">
        <v>600000000</v>
      </c>
      <c r="D92" s="811" t="s">
        <v>1428</v>
      </c>
      <c r="E92" s="811" t="s">
        <v>1428</v>
      </c>
      <c r="F92" s="811" t="s">
        <v>1691</v>
      </c>
      <c r="G92" s="811" t="s">
        <v>1625</v>
      </c>
      <c r="H92" s="811" t="s">
        <v>1763</v>
      </c>
      <c r="I92" s="811" t="s">
        <v>1627</v>
      </c>
      <c r="J92" s="813">
        <v>600000000</v>
      </c>
      <c r="K92" s="811" t="s">
        <v>1628</v>
      </c>
      <c r="L92" s="811" t="s">
        <v>1210</v>
      </c>
      <c r="M92" s="811" t="s">
        <v>1608</v>
      </c>
      <c r="N92" s="811" t="s">
        <v>1608</v>
      </c>
      <c r="O92" s="811" t="s">
        <v>1629</v>
      </c>
      <c r="P92" s="811" t="s">
        <v>1630</v>
      </c>
      <c r="Q92" s="811" t="s">
        <v>1631</v>
      </c>
    </row>
    <row r="93" spans="1:17" x14ac:dyDescent="0.35">
      <c r="A93" s="811" t="s">
        <v>1622</v>
      </c>
      <c r="B93" s="811" t="s">
        <v>1764</v>
      </c>
      <c r="C93" s="812">
        <v>18000000</v>
      </c>
      <c r="D93" s="811" t="s">
        <v>1428</v>
      </c>
      <c r="E93" s="811" t="s">
        <v>1428</v>
      </c>
      <c r="F93" s="811" t="s">
        <v>1635</v>
      </c>
      <c r="G93" s="811" t="s">
        <v>1625</v>
      </c>
      <c r="H93" s="811" t="s">
        <v>1626</v>
      </c>
      <c r="I93" s="811" t="s">
        <v>1627</v>
      </c>
      <c r="J93" s="813">
        <v>18000000</v>
      </c>
      <c r="K93" s="811" t="s">
        <v>1628</v>
      </c>
      <c r="L93" s="811" t="s">
        <v>1210</v>
      </c>
      <c r="M93" s="811" t="s">
        <v>1608</v>
      </c>
      <c r="N93" s="811" t="s">
        <v>1608</v>
      </c>
      <c r="O93" s="811" t="s">
        <v>432</v>
      </c>
      <c r="P93" s="811" t="s">
        <v>1630</v>
      </c>
      <c r="Q93" s="811" t="s">
        <v>1637</v>
      </c>
    </row>
    <row r="94" spans="1:17" x14ac:dyDescent="0.35">
      <c r="A94" s="811" t="s">
        <v>1622</v>
      </c>
      <c r="B94" s="811" t="s">
        <v>1765</v>
      </c>
      <c r="C94" s="812">
        <v>20000000</v>
      </c>
      <c r="D94" s="811" t="s">
        <v>1421</v>
      </c>
      <c r="E94" s="811" t="s">
        <v>1421</v>
      </c>
      <c r="F94" s="811" t="s">
        <v>1635</v>
      </c>
      <c r="G94" s="811" t="s">
        <v>1625</v>
      </c>
      <c r="H94" s="811" t="s">
        <v>1626</v>
      </c>
      <c r="I94" s="811" t="s">
        <v>1627</v>
      </c>
      <c r="J94" s="813">
        <v>20000000</v>
      </c>
      <c r="K94" s="811" t="s">
        <v>1628</v>
      </c>
      <c r="L94" s="811" t="s">
        <v>1210</v>
      </c>
      <c r="M94" s="811" t="s">
        <v>1608</v>
      </c>
      <c r="N94" s="811" t="s">
        <v>1608</v>
      </c>
      <c r="O94" s="811" t="s">
        <v>1766</v>
      </c>
      <c r="P94" s="811" t="s">
        <v>1630</v>
      </c>
      <c r="Q94" s="811" t="s">
        <v>1683</v>
      </c>
    </row>
    <row r="95" spans="1:17" x14ac:dyDescent="0.35">
      <c r="A95" s="811" t="s">
        <v>1622</v>
      </c>
      <c r="B95" s="811" t="s">
        <v>1767</v>
      </c>
      <c r="C95" s="812">
        <v>49000000</v>
      </c>
      <c r="D95" s="811" t="s">
        <v>1428</v>
      </c>
      <c r="E95" s="811" t="s">
        <v>1428</v>
      </c>
      <c r="F95" s="811" t="s">
        <v>1671</v>
      </c>
      <c r="G95" s="811" t="s">
        <v>1625</v>
      </c>
      <c r="H95" s="811" t="s">
        <v>1626</v>
      </c>
      <c r="I95" s="811" t="s">
        <v>1627</v>
      </c>
      <c r="J95" s="813">
        <v>49000000</v>
      </c>
      <c r="K95" s="811" t="s">
        <v>1628</v>
      </c>
      <c r="L95" s="811" t="s">
        <v>1210</v>
      </c>
      <c r="M95" s="811" t="s">
        <v>1608</v>
      </c>
      <c r="N95" s="811" t="s">
        <v>1608</v>
      </c>
      <c r="O95" s="811" t="s">
        <v>1768</v>
      </c>
      <c r="P95" s="811" t="s">
        <v>1630</v>
      </c>
      <c r="Q95" s="811" t="s">
        <v>1655</v>
      </c>
    </row>
    <row r="96" spans="1:17" x14ac:dyDescent="0.35">
      <c r="A96" s="811" t="s">
        <v>1622</v>
      </c>
      <c r="B96" s="811" t="s">
        <v>1769</v>
      </c>
      <c r="C96" s="812">
        <v>36000000</v>
      </c>
      <c r="D96" s="811" t="s">
        <v>1428</v>
      </c>
      <c r="E96" s="811" t="s">
        <v>1428</v>
      </c>
      <c r="F96" s="811" t="s">
        <v>1624</v>
      </c>
      <c r="G96" s="811" t="s">
        <v>1625</v>
      </c>
      <c r="H96" s="811" t="s">
        <v>1626</v>
      </c>
      <c r="I96" s="811" t="s">
        <v>1627</v>
      </c>
      <c r="J96" s="813">
        <v>36000000</v>
      </c>
      <c r="K96" s="811" t="s">
        <v>1628</v>
      </c>
      <c r="L96" s="811" t="s">
        <v>1210</v>
      </c>
      <c r="M96" s="811" t="s">
        <v>1608</v>
      </c>
      <c r="N96" s="811" t="s">
        <v>1608</v>
      </c>
      <c r="O96" s="811" t="s">
        <v>1768</v>
      </c>
      <c r="P96" s="811" t="s">
        <v>1630</v>
      </c>
      <c r="Q96" s="811" t="s">
        <v>1655</v>
      </c>
    </row>
    <row r="97" spans="1:17" x14ac:dyDescent="0.35">
      <c r="A97" s="811" t="s">
        <v>1622</v>
      </c>
      <c r="B97" s="811" t="s">
        <v>1770</v>
      </c>
      <c r="C97" s="812">
        <v>35000000</v>
      </c>
      <c r="D97" s="811" t="s">
        <v>1428</v>
      </c>
      <c r="E97" s="811" t="s">
        <v>1428</v>
      </c>
      <c r="F97" s="811" t="s">
        <v>1671</v>
      </c>
      <c r="G97" s="811" t="s">
        <v>1625</v>
      </c>
      <c r="H97" s="811" t="s">
        <v>1626</v>
      </c>
      <c r="I97" s="811" t="s">
        <v>1627</v>
      </c>
      <c r="J97" s="813">
        <v>35000000</v>
      </c>
      <c r="K97" s="811" t="s">
        <v>1628</v>
      </c>
      <c r="L97" s="811" t="s">
        <v>1210</v>
      </c>
      <c r="M97" s="811" t="s">
        <v>1608</v>
      </c>
      <c r="N97" s="811" t="s">
        <v>1608</v>
      </c>
      <c r="O97" s="811" t="s">
        <v>1742</v>
      </c>
      <c r="P97" s="811" t="s">
        <v>1630</v>
      </c>
      <c r="Q97" s="811" t="s">
        <v>1678</v>
      </c>
    </row>
    <row r="98" spans="1:17" x14ac:dyDescent="0.35">
      <c r="A98" s="811" t="s">
        <v>1771</v>
      </c>
      <c r="B98" s="811" t="s">
        <v>1772</v>
      </c>
      <c r="C98" s="812">
        <v>566352000</v>
      </c>
      <c r="D98" s="811" t="s">
        <v>1428</v>
      </c>
      <c r="E98" s="811" t="s">
        <v>1428</v>
      </c>
      <c r="F98" s="811" t="s">
        <v>1635</v>
      </c>
      <c r="G98" s="811" t="s">
        <v>1625</v>
      </c>
      <c r="H98" s="811" t="s">
        <v>1626</v>
      </c>
      <c r="I98" s="811" t="s">
        <v>1627</v>
      </c>
      <c r="J98" s="813">
        <v>566352000</v>
      </c>
      <c r="K98" s="811" t="s">
        <v>1628</v>
      </c>
      <c r="L98" s="811" t="s">
        <v>1210</v>
      </c>
      <c r="M98" s="811" t="s">
        <v>1608</v>
      </c>
      <c r="N98" s="811" t="s">
        <v>1608</v>
      </c>
      <c r="O98" s="811" t="s">
        <v>1659</v>
      </c>
      <c r="P98" s="811" t="s">
        <v>1630</v>
      </c>
      <c r="Q98" s="811" t="s">
        <v>1631</v>
      </c>
    </row>
    <row r="99" spans="1:17" x14ac:dyDescent="0.35">
      <c r="A99" s="811" t="s">
        <v>1771</v>
      </c>
      <c r="B99" s="811" t="s">
        <v>1773</v>
      </c>
      <c r="C99" s="812">
        <v>80000000</v>
      </c>
      <c r="D99" s="811" t="s">
        <v>1429</v>
      </c>
      <c r="E99" s="811" t="s">
        <v>1429</v>
      </c>
      <c r="F99" s="811" t="s">
        <v>1635</v>
      </c>
      <c r="G99" s="811" t="s">
        <v>1625</v>
      </c>
      <c r="H99" s="811" t="s">
        <v>1626</v>
      </c>
      <c r="I99" s="811" t="s">
        <v>1627</v>
      </c>
      <c r="J99" s="813">
        <v>80000000</v>
      </c>
      <c r="K99" s="811" t="s">
        <v>1628</v>
      </c>
      <c r="L99" s="811" t="s">
        <v>1210</v>
      </c>
      <c r="M99" s="811" t="s">
        <v>1608</v>
      </c>
      <c r="N99" s="811" t="s">
        <v>1608</v>
      </c>
      <c r="O99" s="811" t="s">
        <v>1659</v>
      </c>
      <c r="P99" s="811" t="s">
        <v>1630</v>
      </c>
      <c r="Q99" s="811" t="s">
        <v>1631</v>
      </c>
    </row>
    <row r="100" spans="1:17" x14ac:dyDescent="0.35">
      <c r="A100" s="811" t="s">
        <v>1774</v>
      </c>
      <c r="B100" s="811" t="s">
        <v>1775</v>
      </c>
      <c r="C100" s="812">
        <v>59015675</v>
      </c>
      <c r="D100" s="811" t="s">
        <v>1429</v>
      </c>
      <c r="E100" s="811" t="s">
        <v>1429</v>
      </c>
      <c r="F100" s="811" t="s">
        <v>1700</v>
      </c>
      <c r="G100" s="811" t="s">
        <v>1625</v>
      </c>
      <c r="H100" s="811" t="s">
        <v>1550</v>
      </c>
      <c r="I100" s="811" t="s">
        <v>1627</v>
      </c>
      <c r="J100" s="813">
        <v>59015675</v>
      </c>
      <c r="K100" s="811" t="s">
        <v>1628</v>
      </c>
      <c r="L100" s="811" t="s">
        <v>1210</v>
      </c>
      <c r="M100" s="811" t="s">
        <v>1608</v>
      </c>
      <c r="N100" s="811" t="s">
        <v>1608</v>
      </c>
      <c r="O100" s="811" t="s">
        <v>1659</v>
      </c>
      <c r="P100" s="811" t="s">
        <v>1630</v>
      </c>
      <c r="Q100" s="811" t="s">
        <v>1631</v>
      </c>
    </row>
    <row r="101" spans="1:17" x14ac:dyDescent="0.35">
      <c r="A101" s="811" t="s">
        <v>1776</v>
      </c>
      <c r="B101" s="811" t="s">
        <v>1777</v>
      </c>
      <c r="C101" s="812">
        <v>55000000</v>
      </c>
      <c r="D101" s="811" t="s">
        <v>1515</v>
      </c>
      <c r="E101" s="811" t="s">
        <v>1515</v>
      </c>
      <c r="F101" s="811" t="s">
        <v>1645</v>
      </c>
      <c r="G101" s="811" t="s">
        <v>1625</v>
      </c>
      <c r="H101" s="811" t="s">
        <v>1626</v>
      </c>
      <c r="I101" s="811" t="s">
        <v>1627</v>
      </c>
      <c r="J101" s="813">
        <v>55000000</v>
      </c>
      <c r="K101" s="811" t="s">
        <v>1628</v>
      </c>
      <c r="L101" s="811" t="s">
        <v>1210</v>
      </c>
      <c r="M101" s="811" t="s">
        <v>1608</v>
      </c>
      <c r="N101" s="811" t="s">
        <v>1608</v>
      </c>
      <c r="O101" s="811" t="s">
        <v>1659</v>
      </c>
      <c r="P101" s="811" t="s">
        <v>1630</v>
      </c>
      <c r="Q101" s="811" t="s">
        <v>1631</v>
      </c>
    </row>
    <row r="102" spans="1:17" x14ac:dyDescent="0.35">
      <c r="A102" s="811" t="s">
        <v>1622</v>
      </c>
      <c r="B102" s="811" t="s">
        <v>1778</v>
      </c>
      <c r="C102" s="812">
        <v>40000000</v>
      </c>
      <c r="D102" s="811" t="s">
        <v>1429</v>
      </c>
      <c r="E102" s="811" t="s">
        <v>1429</v>
      </c>
      <c r="F102" s="811" t="s">
        <v>1712</v>
      </c>
      <c r="G102" s="811" t="s">
        <v>1625</v>
      </c>
      <c r="H102" s="811" t="s">
        <v>1626</v>
      </c>
      <c r="I102" s="811" t="s">
        <v>1627</v>
      </c>
      <c r="J102" s="813">
        <v>40000000</v>
      </c>
      <c r="K102" s="811" t="s">
        <v>1628</v>
      </c>
      <c r="L102" s="811" t="s">
        <v>1210</v>
      </c>
      <c r="M102" s="811" t="s">
        <v>1608</v>
      </c>
      <c r="N102" s="811" t="s">
        <v>1608</v>
      </c>
      <c r="O102" s="811" t="s">
        <v>1659</v>
      </c>
      <c r="P102" s="811" t="s">
        <v>1630</v>
      </c>
      <c r="Q102" s="811" t="s">
        <v>1631</v>
      </c>
    </row>
    <row r="103" spans="1:17" x14ac:dyDescent="0.35">
      <c r="A103" s="811" t="s">
        <v>1776</v>
      </c>
      <c r="B103" s="811" t="s">
        <v>1779</v>
      </c>
      <c r="C103" s="812">
        <v>55000000</v>
      </c>
      <c r="D103" s="811" t="s">
        <v>1421</v>
      </c>
      <c r="E103" s="811" t="s">
        <v>1421</v>
      </c>
      <c r="F103" s="811" t="s">
        <v>1645</v>
      </c>
      <c r="G103" s="811" t="s">
        <v>1625</v>
      </c>
      <c r="H103" s="811" t="s">
        <v>1626</v>
      </c>
      <c r="I103" s="811" t="s">
        <v>1627</v>
      </c>
      <c r="J103" s="813">
        <v>55000000</v>
      </c>
      <c r="K103" s="811" t="s">
        <v>1628</v>
      </c>
      <c r="L103" s="811" t="s">
        <v>1210</v>
      </c>
      <c r="M103" s="811" t="s">
        <v>1608</v>
      </c>
      <c r="N103" s="811" t="s">
        <v>1608</v>
      </c>
      <c r="O103" s="811" t="s">
        <v>1659</v>
      </c>
      <c r="P103" s="811" t="s">
        <v>1630</v>
      </c>
      <c r="Q103" s="811" t="s">
        <v>1631</v>
      </c>
    </row>
    <row r="104" spans="1:17" x14ac:dyDescent="0.35">
      <c r="A104" s="811" t="s">
        <v>1776</v>
      </c>
      <c r="B104" s="811" t="s">
        <v>1780</v>
      </c>
      <c r="C104" s="812">
        <v>55000000</v>
      </c>
      <c r="D104" s="811" t="s">
        <v>1421</v>
      </c>
      <c r="E104" s="811" t="s">
        <v>1421</v>
      </c>
      <c r="F104" s="811" t="s">
        <v>1645</v>
      </c>
      <c r="G104" s="811" t="s">
        <v>1625</v>
      </c>
      <c r="H104" s="811" t="s">
        <v>1626</v>
      </c>
      <c r="I104" s="811" t="s">
        <v>1627</v>
      </c>
      <c r="J104" s="813">
        <v>55000000</v>
      </c>
      <c r="K104" s="811" t="s">
        <v>1628</v>
      </c>
      <c r="L104" s="811" t="s">
        <v>1210</v>
      </c>
      <c r="M104" s="811" t="s">
        <v>1608</v>
      </c>
      <c r="N104" s="811" t="s">
        <v>1608</v>
      </c>
      <c r="O104" s="811" t="s">
        <v>1659</v>
      </c>
      <c r="P104" s="811" t="s">
        <v>1630</v>
      </c>
      <c r="Q104" s="811" t="s">
        <v>1631</v>
      </c>
    </row>
    <row r="105" spans="1:17" x14ac:dyDescent="0.35">
      <c r="A105" s="811" t="s">
        <v>1776</v>
      </c>
      <c r="B105" s="811" t="s">
        <v>1781</v>
      </c>
      <c r="C105" s="812">
        <v>55000000</v>
      </c>
      <c r="D105" s="811" t="s">
        <v>1421</v>
      </c>
      <c r="E105" s="811" t="s">
        <v>1421</v>
      </c>
      <c r="F105" s="811" t="s">
        <v>1645</v>
      </c>
      <c r="G105" s="811" t="s">
        <v>1625</v>
      </c>
      <c r="H105" s="811" t="s">
        <v>1626</v>
      </c>
      <c r="I105" s="811" t="s">
        <v>1627</v>
      </c>
      <c r="J105" s="813">
        <v>55000000</v>
      </c>
      <c r="K105" s="811" t="s">
        <v>1628</v>
      </c>
      <c r="L105" s="811" t="s">
        <v>1210</v>
      </c>
      <c r="M105" s="811" t="s">
        <v>1608</v>
      </c>
      <c r="N105" s="811" t="s">
        <v>1608</v>
      </c>
      <c r="O105" s="811" t="s">
        <v>1659</v>
      </c>
      <c r="P105" s="811" t="s">
        <v>1630</v>
      </c>
      <c r="Q105" s="811" t="s">
        <v>1631</v>
      </c>
    </row>
    <row r="106" spans="1:17" x14ac:dyDescent="0.35">
      <c r="A106" s="811" t="s">
        <v>1776</v>
      </c>
      <c r="B106" s="811" t="s">
        <v>1782</v>
      </c>
      <c r="C106" s="812">
        <v>55000000</v>
      </c>
      <c r="D106" s="811" t="s">
        <v>1421</v>
      </c>
      <c r="E106" s="811" t="s">
        <v>1421</v>
      </c>
      <c r="F106" s="811" t="s">
        <v>1645</v>
      </c>
      <c r="G106" s="811" t="s">
        <v>1625</v>
      </c>
      <c r="H106" s="811" t="s">
        <v>1626</v>
      </c>
      <c r="I106" s="811" t="s">
        <v>1627</v>
      </c>
      <c r="J106" s="813">
        <v>55000000</v>
      </c>
      <c r="K106" s="811" t="s">
        <v>1628</v>
      </c>
      <c r="L106" s="811" t="s">
        <v>1210</v>
      </c>
      <c r="M106" s="811" t="s">
        <v>1608</v>
      </c>
      <c r="N106" s="811" t="s">
        <v>1608</v>
      </c>
      <c r="O106" s="811" t="s">
        <v>1659</v>
      </c>
      <c r="P106" s="811" t="s">
        <v>1630</v>
      </c>
      <c r="Q106" s="811" t="s">
        <v>1631</v>
      </c>
    </row>
    <row r="107" spans="1:17" x14ac:dyDescent="0.35">
      <c r="A107" s="811" t="s">
        <v>1776</v>
      </c>
      <c r="B107" s="811" t="s">
        <v>1783</v>
      </c>
      <c r="C107" s="812">
        <v>55000000</v>
      </c>
      <c r="D107" s="811" t="s">
        <v>1421</v>
      </c>
      <c r="E107" s="811" t="s">
        <v>1421</v>
      </c>
      <c r="F107" s="811" t="s">
        <v>1645</v>
      </c>
      <c r="G107" s="811" t="s">
        <v>1625</v>
      </c>
      <c r="H107" s="811" t="s">
        <v>1626</v>
      </c>
      <c r="I107" s="811" t="s">
        <v>1627</v>
      </c>
      <c r="J107" s="813">
        <v>55000000</v>
      </c>
      <c r="K107" s="811" t="s">
        <v>1628</v>
      </c>
      <c r="L107" s="811" t="s">
        <v>1210</v>
      </c>
      <c r="M107" s="811" t="s">
        <v>1608</v>
      </c>
      <c r="N107" s="811" t="s">
        <v>1608</v>
      </c>
      <c r="O107" s="811" t="s">
        <v>1659</v>
      </c>
      <c r="P107" s="811" t="s">
        <v>1630</v>
      </c>
      <c r="Q107" s="811" t="s">
        <v>1631</v>
      </c>
    </row>
    <row r="108" spans="1:17" x14ac:dyDescent="0.35">
      <c r="A108" s="811" t="s">
        <v>1718</v>
      </c>
      <c r="B108" s="811" t="s">
        <v>1784</v>
      </c>
      <c r="C108" s="812">
        <v>648968200</v>
      </c>
      <c r="D108" s="811" t="s">
        <v>1428</v>
      </c>
      <c r="E108" s="811" t="s">
        <v>1428</v>
      </c>
      <c r="F108" s="811" t="s">
        <v>1635</v>
      </c>
      <c r="G108" s="811" t="s">
        <v>1625</v>
      </c>
      <c r="H108" s="811" t="s">
        <v>1713</v>
      </c>
      <c r="I108" s="811" t="s">
        <v>1627</v>
      </c>
      <c r="J108" s="813">
        <v>648968200</v>
      </c>
      <c r="K108" s="811" t="s">
        <v>1628</v>
      </c>
      <c r="L108" s="811" t="s">
        <v>1210</v>
      </c>
      <c r="M108" s="811" t="s">
        <v>1608</v>
      </c>
      <c r="N108" s="811" t="s">
        <v>1608</v>
      </c>
      <c r="O108" s="811" t="s">
        <v>1702</v>
      </c>
      <c r="P108" s="811" t="s">
        <v>1630</v>
      </c>
      <c r="Q108" s="811" t="s">
        <v>1637</v>
      </c>
    </row>
    <row r="109" spans="1:17" x14ac:dyDescent="0.35">
      <c r="A109" s="811" t="s">
        <v>1718</v>
      </c>
      <c r="B109" s="811" t="s">
        <v>1785</v>
      </c>
      <c r="C109" s="812">
        <v>199875720</v>
      </c>
      <c r="D109" s="811" t="s">
        <v>1428</v>
      </c>
      <c r="E109" s="811" t="s">
        <v>1428</v>
      </c>
      <c r="F109" s="811" t="s">
        <v>1658</v>
      </c>
      <c r="G109" s="811" t="s">
        <v>1625</v>
      </c>
      <c r="H109" s="811" t="s">
        <v>1713</v>
      </c>
      <c r="I109" s="811" t="s">
        <v>1627</v>
      </c>
      <c r="J109" s="813">
        <v>199875720</v>
      </c>
      <c r="K109" s="811" t="s">
        <v>1628</v>
      </c>
      <c r="L109" s="811" t="s">
        <v>1210</v>
      </c>
      <c r="M109" s="811" t="s">
        <v>1608</v>
      </c>
      <c r="N109" s="811" t="s">
        <v>1608</v>
      </c>
      <c r="O109" s="811" t="s">
        <v>1702</v>
      </c>
      <c r="P109" s="811" t="s">
        <v>1630</v>
      </c>
      <c r="Q109" s="811" t="s">
        <v>1637</v>
      </c>
    </row>
    <row r="110" spans="1:17" x14ac:dyDescent="0.35">
      <c r="A110" s="811" t="s">
        <v>1718</v>
      </c>
      <c r="B110" s="811" t="s">
        <v>1786</v>
      </c>
      <c r="C110" s="812">
        <v>370678608</v>
      </c>
      <c r="D110" s="811" t="s">
        <v>1428</v>
      </c>
      <c r="E110" s="811" t="s">
        <v>1428</v>
      </c>
      <c r="F110" s="811" t="s">
        <v>1635</v>
      </c>
      <c r="G110" s="811" t="s">
        <v>1625</v>
      </c>
      <c r="H110" s="811" t="s">
        <v>1713</v>
      </c>
      <c r="I110" s="811" t="s">
        <v>1627</v>
      </c>
      <c r="J110" s="813">
        <v>370678608</v>
      </c>
      <c r="K110" s="811" t="s">
        <v>1628</v>
      </c>
      <c r="L110" s="811" t="s">
        <v>1210</v>
      </c>
      <c r="M110" s="811" t="s">
        <v>1608</v>
      </c>
      <c r="N110" s="811" t="s">
        <v>1608</v>
      </c>
      <c r="O110" s="811" t="s">
        <v>1702</v>
      </c>
      <c r="P110" s="811" t="s">
        <v>1630</v>
      </c>
      <c r="Q110" s="811" t="s">
        <v>1637</v>
      </c>
    </row>
    <row r="111" spans="1:17" x14ac:dyDescent="0.35">
      <c r="A111" s="811" t="s">
        <v>1718</v>
      </c>
      <c r="B111" s="811" t="s">
        <v>1787</v>
      </c>
      <c r="C111" s="812">
        <v>439581220</v>
      </c>
      <c r="D111" s="811" t="s">
        <v>1428</v>
      </c>
      <c r="E111" s="811" t="s">
        <v>1428</v>
      </c>
      <c r="F111" s="811" t="s">
        <v>1635</v>
      </c>
      <c r="G111" s="811" t="s">
        <v>1625</v>
      </c>
      <c r="H111" s="811" t="s">
        <v>1713</v>
      </c>
      <c r="I111" s="811" t="s">
        <v>1627</v>
      </c>
      <c r="J111" s="813">
        <v>439581220</v>
      </c>
      <c r="K111" s="811" t="s">
        <v>1628</v>
      </c>
      <c r="L111" s="811" t="s">
        <v>1210</v>
      </c>
      <c r="M111" s="811" t="s">
        <v>1608</v>
      </c>
      <c r="N111" s="811" t="s">
        <v>1608</v>
      </c>
      <c r="O111" s="811" t="s">
        <v>1702</v>
      </c>
      <c r="P111" s="811" t="s">
        <v>1630</v>
      </c>
      <c r="Q111" s="811" t="s">
        <v>1637</v>
      </c>
    </row>
    <row r="112" spans="1:17" x14ac:dyDescent="0.35">
      <c r="A112" s="811" t="s">
        <v>1788</v>
      </c>
      <c r="B112" s="811" t="s">
        <v>1789</v>
      </c>
      <c r="C112" s="812">
        <v>200000000</v>
      </c>
      <c r="D112" s="811" t="s">
        <v>1515</v>
      </c>
      <c r="E112" s="811" t="s">
        <v>1421</v>
      </c>
      <c r="F112" s="811" t="s">
        <v>1700</v>
      </c>
      <c r="G112" s="811" t="s">
        <v>1625</v>
      </c>
      <c r="H112" s="811" t="s">
        <v>1701</v>
      </c>
      <c r="I112" s="811" t="s">
        <v>1627</v>
      </c>
      <c r="J112" s="813">
        <v>200000000</v>
      </c>
      <c r="K112" s="811" t="s">
        <v>1628</v>
      </c>
      <c r="L112" s="811" t="s">
        <v>1210</v>
      </c>
      <c r="M112" s="811" t="s">
        <v>1608</v>
      </c>
      <c r="N112" s="811" t="s">
        <v>1608</v>
      </c>
      <c r="O112" s="811" t="s">
        <v>1702</v>
      </c>
      <c r="P112" s="811" t="s">
        <v>1630</v>
      </c>
      <c r="Q112" s="811" t="s">
        <v>1637</v>
      </c>
    </row>
    <row r="113" spans="1:17" x14ac:dyDescent="0.35">
      <c r="A113" s="811" t="s">
        <v>1790</v>
      </c>
      <c r="B113" s="811" t="s">
        <v>1791</v>
      </c>
      <c r="C113" s="812">
        <v>300000000</v>
      </c>
      <c r="D113" s="811" t="s">
        <v>1421</v>
      </c>
      <c r="E113" s="811" t="s">
        <v>1428</v>
      </c>
      <c r="F113" s="811" t="s">
        <v>1624</v>
      </c>
      <c r="G113" s="811" t="s">
        <v>1625</v>
      </c>
      <c r="H113" s="811" t="s">
        <v>1763</v>
      </c>
      <c r="I113" s="811" t="s">
        <v>1627</v>
      </c>
      <c r="J113" s="813">
        <v>300000000</v>
      </c>
      <c r="K113" s="811" t="s">
        <v>1628</v>
      </c>
      <c r="L113" s="811" t="s">
        <v>1210</v>
      </c>
      <c r="M113" s="811" t="s">
        <v>1608</v>
      </c>
      <c r="N113" s="811" t="s">
        <v>1608</v>
      </c>
      <c r="O113" s="811" t="s">
        <v>1702</v>
      </c>
      <c r="P113" s="811" t="s">
        <v>1630</v>
      </c>
      <c r="Q113" s="811" t="s">
        <v>1637</v>
      </c>
    </row>
    <row r="114" spans="1:17" x14ac:dyDescent="0.35">
      <c r="A114" s="811" t="s">
        <v>1622</v>
      </c>
      <c r="B114" s="811" t="s">
        <v>1792</v>
      </c>
      <c r="C114" s="812">
        <v>57888060</v>
      </c>
      <c r="D114" s="811" t="s">
        <v>1515</v>
      </c>
      <c r="E114" s="811" t="s">
        <v>1515</v>
      </c>
      <c r="F114" s="811" t="s">
        <v>1639</v>
      </c>
      <c r="G114" s="811" t="s">
        <v>1625</v>
      </c>
      <c r="H114" s="811" t="s">
        <v>1626</v>
      </c>
      <c r="I114" s="811" t="s">
        <v>1627</v>
      </c>
      <c r="J114" s="813">
        <v>57888060</v>
      </c>
      <c r="K114" s="811" t="s">
        <v>1628</v>
      </c>
      <c r="L114" s="811" t="s">
        <v>1210</v>
      </c>
      <c r="M114" s="811" t="s">
        <v>1608</v>
      </c>
      <c r="N114" s="811" t="s">
        <v>1608</v>
      </c>
      <c r="O114" s="811" t="s">
        <v>1640</v>
      </c>
      <c r="P114" s="811" t="s">
        <v>1630</v>
      </c>
      <c r="Q114" s="811" t="s">
        <v>1641</v>
      </c>
    </row>
    <row r="115" spans="1:17" x14ac:dyDescent="0.35">
      <c r="A115" s="811" t="s">
        <v>1622</v>
      </c>
      <c r="B115" s="811" t="s">
        <v>1793</v>
      </c>
      <c r="C115" s="812">
        <v>61383600</v>
      </c>
      <c r="D115" s="811" t="s">
        <v>1420</v>
      </c>
      <c r="E115" s="811" t="s">
        <v>1420</v>
      </c>
      <c r="F115" s="811" t="s">
        <v>1658</v>
      </c>
      <c r="G115" s="811" t="s">
        <v>1625</v>
      </c>
      <c r="H115" s="811" t="s">
        <v>1626</v>
      </c>
      <c r="I115" s="811" t="s">
        <v>1627</v>
      </c>
      <c r="J115" s="813">
        <v>61383600</v>
      </c>
      <c r="K115" s="811" t="s">
        <v>1628</v>
      </c>
      <c r="L115" s="811" t="s">
        <v>1210</v>
      </c>
      <c r="M115" s="811" t="s">
        <v>1608</v>
      </c>
      <c r="N115" s="811" t="s">
        <v>1608</v>
      </c>
      <c r="O115" s="811" t="s">
        <v>1640</v>
      </c>
      <c r="P115" s="811" t="s">
        <v>1630</v>
      </c>
      <c r="Q115" s="811" t="s">
        <v>1641</v>
      </c>
    </row>
    <row r="116" spans="1:17" x14ac:dyDescent="0.35">
      <c r="A116" s="811" t="s">
        <v>1622</v>
      </c>
      <c r="B116" s="811" t="s">
        <v>1794</v>
      </c>
      <c r="C116" s="812">
        <v>53226394</v>
      </c>
      <c r="D116" s="811" t="s">
        <v>1420</v>
      </c>
      <c r="E116" s="811" t="s">
        <v>1420</v>
      </c>
      <c r="F116" s="811" t="s">
        <v>1658</v>
      </c>
      <c r="G116" s="811" t="s">
        <v>1625</v>
      </c>
      <c r="H116" s="811" t="s">
        <v>1626</v>
      </c>
      <c r="I116" s="811" t="s">
        <v>1627</v>
      </c>
      <c r="J116" s="813">
        <v>53226394</v>
      </c>
      <c r="K116" s="811" t="s">
        <v>1628</v>
      </c>
      <c r="L116" s="811" t="s">
        <v>1210</v>
      </c>
      <c r="M116" s="811" t="s">
        <v>1608</v>
      </c>
      <c r="N116" s="811" t="s">
        <v>1608</v>
      </c>
      <c r="O116" s="811" t="s">
        <v>1640</v>
      </c>
      <c r="P116" s="811" t="s">
        <v>1630</v>
      </c>
      <c r="Q116" s="811" t="s">
        <v>1641</v>
      </c>
    </row>
    <row r="117" spans="1:17" x14ac:dyDescent="0.35">
      <c r="A117" s="811" t="s">
        <v>1622</v>
      </c>
      <c r="B117" s="811" t="s">
        <v>1795</v>
      </c>
      <c r="C117" s="812">
        <v>134074420</v>
      </c>
      <c r="D117" s="811" t="s">
        <v>1420</v>
      </c>
      <c r="E117" s="811" t="s">
        <v>1420</v>
      </c>
      <c r="F117" s="811" t="s">
        <v>1658</v>
      </c>
      <c r="G117" s="811" t="s">
        <v>1625</v>
      </c>
      <c r="H117" s="811" t="s">
        <v>1626</v>
      </c>
      <c r="I117" s="811" t="s">
        <v>1627</v>
      </c>
      <c r="J117" s="813">
        <v>134074420</v>
      </c>
      <c r="K117" s="811" t="s">
        <v>1628</v>
      </c>
      <c r="L117" s="811" t="s">
        <v>1210</v>
      </c>
      <c r="M117" s="811" t="s">
        <v>1608</v>
      </c>
      <c r="N117" s="811" t="s">
        <v>1608</v>
      </c>
      <c r="O117" s="811" t="s">
        <v>1640</v>
      </c>
      <c r="P117" s="811" t="s">
        <v>1630</v>
      </c>
      <c r="Q117" s="811" t="s">
        <v>1641</v>
      </c>
    </row>
    <row r="118" spans="1:17" x14ac:dyDescent="0.35">
      <c r="A118" s="811" t="s">
        <v>1622</v>
      </c>
      <c r="B118" s="811" t="s">
        <v>1796</v>
      </c>
      <c r="C118" s="812">
        <v>40290000</v>
      </c>
      <c r="D118" s="811" t="s">
        <v>1420</v>
      </c>
      <c r="E118" s="811" t="s">
        <v>1420</v>
      </c>
      <c r="F118" s="811" t="s">
        <v>1658</v>
      </c>
      <c r="G118" s="811" t="s">
        <v>1625</v>
      </c>
      <c r="H118" s="811" t="s">
        <v>1626</v>
      </c>
      <c r="I118" s="811" t="s">
        <v>1627</v>
      </c>
      <c r="J118" s="813">
        <v>40290000</v>
      </c>
      <c r="K118" s="811" t="s">
        <v>1628</v>
      </c>
      <c r="L118" s="811" t="s">
        <v>1210</v>
      </c>
      <c r="M118" s="811" t="s">
        <v>1608</v>
      </c>
      <c r="N118" s="811" t="s">
        <v>1608</v>
      </c>
      <c r="O118" s="811" t="s">
        <v>1640</v>
      </c>
      <c r="P118" s="811" t="s">
        <v>1630</v>
      </c>
      <c r="Q118" s="811" t="s">
        <v>1641</v>
      </c>
    </row>
    <row r="119" spans="1:17" x14ac:dyDescent="0.35">
      <c r="A119" s="811" t="s">
        <v>1622</v>
      </c>
      <c r="B119" s="811" t="s">
        <v>1797</v>
      </c>
      <c r="C119" s="812">
        <v>65836059</v>
      </c>
      <c r="D119" s="811" t="s">
        <v>1424</v>
      </c>
      <c r="E119" s="811" t="s">
        <v>1424</v>
      </c>
      <c r="F119" s="811" t="s">
        <v>1662</v>
      </c>
      <c r="G119" s="811" t="s">
        <v>1625</v>
      </c>
      <c r="H119" s="811" t="s">
        <v>1626</v>
      </c>
      <c r="I119" s="811" t="s">
        <v>1627</v>
      </c>
      <c r="J119" s="813">
        <v>65836059</v>
      </c>
      <c r="K119" s="811" t="s">
        <v>1628</v>
      </c>
      <c r="L119" s="811" t="s">
        <v>1210</v>
      </c>
      <c r="M119" s="811" t="s">
        <v>1608</v>
      </c>
      <c r="N119" s="811" t="s">
        <v>1608</v>
      </c>
      <c r="O119" s="811" t="s">
        <v>1640</v>
      </c>
      <c r="P119" s="811" t="s">
        <v>1630</v>
      </c>
      <c r="Q119" s="811" t="s">
        <v>1641</v>
      </c>
    </row>
    <row r="120" spans="1:17" x14ac:dyDescent="0.35">
      <c r="A120" s="811" t="s">
        <v>1622</v>
      </c>
      <c r="B120" s="811" t="s">
        <v>1798</v>
      </c>
      <c r="C120" s="812">
        <v>24050000</v>
      </c>
      <c r="D120" s="811" t="s">
        <v>1429</v>
      </c>
      <c r="E120" s="811" t="s">
        <v>1429</v>
      </c>
      <c r="F120" s="811" t="s">
        <v>1712</v>
      </c>
      <c r="G120" s="811" t="s">
        <v>1625</v>
      </c>
      <c r="H120" s="811" t="s">
        <v>1626</v>
      </c>
      <c r="I120" s="811" t="s">
        <v>1627</v>
      </c>
      <c r="J120" s="813">
        <v>24050000</v>
      </c>
      <c r="K120" s="811" t="s">
        <v>1628</v>
      </c>
      <c r="L120" s="811" t="s">
        <v>1210</v>
      </c>
      <c r="M120" s="811" t="s">
        <v>1608</v>
      </c>
      <c r="N120" s="811" t="s">
        <v>1608</v>
      </c>
      <c r="O120" s="811" t="s">
        <v>1640</v>
      </c>
      <c r="P120" s="811" t="s">
        <v>1630</v>
      </c>
      <c r="Q120" s="811" t="s">
        <v>1641</v>
      </c>
    </row>
    <row r="121" spans="1:17" x14ac:dyDescent="0.35">
      <c r="A121" s="811" t="s">
        <v>1622</v>
      </c>
      <c r="B121" s="811" t="s">
        <v>1799</v>
      </c>
      <c r="C121" s="812">
        <v>48144000</v>
      </c>
      <c r="D121" s="811" t="s">
        <v>1420</v>
      </c>
      <c r="E121" s="811" t="s">
        <v>1420</v>
      </c>
      <c r="F121" s="811" t="s">
        <v>1658</v>
      </c>
      <c r="G121" s="811" t="s">
        <v>1625</v>
      </c>
      <c r="H121" s="811" t="s">
        <v>1626</v>
      </c>
      <c r="I121" s="811" t="s">
        <v>1627</v>
      </c>
      <c r="J121" s="813">
        <v>48144000</v>
      </c>
      <c r="K121" s="811" t="s">
        <v>1628</v>
      </c>
      <c r="L121" s="811" t="s">
        <v>1210</v>
      </c>
      <c r="M121" s="811" t="s">
        <v>1608</v>
      </c>
      <c r="N121" s="811" t="s">
        <v>1608</v>
      </c>
      <c r="O121" s="811" t="s">
        <v>1640</v>
      </c>
      <c r="P121" s="811" t="s">
        <v>1630</v>
      </c>
      <c r="Q121" s="811" t="s">
        <v>1641</v>
      </c>
    </row>
    <row r="122" spans="1:17" x14ac:dyDescent="0.35">
      <c r="A122" s="811" t="s">
        <v>1800</v>
      </c>
      <c r="B122" s="811" t="s">
        <v>1801</v>
      </c>
      <c r="C122" s="812">
        <v>3333584000</v>
      </c>
      <c r="D122" s="811" t="s">
        <v>1429</v>
      </c>
      <c r="E122" s="811" t="s">
        <v>1445</v>
      </c>
      <c r="F122" s="811" t="s">
        <v>1691</v>
      </c>
      <c r="G122" s="811" t="s">
        <v>1625</v>
      </c>
      <c r="H122" s="811" t="s">
        <v>1802</v>
      </c>
      <c r="I122" s="811" t="s">
        <v>1627</v>
      </c>
      <c r="J122" s="813">
        <v>3333584000</v>
      </c>
      <c r="K122" s="811" t="s">
        <v>1628</v>
      </c>
      <c r="L122" s="811" t="s">
        <v>1210</v>
      </c>
      <c r="M122" s="811" t="s">
        <v>1608</v>
      </c>
      <c r="N122" s="811" t="s">
        <v>1608</v>
      </c>
      <c r="O122" s="811" t="s">
        <v>1640</v>
      </c>
      <c r="P122" s="811" t="s">
        <v>1630</v>
      </c>
      <c r="Q122" s="811" t="s">
        <v>1641</v>
      </c>
    </row>
    <row r="123" spans="1:17" x14ac:dyDescent="0.35">
      <c r="A123" s="811" t="s">
        <v>1803</v>
      </c>
      <c r="B123" s="811" t="s">
        <v>1804</v>
      </c>
      <c r="C123" s="812">
        <v>1000000000</v>
      </c>
      <c r="D123" s="811" t="s">
        <v>1414</v>
      </c>
      <c r="E123" s="811" t="s">
        <v>1414</v>
      </c>
      <c r="F123" s="811" t="s">
        <v>1671</v>
      </c>
      <c r="G123" s="811" t="s">
        <v>1625</v>
      </c>
      <c r="H123" s="811" t="s">
        <v>1802</v>
      </c>
      <c r="I123" s="811" t="s">
        <v>1627</v>
      </c>
      <c r="J123" s="813">
        <v>1000000000</v>
      </c>
      <c r="K123" s="811" t="s">
        <v>1628</v>
      </c>
      <c r="L123" s="811" t="s">
        <v>1210</v>
      </c>
      <c r="M123" s="811" t="s">
        <v>1608</v>
      </c>
      <c r="N123" s="811" t="s">
        <v>1608</v>
      </c>
      <c r="O123" s="811" t="s">
        <v>1677</v>
      </c>
      <c r="P123" s="811" t="s">
        <v>1630</v>
      </c>
      <c r="Q123" s="811" t="s">
        <v>1678</v>
      </c>
    </row>
    <row r="124" spans="1:17" x14ac:dyDescent="0.35">
      <c r="A124" s="811" t="s">
        <v>1622</v>
      </c>
      <c r="B124" s="811" t="s">
        <v>1805</v>
      </c>
      <c r="C124" s="812">
        <v>80000000</v>
      </c>
      <c r="D124" s="811" t="s">
        <v>1424</v>
      </c>
      <c r="E124" s="811" t="s">
        <v>1424</v>
      </c>
      <c r="F124" s="811" t="s">
        <v>1658</v>
      </c>
      <c r="G124" s="811" t="s">
        <v>1625</v>
      </c>
      <c r="H124" s="811" t="s">
        <v>1626</v>
      </c>
      <c r="I124" s="811" t="s">
        <v>1627</v>
      </c>
      <c r="J124" s="813">
        <v>80000000</v>
      </c>
      <c r="K124" s="811" t="s">
        <v>1628</v>
      </c>
      <c r="L124" s="811" t="s">
        <v>1210</v>
      </c>
      <c r="M124" s="811" t="s">
        <v>1608</v>
      </c>
      <c r="N124" s="811" t="s">
        <v>1608</v>
      </c>
      <c r="O124" s="811" t="s">
        <v>1677</v>
      </c>
      <c r="P124" s="811" t="s">
        <v>1630</v>
      </c>
      <c r="Q124" s="811" t="s">
        <v>1678</v>
      </c>
    </row>
    <row r="125" spans="1:17" x14ac:dyDescent="0.35">
      <c r="A125" s="811" t="s">
        <v>1622</v>
      </c>
      <c r="B125" s="811" t="s">
        <v>1806</v>
      </c>
      <c r="C125" s="812">
        <v>60180000</v>
      </c>
      <c r="D125" s="811" t="s">
        <v>1420</v>
      </c>
      <c r="E125" s="811" t="s">
        <v>1420</v>
      </c>
      <c r="F125" s="811" t="s">
        <v>1658</v>
      </c>
      <c r="G125" s="811" t="s">
        <v>1625</v>
      </c>
      <c r="H125" s="811" t="s">
        <v>1626</v>
      </c>
      <c r="I125" s="811" t="s">
        <v>1627</v>
      </c>
      <c r="J125" s="813">
        <v>60180000</v>
      </c>
      <c r="K125" s="811" t="s">
        <v>1628</v>
      </c>
      <c r="L125" s="811" t="s">
        <v>1210</v>
      </c>
      <c r="M125" s="811" t="s">
        <v>1608</v>
      </c>
      <c r="N125" s="811" t="s">
        <v>1608</v>
      </c>
      <c r="O125" s="811" t="s">
        <v>1640</v>
      </c>
      <c r="P125" s="811" t="s">
        <v>1630</v>
      </c>
      <c r="Q125" s="811" t="s">
        <v>1641</v>
      </c>
    </row>
    <row r="126" spans="1:17" x14ac:dyDescent="0.35">
      <c r="A126" s="811" t="s">
        <v>1622</v>
      </c>
      <c r="B126" s="811" t="s">
        <v>1807</v>
      </c>
      <c r="C126" s="812">
        <v>40800000</v>
      </c>
      <c r="D126" s="811" t="s">
        <v>1424</v>
      </c>
      <c r="E126" s="811" t="s">
        <v>1424</v>
      </c>
      <c r="F126" s="811" t="s">
        <v>1645</v>
      </c>
      <c r="G126" s="811" t="s">
        <v>1625</v>
      </c>
      <c r="H126" s="811" t="s">
        <v>1626</v>
      </c>
      <c r="I126" s="811" t="s">
        <v>1627</v>
      </c>
      <c r="J126" s="813">
        <v>40800000</v>
      </c>
      <c r="K126" s="811" t="s">
        <v>1628</v>
      </c>
      <c r="L126" s="811" t="s">
        <v>1210</v>
      </c>
      <c r="M126" s="811" t="s">
        <v>1608</v>
      </c>
      <c r="N126" s="811" t="s">
        <v>1608</v>
      </c>
      <c r="O126" s="811" t="s">
        <v>1732</v>
      </c>
      <c r="P126" s="811" t="s">
        <v>1733</v>
      </c>
      <c r="Q126" s="811" t="s">
        <v>1631</v>
      </c>
    </row>
    <row r="127" spans="1:17" x14ac:dyDescent="0.35">
      <c r="A127" s="811" t="s">
        <v>1622</v>
      </c>
      <c r="B127" s="811" t="s">
        <v>1808</v>
      </c>
      <c r="C127" s="812">
        <v>69600000</v>
      </c>
      <c r="D127" s="811" t="s">
        <v>1424</v>
      </c>
      <c r="E127" s="811" t="s">
        <v>1424</v>
      </c>
      <c r="F127" s="811" t="s">
        <v>1645</v>
      </c>
      <c r="G127" s="811" t="s">
        <v>1625</v>
      </c>
      <c r="H127" s="811" t="s">
        <v>1626</v>
      </c>
      <c r="I127" s="811" t="s">
        <v>1627</v>
      </c>
      <c r="J127" s="813">
        <v>69600000</v>
      </c>
      <c r="K127" s="811" t="s">
        <v>1628</v>
      </c>
      <c r="L127" s="811" t="s">
        <v>1210</v>
      </c>
      <c r="M127" s="811" t="s">
        <v>1608</v>
      </c>
      <c r="N127" s="811" t="s">
        <v>1608</v>
      </c>
      <c r="O127" s="811" t="s">
        <v>1732</v>
      </c>
      <c r="P127" s="811" t="s">
        <v>1733</v>
      </c>
      <c r="Q127" s="811" t="s">
        <v>1631</v>
      </c>
    </row>
    <row r="128" spans="1:17" x14ac:dyDescent="0.35">
      <c r="A128" s="811" t="s">
        <v>1622</v>
      </c>
      <c r="B128" s="811" t="s">
        <v>1664</v>
      </c>
      <c r="C128" s="812">
        <v>69768000</v>
      </c>
      <c r="D128" s="811" t="s">
        <v>1424</v>
      </c>
      <c r="E128" s="811" t="s">
        <v>1424</v>
      </c>
      <c r="F128" s="811" t="s">
        <v>1645</v>
      </c>
      <c r="G128" s="811" t="s">
        <v>1625</v>
      </c>
      <c r="H128" s="811" t="s">
        <v>1626</v>
      </c>
      <c r="I128" s="811" t="s">
        <v>1627</v>
      </c>
      <c r="J128" s="813">
        <v>69768000</v>
      </c>
      <c r="K128" s="811" t="s">
        <v>1628</v>
      </c>
      <c r="L128" s="811" t="s">
        <v>1210</v>
      </c>
      <c r="M128" s="811" t="s">
        <v>1608</v>
      </c>
      <c r="N128" s="811" t="s">
        <v>1608</v>
      </c>
      <c r="O128" s="811" t="s">
        <v>1732</v>
      </c>
      <c r="P128" s="811" t="s">
        <v>1733</v>
      </c>
      <c r="Q128" s="811" t="s">
        <v>1631</v>
      </c>
    </row>
    <row r="129" spans="1:17" x14ac:dyDescent="0.35">
      <c r="A129" s="811" t="s">
        <v>1622</v>
      </c>
      <c r="B129" s="811" t="s">
        <v>1809</v>
      </c>
      <c r="C129" s="812">
        <v>48348000</v>
      </c>
      <c r="D129" s="811" t="s">
        <v>1424</v>
      </c>
      <c r="E129" s="811" t="s">
        <v>1424</v>
      </c>
      <c r="F129" s="811" t="s">
        <v>1645</v>
      </c>
      <c r="G129" s="811" t="s">
        <v>1625</v>
      </c>
      <c r="H129" s="811" t="s">
        <v>1626</v>
      </c>
      <c r="I129" s="811" t="s">
        <v>1627</v>
      </c>
      <c r="J129" s="813">
        <v>48348000</v>
      </c>
      <c r="K129" s="811" t="s">
        <v>1628</v>
      </c>
      <c r="L129" s="811" t="s">
        <v>1210</v>
      </c>
      <c r="M129" s="811" t="s">
        <v>1608</v>
      </c>
      <c r="N129" s="811" t="s">
        <v>1608</v>
      </c>
      <c r="O129" s="811" t="s">
        <v>1732</v>
      </c>
      <c r="P129" s="811" t="s">
        <v>1733</v>
      </c>
      <c r="Q129" s="811" t="s">
        <v>1631</v>
      </c>
    </row>
    <row r="130" spans="1:17" x14ac:dyDescent="0.35">
      <c r="A130" s="811" t="s">
        <v>1622</v>
      </c>
      <c r="B130" s="811" t="s">
        <v>1808</v>
      </c>
      <c r="C130" s="812">
        <v>69600000</v>
      </c>
      <c r="D130" s="811" t="s">
        <v>1420</v>
      </c>
      <c r="E130" s="811" t="s">
        <v>1420</v>
      </c>
      <c r="F130" s="811" t="s">
        <v>1645</v>
      </c>
      <c r="G130" s="811" t="s">
        <v>1625</v>
      </c>
      <c r="H130" s="811" t="s">
        <v>1626</v>
      </c>
      <c r="I130" s="811" t="s">
        <v>1627</v>
      </c>
      <c r="J130" s="813">
        <v>69600000</v>
      </c>
      <c r="K130" s="811" t="s">
        <v>1628</v>
      </c>
      <c r="L130" s="811" t="s">
        <v>1210</v>
      </c>
      <c r="M130" s="811" t="s">
        <v>1608</v>
      </c>
      <c r="N130" s="811" t="s">
        <v>1608</v>
      </c>
      <c r="O130" s="811" t="s">
        <v>1732</v>
      </c>
      <c r="P130" s="811" t="s">
        <v>1733</v>
      </c>
      <c r="Q130" s="811" t="s">
        <v>1631</v>
      </c>
    </row>
    <row r="131" spans="1:17" x14ac:dyDescent="0.35">
      <c r="A131" s="811" t="s">
        <v>1622</v>
      </c>
      <c r="B131" s="811" t="s">
        <v>1748</v>
      </c>
      <c r="C131" s="812">
        <v>58752000</v>
      </c>
      <c r="D131" s="811" t="s">
        <v>1420</v>
      </c>
      <c r="E131" s="811" t="s">
        <v>1420</v>
      </c>
      <c r="F131" s="811" t="s">
        <v>1645</v>
      </c>
      <c r="G131" s="811" t="s">
        <v>1625</v>
      </c>
      <c r="H131" s="811" t="s">
        <v>1626</v>
      </c>
      <c r="I131" s="811" t="s">
        <v>1627</v>
      </c>
      <c r="J131" s="813">
        <v>58752000</v>
      </c>
      <c r="K131" s="811" t="s">
        <v>1628</v>
      </c>
      <c r="L131" s="811" t="s">
        <v>1210</v>
      </c>
      <c r="M131" s="811" t="s">
        <v>1608</v>
      </c>
      <c r="N131" s="811" t="s">
        <v>1608</v>
      </c>
      <c r="O131" s="811" t="s">
        <v>1732</v>
      </c>
      <c r="P131" s="811" t="s">
        <v>1733</v>
      </c>
      <c r="Q131" s="811" t="s">
        <v>1631</v>
      </c>
    </row>
    <row r="132" spans="1:17" x14ac:dyDescent="0.35">
      <c r="A132" s="811" t="s">
        <v>1622</v>
      </c>
      <c r="B132" s="811" t="s">
        <v>1810</v>
      </c>
      <c r="C132" s="812">
        <v>29700000</v>
      </c>
      <c r="D132" s="811" t="s">
        <v>1424</v>
      </c>
      <c r="E132" s="811" t="s">
        <v>1424</v>
      </c>
      <c r="F132" s="811" t="s">
        <v>1639</v>
      </c>
      <c r="G132" s="811" t="s">
        <v>1625</v>
      </c>
      <c r="H132" s="811" t="s">
        <v>1626</v>
      </c>
      <c r="I132" s="811" t="s">
        <v>1627</v>
      </c>
      <c r="J132" s="813">
        <v>29700000</v>
      </c>
      <c r="K132" s="811" t="s">
        <v>1628</v>
      </c>
      <c r="L132" s="811" t="s">
        <v>1210</v>
      </c>
      <c r="M132" s="811" t="s">
        <v>1608</v>
      </c>
      <c r="N132" s="811" t="s">
        <v>1608</v>
      </c>
      <c r="O132" s="811" t="s">
        <v>1672</v>
      </c>
      <c r="P132" s="811" t="s">
        <v>1630</v>
      </c>
      <c r="Q132" s="811" t="s">
        <v>1673</v>
      </c>
    </row>
    <row r="133" spans="1:17" x14ac:dyDescent="0.35">
      <c r="A133" s="811" t="s">
        <v>1622</v>
      </c>
      <c r="B133" s="811" t="s">
        <v>1811</v>
      </c>
      <c r="C133" s="812">
        <v>68000000</v>
      </c>
      <c r="D133" s="811" t="s">
        <v>1414</v>
      </c>
      <c r="E133" s="811" t="s">
        <v>1414</v>
      </c>
      <c r="F133" s="811" t="s">
        <v>1624</v>
      </c>
      <c r="G133" s="811" t="s">
        <v>1625</v>
      </c>
      <c r="H133" s="811" t="s">
        <v>1626</v>
      </c>
      <c r="I133" s="811" t="s">
        <v>1627</v>
      </c>
      <c r="J133" s="813">
        <v>68000000</v>
      </c>
      <c r="K133" s="811" t="s">
        <v>1628</v>
      </c>
      <c r="L133" s="811" t="s">
        <v>1210</v>
      </c>
      <c r="M133" s="811" t="s">
        <v>1608</v>
      </c>
      <c r="N133" s="811" t="s">
        <v>1608</v>
      </c>
      <c r="O133" s="811" t="s">
        <v>1672</v>
      </c>
      <c r="P133" s="811" t="s">
        <v>1630</v>
      </c>
      <c r="Q133" s="811" t="s">
        <v>1673</v>
      </c>
    </row>
    <row r="134" spans="1:17" x14ac:dyDescent="0.35">
      <c r="A134" s="811" t="s">
        <v>1622</v>
      </c>
      <c r="B134" s="811" t="s">
        <v>1812</v>
      </c>
      <c r="C134" s="812">
        <v>68400000</v>
      </c>
      <c r="D134" s="811" t="s">
        <v>1414</v>
      </c>
      <c r="E134" s="811" t="s">
        <v>1414</v>
      </c>
      <c r="F134" s="811" t="s">
        <v>1741</v>
      </c>
      <c r="G134" s="811" t="s">
        <v>1625</v>
      </c>
      <c r="H134" s="811" t="s">
        <v>1626</v>
      </c>
      <c r="I134" s="811" t="s">
        <v>1627</v>
      </c>
      <c r="J134" s="813">
        <v>68400000</v>
      </c>
      <c r="K134" s="811" t="s">
        <v>1628</v>
      </c>
      <c r="L134" s="811" t="s">
        <v>1210</v>
      </c>
      <c r="M134" s="811" t="s">
        <v>1608</v>
      </c>
      <c r="N134" s="811" t="s">
        <v>1608</v>
      </c>
      <c r="O134" s="811" t="s">
        <v>1742</v>
      </c>
      <c r="P134" s="811" t="s">
        <v>1630</v>
      </c>
      <c r="Q134" s="811" t="s">
        <v>1678</v>
      </c>
    </row>
    <row r="135" spans="1:17" x14ac:dyDescent="0.35">
      <c r="A135" s="811" t="s">
        <v>1622</v>
      </c>
      <c r="B135" s="811" t="s">
        <v>1813</v>
      </c>
      <c r="C135" s="812">
        <v>44000000</v>
      </c>
      <c r="D135" s="811" t="s">
        <v>1420</v>
      </c>
      <c r="E135" s="811" t="s">
        <v>1420</v>
      </c>
      <c r="F135" s="811" t="s">
        <v>1662</v>
      </c>
      <c r="G135" s="811" t="s">
        <v>1625</v>
      </c>
      <c r="H135" s="811" t="s">
        <v>1626</v>
      </c>
      <c r="I135" s="811" t="s">
        <v>1627</v>
      </c>
      <c r="J135" s="813">
        <v>44000000</v>
      </c>
      <c r="K135" s="811" t="s">
        <v>1628</v>
      </c>
      <c r="L135" s="811" t="s">
        <v>1210</v>
      </c>
      <c r="M135" s="811" t="s">
        <v>1608</v>
      </c>
      <c r="N135" s="811" t="s">
        <v>1608</v>
      </c>
      <c r="O135" s="811" t="s">
        <v>1659</v>
      </c>
      <c r="P135" s="811" t="s">
        <v>1630</v>
      </c>
      <c r="Q135" s="811" t="s">
        <v>1631</v>
      </c>
    </row>
    <row r="136" spans="1:17" x14ac:dyDescent="0.35">
      <c r="A136" s="811" t="s">
        <v>1622</v>
      </c>
      <c r="B136" s="811" t="s">
        <v>1814</v>
      </c>
      <c r="C136" s="812">
        <v>33000000</v>
      </c>
      <c r="D136" s="811" t="s">
        <v>1420</v>
      </c>
      <c r="E136" s="811" t="s">
        <v>1420</v>
      </c>
      <c r="F136" s="811" t="s">
        <v>1662</v>
      </c>
      <c r="G136" s="811" t="s">
        <v>1625</v>
      </c>
      <c r="H136" s="811" t="s">
        <v>1626</v>
      </c>
      <c r="I136" s="811" t="s">
        <v>1627</v>
      </c>
      <c r="J136" s="813">
        <v>33000000</v>
      </c>
      <c r="K136" s="811" t="s">
        <v>1628</v>
      </c>
      <c r="L136" s="811" t="s">
        <v>1210</v>
      </c>
      <c r="M136" s="811" t="s">
        <v>1608</v>
      </c>
      <c r="N136" s="811" t="s">
        <v>1608</v>
      </c>
      <c r="O136" s="811" t="s">
        <v>1659</v>
      </c>
      <c r="P136" s="811" t="s">
        <v>1630</v>
      </c>
      <c r="Q136" s="811" t="s">
        <v>1631</v>
      </c>
    </row>
    <row r="137" spans="1:17" x14ac:dyDescent="0.35">
      <c r="A137" s="811" t="s">
        <v>1622</v>
      </c>
      <c r="B137" s="811" t="s">
        <v>1815</v>
      </c>
      <c r="C137" s="812">
        <v>42500000</v>
      </c>
      <c r="D137" s="811" t="s">
        <v>1420</v>
      </c>
      <c r="E137" s="811" t="s">
        <v>1420</v>
      </c>
      <c r="F137" s="811" t="s">
        <v>1624</v>
      </c>
      <c r="G137" s="811" t="s">
        <v>1625</v>
      </c>
      <c r="H137" s="811" t="s">
        <v>1626</v>
      </c>
      <c r="I137" s="811" t="s">
        <v>1627</v>
      </c>
      <c r="J137" s="813">
        <v>42500000</v>
      </c>
      <c r="K137" s="811" t="s">
        <v>1628</v>
      </c>
      <c r="L137" s="811" t="s">
        <v>1210</v>
      </c>
      <c r="M137" s="811" t="s">
        <v>1608</v>
      </c>
      <c r="N137" s="811" t="s">
        <v>1608</v>
      </c>
      <c r="O137" s="811" t="s">
        <v>1659</v>
      </c>
      <c r="P137" s="811" t="s">
        <v>1630</v>
      </c>
      <c r="Q137" s="811" t="s">
        <v>1631</v>
      </c>
    </row>
    <row r="138" spans="1:17" x14ac:dyDescent="0.35">
      <c r="A138" s="811" t="s">
        <v>1622</v>
      </c>
      <c r="B138" s="811" t="s">
        <v>1816</v>
      </c>
      <c r="C138" s="812">
        <v>42500000</v>
      </c>
      <c r="D138" s="811" t="s">
        <v>1420</v>
      </c>
      <c r="E138" s="811" t="s">
        <v>1420</v>
      </c>
      <c r="F138" s="811" t="s">
        <v>1624</v>
      </c>
      <c r="G138" s="811" t="s">
        <v>1625</v>
      </c>
      <c r="H138" s="811" t="s">
        <v>1626</v>
      </c>
      <c r="I138" s="811" t="s">
        <v>1627</v>
      </c>
      <c r="J138" s="813">
        <v>42500000</v>
      </c>
      <c r="K138" s="811" t="s">
        <v>1628</v>
      </c>
      <c r="L138" s="811" t="s">
        <v>1210</v>
      </c>
      <c r="M138" s="811" t="s">
        <v>1608</v>
      </c>
      <c r="N138" s="811" t="s">
        <v>1608</v>
      </c>
      <c r="O138" s="811" t="s">
        <v>1659</v>
      </c>
      <c r="P138" s="811" t="s">
        <v>1630</v>
      </c>
      <c r="Q138" s="811" t="s">
        <v>1631</v>
      </c>
    </row>
    <row r="139" spans="1:17" x14ac:dyDescent="0.35">
      <c r="A139" s="811" t="s">
        <v>1622</v>
      </c>
      <c r="B139" s="811" t="s">
        <v>1817</v>
      </c>
      <c r="C139" s="812">
        <v>54511560</v>
      </c>
      <c r="D139" s="811" t="s">
        <v>1424</v>
      </c>
      <c r="E139" s="811" t="s">
        <v>1424</v>
      </c>
      <c r="F139" s="811" t="s">
        <v>1624</v>
      </c>
      <c r="G139" s="811" t="s">
        <v>1625</v>
      </c>
      <c r="H139" s="811" t="s">
        <v>1626</v>
      </c>
      <c r="I139" s="811" t="s">
        <v>1627</v>
      </c>
      <c r="J139" s="813">
        <v>54511560</v>
      </c>
      <c r="K139" s="811" t="s">
        <v>1628</v>
      </c>
      <c r="L139" s="811" t="s">
        <v>1210</v>
      </c>
      <c r="M139" s="811" t="s">
        <v>1608</v>
      </c>
      <c r="N139" s="811" t="s">
        <v>1608</v>
      </c>
      <c r="O139" s="811" t="s">
        <v>1818</v>
      </c>
      <c r="P139" s="811" t="s">
        <v>1630</v>
      </c>
      <c r="Q139" s="811" t="s">
        <v>1683</v>
      </c>
    </row>
    <row r="140" spans="1:17" x14ac:dyDescent="0.35">
      <c r="A140" s="811" t="s">
        <v>1622</v>
      </c>
      <c r="B140" s="811" t="s">
        <v>1819</v>
      </c>
      <c r="C140" s="812">
        <v>34967856</v>
      </c>
      <c r="D140" s="811" t="s">
        <v>1515</v>
      </c>
      <c r="E140" s="811" t="s">
        <v>1515</v>
      </c>
      <c r="F140" s="811" t="s">
        <v>1624</v>
      </c>
      <c r="G140" s="811" t="s">
        <v>1625</v>
      </c>
      <c r="H140" s="811" t="s">
        <v>1626</v>
      </c>
      <c r="I140" s="811" t="s">
        <v>1627</v>
      </c>
      <c r="J140" s="813">
        <v>34967856</v>
      </c>
      <c r="K140" s="811" t="s">
        <v>1628</v>
      </c>
      <c r="L140" s="811" t="s">
        <v>1210</v>
      </c>
      <c r="M140" s="811" t="s">
        <v>1608</v>
      </c>
      <c r="N140" s="811" t="s">
        <v>1608</v>
      </c>
      <c r="O140" s="811" t="s">
        <v>1818</v>
      </c>
      <c r="P140" s="811" t="s">
        <v>1630</v>
      </c>
      <c r="Q140" s="811" t="s">
        <v>1683</v>
      </c>
    </row>
    <row r="141" spans="1:17" x14ac:dyDescent="0.35">
      <c r="A141" s="811" t="s">
        <v>1820</v>
      </c>
      <c r="B141" s="811" t="s">
        <v>1821</v>
      </c>
      <c r="C141" s="812">
        <v>50000000</v>
      </c>
      <c r="D141" s="811" t="s">
        <v>1515</v>
      </c>
      <c r="E141" s="811" t="s">
        <v>1515</v>
      </c>
      <c r="F141" s="811" t="s">
        <v>1700</v>
      </c>
      <c r="G141" s="811" t="s">
        <v>1625</v>
      </c>
      <c r="H141" s="811" t="s">
        <v>1550</v>
      </c>
      <c r="I141" s="811" t="s">
        <v>1627</v>
      </c>
      <c r="J141" s="813">
        <v>50000000</v>
      </c>
      <c r="K141" s="811" t="s">
        <v>1628</v>
      </c>
      <c r="L141" s="811" t="s">
        <v>1210</v>
      </c>
      <c r="M141" s="811" t="s">
        <v>1608</v>
      </c>
      <c r="N141" s="811" t="s">
        <v>1608</v>
      </c>
      <c r="O141" s="811" t="s">
        <v>1818</v>
      </c>
      <c r="P141" s="811" t="s">
        <v>1630</v>
      </c>
      <c r="Q141" s="811" t="s">
        <v>1683</v>
      </c>
    </row>
    <row r="142" spans="1:17" x14ac:dyDescent="0.35">
      <c r="A142" s="811" t="s">
        <v>1822</v>
      </c>
      <c r="B142" s="811" t="s">
        <v>1823</v>
      </c>
      <c r="C142" s="812">
        <v>53000000</v>
      </c>
      <c r="D142" s="811" t="s">
        <v>1429</v>
      </c>
      <c r="E142" s="811" t="s">
        <v>1429</v>
      </c>
      <c r="F142" s="811" t="s">
        <v>1645</v>
      </c>
      <c r="G142" s="811" t="s">
        <v>1625</v>
      </c>
      <c r="H142" s="811" t="s">
        <v>1636</v>
      </c>
      <c r="I142" s="811" t="s">
        <v>1627</v>
      </c>
      <c r="J142" s="813">
        <v>53000000</v>
      </c>
      <c r="K142" s="811" t="s">
        <v>1628</v>
      </c>
      <c r="L142" s="811" t="s">
        <v>1210</v>
      </c>
      <c r="M142" s="811" t="s">
        <v>1608</v>
      </c>
      <c r="N142" s="811" t="s">
        <v>1608</v>
      </c>
      <c r="O142" s="811" t="s">
        <v>1818</v>
      </c>
      <c r="P142" s="811" t="s">
        <v>1630</v>
      </c>
      <c r="Q142" s="811" t="s">
        <v>1683</v>
      </c>
    </row>
    <row r="143" spans="1:17" x14ac:dyDescent="0.35">
      <c r="A143" s="811" t="s">
        <v>1824</v>
      </c>
      <c r="B143" s="811" t="s">
        <v>1825</v>
      </c>
      <c r="C143" s="812">
        <v>309400000</v>
      </c>
      <c r="D143" s="811" t="s">
        <v>1424</v>
      </c>
      <c r="E143" s="811" t="s">
        <v>1424</v>
      </c>
      <c r="F143" s="811" t="s">
        <v>1662</v>
      </c>
      <c r="G143" s="811" t="s">
        <v>1625</v>
      </c>
      <c r="H143" s="811" t="s">
        <v>1636</v>
      </c>
      <c r="I143" s="811" t="s">
        <v>1627</v>
      </c>
      <c r="J143" s="813">
        <v>309400000</v>
      </c>
      <c r="K143" s="811" t="s">
        <v>1628</v>
      </c>
      <c r="L143" s="811" t="s">
        <v>1210</v>
      </c>
      <c r="M143" s="811" t="s">
        <v>1608</v>
      </c>
      <c r="N143" s="811" t="s">
        <v>1608</v>
      </c>
      <c r="O143" s="811" t="s">
        <v>1818</v>
      </c>
      <c r="P143" s="811" t="s">
        <v>1630</v>
      </c>
      <c r="Q143" s="811" t="s">
        <v>1683</v>
      </c>
    </row>
    <row r="144" spans="1:17" x14ac:dyDescent="0.35">
      <c r="A144" s="811" t="s">
        <v>1824</v>
      </c>
      <c r="B144" s="811" t="s">
        <v>1825</v>
      </c>
      <c r="C144" s="812">
        <v>445000000</v>
      </c>
      <c r="D144" s="811" t="s">
        <v>1424</v>
      </c>
      <c r="E144" s="811" t="s">
        <v>1424</v>
      </c>
      <c r="F144" s="811" t="s">
        <v>1662</v>
      </c>
      <c r="G144" s="811" t="s">
        <v>1625</v>
      </c>
      <c r="H144" s="811" t="s">
        <v>1636</v>
      </c>
      <c r="I144" s="811" t="s">
        <v>1627</v>
      </c>
      <c r="J144" s="813">
        <v>445000000</v>
      </c>
      <c r="K144" s="811" t="s">
        <v>1628</v>
      </c>
      <c r="L144" s="811" t="s">
        <v>1210</v>
      </c>
      <c r="M144" s="811" t="s">
        <v>1608</v>
      </c>
      <c r="N144" s="811" t="s">
        <v>1608</v>
      </c>
      <c r="O144" s="811" t="s">
        <v>1818</v>
      </c>
      <c r="P144" s="811" t="s">
        <v>1630</v>
      </c>
      <c r="Q144" s="811" t="s">
        <v>1683</v>
      </c>
    </row>
    <row r="145" spans="1:17" x14ac:dyDescent="0.35">
      <c r="A145" s="811" t="s">
        <v>1826</v>
      </c>
      <c r="B145" s="811" t="s">
        <v>1827</v>
      </c>
      <c r="C145" s="812">
        <v>19000000</v>
      </c>
      <c r="D145" s="811" t="s">
        <v>1421</v>
      </c>
      <c r="E145" s="811" t="s">
        <v>1421</v>
      </c>
      <c r="F145" s="811" t="s">
        <v>1635</v>
      </c>
      <c r="G145" s="811" t="s">
        <v>1625</v>
      </c>
      <c r="H145" s="811" t="s">
        <v>1636</v>
      </c>
      <c r="I145" s="811" t="s">
        <v>1627</v>
      </c>
      <c r="J145" s="813">
        <v>19000000</v>
      </c>
      <c r="K145" s="811" t="s">
        <v>1628</v>
      </c>
      <c r="L145" s="811" t="s">
        <v>1210</v>
      </c>
      <c r="M145" s="811" t="s">
        <v>1608</v>
      </c>
      <c r="N145" s="811" t="s">
        <v>1608</v>
      </c>
      <c r="O145" s="811" t="s">
        <v>1818</v>
      </c>
      <c r="P145" s="811" t="s">
        <v>1630</v>
      </c>
      <c r="Q145" s="811" t="s">
        <v>1683</v>
      </c>
    </row>
    <row r="146" spans="1:17" x14ac:dyDescent="0.35">
      <c r="A146" s="811" t="s">
        <v>1622</v>
      </c>
      <c r="B146" s="811" t="s">
        <v>1828</v>
      </c>
      <c r="C146" s="812">
        <v>44517774</v>
      </c>
      <c r="D146" s="811" t="s">
        <v>1420</v>
      </c>
      <c r="E146" s="811" t="s">
        <v>1420</v>
      </c>
      <c r="F146" s="811" t="s">
        <v>1658</v>
      </c>
      <c r="G146" s="811" t="s">
        <v>1625</v>
      </c>
      <c r="H146" s="811" t="s">
        <v>1626</v>
      </c>
      <c r="I146" s="811" t="s">
        <v>1627</v>
      </c>
      <c r="J146" s="813">
        <v>44517774</v>
      </c>
      <c r="K146" s="811" t="s">
        <v>1628</v>
      </c>
      <c r="L146" s="811" t="s">
        <v>1210</v>
      </c>
      <c r="M146" s="811" t="s">
        <v>1608</v>
      </c>
      <c r="N146" s="811" t="s">
        <v>1608</v>
      </c>
      <c r="O146" s="811" t="s">
        <v>1818</v>
      </c>
      <c r="P146" s="811" t="s">
        <v>1630</v>
      </c>
      <c r="Q146" s="811" t="s">
        <v>1683</v>
      </c>
    </row>
    <row r="147" spans="1:17" x14ac:dyDescent="0.35">
      <c r="A147" s="811" t="s">
        <v>1622</v>
      </c>
      <c r="B147" s="811" t="s">
        <v>1829</v>
      </c>
      <c r="C147" s="812">
        <v>31798410</v>
      </c>
      <c r="D147" s="811" t="s">
        <v>1420</v>
      </c>
      <c r="E147" s="811" t="s">
        <v>1420</v>
      </c>
      <c r="F147" s="811" t="s">
        <v>1658</v>
      </c>
      <c r="G147" s="811" t="s">
        <v>1625</v>
      </c>
      <c r="H147" s="811" t="s">
        <v>1626</v>
      </c>
      <c r="I147" s="811" t="s">
        <v>1627</v>
      </c>
      <c r="J147" s="813">
        <v>31798410</v>
      </c>
      <c r="K147" s="811" t="s">
        <v>1628</v>
      </c>
      <c r="L147" s="811" t="s">
        <v>1210</v>
      </c>
      <c r="M147" s="811" t="s">
        <v>1608</v>
      </c>
      <c r="N147" s="811" t="s">
        <v>1608</v>
      </c>
      <c r="O147" s="811" t="s">
        <v>1818</v>
      </c>
      <c r="P147" s="811" t="s">
        <v>1630</v>
      </c>
      <c r="Q147" s="811" t="s">
        <v>1683</v>
      </c>
    </row>
    <row r="148" spans="1:17" x14ac:dyDescent="0.35">
      <c r="A148" s="811" t="s">
        <v>1622</v>
      </c>
      <c r="B148" s="811" t="s">
        <v>1830</v>
      </c>
      <c r="C148" s="812">
        <v>85250000</v>
      </c>
      <c r="D148" s="811" t="s">
        <v>1414</v>
      </c>
      <c r="E148" s="811" t="s">
        <v>1414</v>
      </c>
      <c r="F148" s="811" t="s">
        <v>1662</v>
      </c>
      <c r="G148" s="811" t="s">
        <v>1625</v>
      </c>
      <c r="H148" s="811" t="s">
        <v>1626</v>
      </c>
      <c r="I148" s="811" t="s">
        <v>1627</v>
      </c>
      <c r="J148" s="813">
        <v>85250000</v>
      </c>
      <c r="K148" s="811" t="s">
        <v>1628</v>
      </c>
      <c r="L148" s="811" t="s">
        <v>1210</v>
      </c>
      <c r="M148" s="811" t="s">
        <v>1608</v>
      </c>
      <c r="N148" s="811" t="s">
        <v>1608</v>
      </c>
      <c r="O148" s="811" t="s">
        <v>1654</v>
      </c>
      <c r="P148" s="811" t="s">
        <v>1630</v>
      </c>
      <c r="Q148" s="811" t="s">
        <v>1655</v>
      </c>
    </row>
    <row r="149" spans="1:17" x14ac:dyDescent="0.35">
      <c r="A149" s="811" t="s">
        <v>1622</v>
      </c>
      <c r="B149" s="811" t="s">
        <v>1831</v>
      </c>
      <c r="C149" s="812">
        <v>100000000</v>
      </c>
      <c r="D149" s="811" t="s">
        <v>1424</v>
      </c>
      <c r="E149" s="811" t="s">
        <v>1424</v>
      </c>
      <c r="F149" s="811" t="s">
        <v>1658</v>
      </c>
      <c r="G149" s="811" t="s">
        <v>1625</v>
      </c>
      <c r="H149" s="811" t="s">
        <v>1626</v>
      </c>
      <c r="I149" s="811" t="s">
        <v>1627</v>
      </c>
      <c r="J149" s="813">
        <v>100000000</v>
      </c>
      <c r="K149" s="811" t="s">
        <v>1628</v>
      </c>
      <c r="L149" s="811" t="s">
        <v>1210</v>
      </c>
      <c r="M149" s="811" t="s">
        <v>1608</v>
      </c>
      <c r="N149" s="811" t="s">
        <v>1608</v>
      </c>
      <c r="O149" s="811" t="s">
        <v>1654</v>
      </c>
      <c r="P149" s="811" t="s">
        <v>1630</v>
      </c>
      <c r="Q149" s="811" t="s">
        <v>1655</v>
      </c>
    </row>
    <row r="150" spans="1:17" x14ac:dyDescent="0.35">
      <c r="A150" s="811" t="s">
        <v>1622</v>
      </c>
      <c r="B150" s="811" t="s">
        <v>1832</v>
      </c>
      <c r="C150" s="812">
        <v>75000000</v>
      </c>
      <c r="D150" s="811" t="s">
        <v>1424</v>
      </c>
      <c r="E150" s="811" t="s">
        <v>1424</v>
      </c>
      <c r="F150" s="811" t="s">
        <v>1658</v>
      </c>
      <c r="G150" s="811" t="s">
        <v>1625</v>
      </c>
      <c r="H150" s="811" t="s">
        <v>1626</v>
      </c>
      <c r="I150" s="811" t="s">
        <v>1627</v>
      </c>
      <c r="J150" s="813">
        <v>75000000</v>
      </c>
      <c r="K150" s="811" t="s">
        <v>1628</v>
      </c>
      <c r="L150" s="811" t="s">
        <v>1210</v>
      </c>
      <c r="M150" s="811" t="s">
        <v>1608</v>
      </c>
      <c r="N150" s="811" t="s">
        <v>1608</v>
      </c>
      <c r="O150" s="811" t="s">
        <v>1654</v>
      </c>
      <c r="P150" s="811" t="s">
        <v>1630</v>
      </c>
      <c r="Q150" s="811" t="s">
        <v>1655</v>
      </c>
    </row>
    <row r="151" spans="1:17" x14ac:dyDescent="0.35">
      <c r="A151" s="811" t="s">
        <v>1622</v>
      </c>
      <c r="B151" s="811" t="s">
        <v>1833</v>
      </c>
      <c r="C151" s="812">
        <v>17854947</v>
      </c>
      <c r="D151" s="811" t="s">
        <v>1414</v>
      </c>
      <c r="E151" s="811" t="s">
        <v>1414</v>
      </c>
      <c r="F151" s="811" t="s">
        <v>1635</v>
      </c>
      <c r="G151" s="811" t="s">
        <v>1625</v>
      </c>
      <c r="H151" s="811" t="s">
        <v>1626</v>
      </c>
      <c r="I151" s="811" t="s">
        <v>1627</v>
      </c>
      <c r="J151" s="813">
        <v>17854947</v>
      </c>
      <c r="K151" s="811" t="s">
        <v>1628</v>
      </c>
      <c r="L151" s="811" t="s">
        <v>1210</v>
      </c>
      <c r="M151" s="811" t="s">
        <v>1608</v>
      </c>
      <c r="N151" s="811" t="s">
        <v>1608</v>
      </c>
      <c r="O151" s="811" t="s">
        <v>1640</v>
      </c>
      <c r="P151" s="811" t="s">
        <v>1630</v>
      </c>
      <c r="Q151" s="811" t="s">
        <v>1641</v>
      </c>
    </row>
    <row r="152" spans="1:17" x14ac:dyDescent="0.35">
      <c r="A152" s="811" t="s">
        <v>1622</v>
      </c>
      <c r="B152" s="811" t="s">
        <v>1834</v>
      </c>
      <c r="C152" s="812">
        <v>39270000</v>
      </c>
      <c r="D152" s="811" t="s">
        <v>1414</v>
      </c>
      <c r="E152" s="811" t="s">
        <v>1414</v>
      </c>
      <c r="F152" s="811" t="s">
        <v>1662</v>
      </c>
      <c r="G152" s="811" t="s">
        <v>1625</v>
      </c>
      <c r="H152" s="811" t="s">
        <v>1626</v>
      </c>
      <c r="I152" s="811" t="s">
        <v>1627</v>
      </c>
      <c r="J152" s="813">
        <v>39270000</v>
      </c>
      <c r="K152" s="811" t="s">
        <v>1628</v>
      </c>
      <c r="L152" s="811" t="s">
        <v>1210</v>
      </c>
      <c r="M152" s="811" t="s">
        <v>1608</v>
      </c>
      <c r="N152" s="811" t="s">
        <v>1608</v>
      </c>
      <c r="O152" s="811" t="s">
        <v>1640</v>
      </c>
      <c r="P152" s="811" t="s">
        <v>1630</v>
      </c>
      <c r="Q152" s="811" t="s">
        <v>1641</v>
      </c>
    </row>
    <row r="153" spans="1:17" x14ac:dyDescent="0.35">
      <c r="A153" s="811" t="s">
        <v>1622</v>
      </c>
      <c r="B153" s="811" t="s">
        <v>1835</v>
      </c>
      <c r="C153" s="812">
        <v>78234000</v>
      </c>
      <c r="D153" s="811" t="s">
        <v>1414</v>
      </c>
      <c r="E153" s="811" t="s">
        <v>1414</v>
      </c>
      <c r="F153" s="811" t="s">
        <v>1645</v>
      </c>
      <c r="G153" s="811" t="s">
        <v>1625</v>
      </c>
      <c r="H153" s="811" t="s">
        <v>1626</v>
      </c>
      <c r="I153" s="811" t="s">
        <v>1627</v>
      </c>
      <c r="J153" s="813">
        <v>78234000</v>
      </c>
      <c r="K153" s="811" t="s">
        <v>1628</v>
      </c>
      <c r="L153" s="811" t="s">
        <v>1210</v>
      </c>
      <c r="M153" s="811" t="s">
        <v>1608</v>
      </c>
      <c r="N153" s="811" t="s">
        <v>1608</v>
      </c>
      <c r="O153" s="811" t="s">
        <v>1640</v>
      </c>
      <c r="P153" s="811" t="s">
        <v>1630</v>
      </c>
      <c r="Q153" s="811" t="s">
        <v>1641</v>
      </c>
    </row>
    <row r="154" spans="1:17" x14ac:dyDescent="0.35">
      <c r="A154" s="811" t="s">
        <v>1622</v>
      </c>
      <c r="B154" s="811" t="s">
        <v>1836</v>
      </c>
      <c r="C154" s="812">
        <v>34904400</v>
      </c>
      <c r="D154" s="811" t="s">
        <v>1414</v>
      </c>
      <c r="E154" s="811" t="s">
        <v>1414</v>
      </c>
      <c r="F154" s="811" t="s">
        <v>1645</v>
      </c>
      <c r="G154" s="811" t="s">
        <v>1625</v>
      </c>
      <c r="H154" s="811" t="s">
        <v>1626</v>
      </c>
      <c r="I154" s="811" t="s">
        <v>1627</v>
      </c>
      <c r="J154" s="813">
        <v>34904400</v>
      </c>
      <c r="K154" s="811" t="s">
        <v>1628</v>
      </c>
      <c r="L154" s="811" t="s">
        <v>1210</v>
      </c>
      <c r="M154" s="811" t="s">
        <v>1608</v>
      </c>
      <c r="N154" s="811" t="s">
        <v>1608</v>
      </c>
      <c r="O154" s="811" t="s">
        <v>1640</v>
      </c>
      <c r="P154" s="811" t="s">
        <v>1630</v>
      </c>
      <c r="Q154" s="811" t="s">
        <v>1641</v>
      </c>
    </row>
    <row r="155" spans="1:17" x14ac:dyDescent="0.35">
      <c r="A155" s="811" t="s">
        <v>1622</v>
      </c>
      <c r="B155" s="811" t="s">
        <v>1837</v>
      </c>
      <c r="C155" s="812">
        <v>32538000</v>
      </c>
      <c r="D155" s="811" t="s">
        <v>1515</v>
      </c>
      <c r="E155" s="811" t="s">
        <v>1515</v>
      </c>
      <c r="F155" s="811" t="s">
        <v>1639</v>
      </c>
      <c r="G155" s="811" t="s">
        <v>1625</v>
      </c>
      <c r="H155" s="811" t="s">
        <v>1626</v>
      </c>
      <c r="I155" s="811" t="s">
        <v>1627</v>
      </c>
      <c r="J155" s="813">
        <v>32538000</v>
      </c>
      <c r="K155" s="811" t="s">
        <v>1628</v>
      </c>
      <c r="L155" s="811" t="s">
        <v>1210</v>
      </c>
      <c r="M155" s="811" t="s">
        <v>1608</v>
      </c>
      <c r="N155" s="811" t="s">
        <v>1608</v>
      </c>
      <c r="O155" s="811" t="s">
        <v>1640</v>
      </c>
      <c r="P155" s="811" t="s">
        <v>1630</v>
      </c>
      <c r="Q155" s="811" t="s">
        <v>1641</v>
      </c>
    </row>
    <row r="156" spans="1:17" x14ac:dyDescent="0.35">
      <c r="A156" s="811" t="s">
        <v>1622</v>
      </c>
      <c r="B156" s="811" t="s">
        <v>1838</v>
      </c>
      <c r="C156" s="812">
        <v>46512000</v>
      </c>
      <c r="D156" s="811" t="s">
        <v>1515</v>
      </c>
      <c r="E156" s="811" t="s">
        <v>1515</v>
      </c>
      <c r="F156" s="811" t="s">
        <v>1639</v>
      </c>
      <c r="G156" s="811" t="s">
        <v>1625</v>
      </c>
      <c r="H156" s="811" t="s">
        <v>1626</v>
      </c>
      <c r="I156" s="811" t="s">
        <v>1627</v>
      </c>
      <c r="J156" s="813">
        <v>46512000</v>
      </c>
      <c r="K156" s="811" t="s">
        <v>1628</v>
      </c>
      <c r="L156" s="811" t="s">
        <v>1210</v>
      </c>
      <c r="M156" s="811" t="s">
        <v>1608</v>
      </c>
      <c r="N156" s="811" t="s">
        <v>1608</v>
      </c>
      <c r="O156" s="811" t="s">
        <v>1640</v>
      </c>
      <c r="P156" s="811" t="s">
        <v>1630</v>
      </c>
      <c r="Q156" s="811" t="s">
        <v>1641</v>
      </c>
    </row>
    <row r="157" spans="1:17" x14ac:dyDescent="0.35">
      <c r="A157" s="811" t="s">
        <v>1622</v>
      </c>
      <c r="B157" s="811" t="s">
        <v>1839</v>
      </c>
      <c r="C157" s="812">
        <v>38275500</v>
      </c>
      <c r="D157" s="811" t="s">
        <v>1420</v>
      </c>
      <c r="E157" s="811" t="s">
        <v>1420</v>
      </c>
      <c r="F157" s="811" t="s">
        <v>1639</v>
      </c>
      <c r="G157" s="811" t="s">
        <v>1625</v>
      </c>
      <c r="H157" s="811" t="s">
        <v>1626</v>
      </c>
      <c r="I157" s="811" t="s">
        <v>1627</v>
      </c>
      <c r="J157" s="813">
        <v>38275500</v>
      </c>
      <c r="K157" s="811" t="s">
        <v>1628</v>
      </c>
      <c r="L157" s="811" t="s">
        <v>1210</v>
      </c>
      <c r="M157" s="811" t="s">
        <v>1608</v>
      </c>
      <c r="N157" s="811" t="s">
        <v>1608</v>
      </c>
      <c r="O157" s="811" t="s">
        <v>1640</v>
      </c>
      <c r="P157" s="811" t="s">
        <v>1630</v>
      </c>
      <c r="Q157" s="811" t="s">
        <v>1641</v>
      </c>
    </row>
    <row r="158" spans="1:17" x14ac:dyDescent="0.35">
      <c r="A158" s="811" t="s">
        <v>1622</v>
      </c>
      <c r="B158" s="811" t="s">
        <v>1840</v>
      </c>
      <c r="C158" s="812">
        <v>24174695</v>
      </c>
      <c r="D158" s="811" t="s">
        <v>1420</v>
      </c>
      <c r="E158" s="811" t="s">
        <v>1420</v>
      </c>
      <c r="F158" s="811" t="s">
        <v>1639</v>
      </c>
      <c r="G158" s="811" t="s">
        <v>1625</v>
      </c>
      <c r="H158" s="811" t="s">
        <v>1626</v>
      </c>
      <c r="I158" s="811" t="s">
        <v>1627</v>
      </c>
      <c r="J158" s="813">
        <v>24174695</v>
      </c>
      <c r="K158" s="811" t="s">
        <v>1628</v>
      </c>
      <c r="L158" s="811" t="s">
        <v>1210</v>
      </c>
      <c r="M158" s="811" t="s">
        <v>1608</v>
      </c>
      <c r="N158" s="811" t="s">
        <v>1608</v>
      </c>
      <c r="O158" s="811" t="s">
        <v>1640</v>
      </c>
      <c r="P158" s="811" t="s">
        <v>1630</v>
      </c>
      <c r="Q158" s="811" t="s">
        <v>1641</v>
      </c>
    </row>
    <row r="159" spans="1:17" x14ac:dyDescent="0.35">
      <c r="A159" s="811" t="s">
        <v>1622</v>
      </c>
      <c r="B159" s="811" t="s">
        <v>1841</v>
      </c>
      <c r="C159" s="812">
        <v>24174695</v>
      </c>
      <c r="D159" s="811" t="s">
        <v>1420</v>
      </c>
      <c r="E159" s="811" t="s">
        <v>1420</v>
      </c>
      <c r="F159" s="811" t="s">
        <v>1639</v>
      </c>
      <c r="G159" s="811" t="s">
        <v>1625</v>
      </c>
      <c r="H159" s="811" t="s">
        <v>1626</v>
      </c>
      <c r="I159" s="811" t="s">
        <v>1627</v>
      </c>
      <c r="J159" s="813">
        <v>24174695</v>
      </c>
      <c r="K159" s="811" t="s">
        <v>1628</v>
      </c>
      <c r="L159" s="811" t="s">
        <v>1210</v>
      </c>
      <c r="M159" s="811" t="s">
        <v>1608</v>
      </c>
      <c r="N159" s="811" t="s">
        <v>1608</v>
      </c>
      <c r="O159" s="811" t="s">
        <v>1640</v>
      </c>
      <c r="P159" s="811" t="s">
        <v>1630</v>
      </c>
      <c r="Q159" s="811" t="s">
        <v>1641</v>
      </c>
    </row>
    <row r="160" spans="1:17" x14ac:dyDescent="0.35">
      <c r="A160" s="811" t="s">
        <v>1622</v>
      </c>
      <c r="B160" s="811" t="s">
        <v>1842</v>
      </c>
      <c r="C160" s="812">
        <v>34850000</v>
      </c>
      <c r="D160" s="811" t="s">
        <v>1515</v>
      </c>
      <c r="E160" s="811" t="s">
        <v>1515</v>
      </c>
      <c r="F160" s="811" t="s">
        <v>1639</v>
      </c>
      <c r="G160" s="811" t="s">
        <v>1625</v>
      </c>
      <c r="H160" s="811" t="s">
        <v>1626</v>
      </c>
      <c r="I160" s="811" t="s">
        <v>1627</v>
      </c>
      <c r="J160" s="813">
        <v>34850000</v>
      </c>
      <c r="K160" s="811" t="s">
        <v>1628</v>
      </c>
      <c r="L160" s="811" t="s">
        <v>1210</v>
      </c>
      <c r="M160" s="811" t="s">
        <v>1608</v>
      </c>
      <c r="N160" s="811" t="s">
        <v>1608</v>
      </c>
      <c r="O160" s="811" t="s">
        <v>1640</v>
      </c>
      <c r="P160" s="811" t="s">
        <v>1630</v>
      </c>
      <c r="Q160" s="811" t="s">
        <v>1641</v>
      </c>
    </row>
    <row r="161" spans="1:17" x14ac:dyDescent="0.35">
      <c r="A161" s="811" t="s">
        <v>1622</v>
      </c>
      <c r="B161" s="811" t="s">
        <v>1843</v>
      </c>
      <c r="C161" s="812">
        <v>34850000</v>
      </c>
      <c r="D161" s="811" t="s">
        <v>1515</v>
      </c>
      <c r="E161" s="811" t="s">
        <v>1515</v>
      </c>
      <c r="F161" s="811" t="s">
        <v>1639</v>
      </c>
      <c r="G161" s="811" t="s">
        <v>1625</v>
      </c>
      <c r="H161" s="811" t="s">
        <v>1626</v>
      </c>
      <c r="I161" s="811" t="s">
        <v>1627</v>
      </c>
      <c r="J161" s="813">
        <v>34850000</v>
      </c>
      <c r="K161" s="811" t="s">
        <v>1628</v>
      </c>
      <c r="L161" s="811" t="s">
        <v>1210</v>
      </c>
      <c r="M161" s="811" t="s">
        <v>1608</v>
      </c>
      <c r="N161" s="811" t="s">
        <v>1608</v>
      </c>
      <c r="O161" s="811" t="s">
        <v>1640</v>
      </c>
      <c r="P161" s="811" t="s">
        <v>1630</v>
      </c>
      <c r="Q161" s="811" t="s">
        <v>1641</v>
      </c>
    </row>
    <row r="162" spans="1:17" x14ac:dyDescent="0.35">
      <c r="A162" s="811" t="s">
        <v>1622</v>
      </c>
      <c r="B162" s="811" t="s">
        <v>1844</v>
      </c>
      <c r="C162" s="812">
        <v>32300000</v>
      </c>
      <c r="D162" s="811" t="s">
        <v>1515</v>
      </c>
      <c r="E162" s="811" t="s">
        <v>1515</v>
      </c>
      <c r="F162" s="811" t="s">
        <v>1639</v>
      </c>
      <c r="G162" s="811" t="s">
        <v>1625</v>
      </c>
      <c r="H162" s="811" t="s">
        <v>1626</v>
      </c>
      <c r="I162" s="811" t="s">
        <v>1627</v>
      </c>
      <c r="J162" s="813">
        <v>32300000</v>
      </c>
      <c r="K162" s="811" t="s">
        <v>1628</v>
      </c>
      <c r="L162" s="811" t="s">
        <v>1210</v>
      </c>
      <c r="M162" s="811" t="s">
        <v>1608</v>
      </c>
      <c r="N162" s="811" t="s">
        <v>1608</v>
      </c>
      <c r="O162" s="811" t="s">
        <v>1640</v>
      </c>
      <c r="P162" s="811" t="s">
        <v>1630</v>
      </c>
      <c r="Q162" s="811" t="s">
        <v>1641</v>
      </c>
    </row>
    <row r="163" spans="1:17" x14ac:dyDescent="0.35">
      <c r="A163" s="811" t="s">
        <v>1622</v>
      </c>
      <c r="B163" s="811" t="s">
        <v>1845</v>
      </c>
      <c r="C163" s="812">
        <v>32300000</v>
      </c>
      <c r="D163" s="811" t="s">
        <v>1515</v>
      </c>
      <c r="E163" s="811" t="s">
        <v>1515</v>
      </c>
      <c r="F163" s="811" t="s">
        <v>1639</v>
      </c>
      <c r="G163" s="811" t="s">
        <v>1625</v>
      </c>
      <c r="H163" s="811" t="s">
        <v>1626</v>
      </c>
      <c r="I163" s="811" t="s">
        <v>1627</v>
      </c>
      <c r="J163" s="813">
        <v>32300000</v>
      </c>
      <c r="K163" s="811" t="s">
        <v>1628</v>
      </c>
      <c r="L163" s="811" t="s">
        <v>1210</v>
      </c>
      <c r="M163" s="811" t="s">
        <v>1608</v>
      </c>
      <c r="N163" s="811" t="s">
        <v>1608</v>
      </c>
      <c r="O163" s="811" t="s">
        <v>1640</v>
      </c>
      <c r="P163" s="811" t="s">
        <v>1630</v>
      </c>
      <c r="Q163" s="811" t="s">
        <v>1641</v>
      </c>
    </row>
    <row r="164" spans="1:17" x14ac:dyDescent="0.35">
      <c r="A164" s="811" t="s">
        <v>1622</v>
      </c>
      <c r="B164" s="811" t="s">
        <v>1846</v>
      </c>
      <c r="C164" s="812">
        <v>32300000</v>
      </c>
      <c r="D164" s="811" t="s">
        <v>1515</v>
      </c>
      <c r="E164" s="811" t="s">
        <v>1515</v>
      </c>
      <c r="F164" s="811" t="s">
        <v>1639</v>
      </c>
      <c r="G164" s="811" t="s">
        <v>1625</v>
      </c>
      <c r="H164" s="811" t="s">
        <v>1626</v>
      </c>
      <c r="I164" s="811" t="s">
        <v>1627</v>
      </c>
      <c r="J164" s="813">
        <v>32300000</v>
      </c>
      <c r="K164" s="811" t="s">
        <v>1628</v>
      </c>
      <c r="L164" s="811" t="s">
        <v>1210</v>
      </c>
      <c r="M164" s="811" t="s">
        <v>1608</v>
      </c>
      <c r="N164" s="811" t="s">
        <v>1608</v>
      </c>
      <c r="O164" s="811" t="s">
        <v>1640</v>
      </c>
      <c r="P164" s="811" t="s">
        <v>1630</v>
      </c>
      <c r="Q164" s="811" t="s">
        <v>1641</v>
      </c>
    </row>
    <row r="165" spans="1:17" x14ac:dyDescent="0.35">
      <c r="A165" s="811" t="s">
        <v>1622</v>
      </c>
      <c r="B165" s="811" t="s">
        <v>1847</v>
      </c>
      <c r="C165" s="812">
        <v>34850000</v>
      </c>
      <c r="D165" s="811" t="s">
        <v>1515</v>
      </c>
      <c r="E165" s="811" t="s">
        <v>1515</v>
      </c>
      <c r="F165" s="811" t="s">
        <v>1639</v>
      </c>
      <c r="G165" s="811" t="s">
        <v>1625</v>
      </c>
      <c r="H165" s="811" t="s">
        <v>1626</v>
      </c>
      <c r="I165" s="811" t="s">
        <v>1627</v>
      </c>
      <c r="J165" s="813">
        <v>34850000</v>
      </c>
      <c r="K165" s="811" t="s">
        <v>1628</v>
      </c>
      <c r="L165" s="811" t="s">
        <v>1210</v>
      </c>
      <c r="M165" s="811" t="s">
        <v>1608</v>
      </c>
      <c r="N165" s="811" t="s">
        <v>1608</v>
      </c>
      <c r="O165" s="811" t="s">
        <v>1640</v>
      </c>
      <c r="P165" s="811" t="s">
        <v>1630</v>
      </c>
      <c r="Q165" s="811" t="s">
        <v>1641</v>
      </c>
    </row>
    <row r="166" spans="1:17" x14ac:dyDescent="0.35">
      <c r="A166" s="811" t="s">
        <v>1848</v>
      </c>
      <c r="B166" s="811" t="s">
        <v>1849</v>
      </c>
      <c r="C166" s="812">
        <v>583329000</v>
      </c>
      <c r="D166" s="811" t="s">
        <v>1428</v>
      </c>
      <c r="E166" s="811" t="s">
        <v>1428</v>
      </c>
      <c r="F166" s="811" t="s">
        <v>1635</v>
      </c>
      <c r="G166" s="811" t="s">
        <v>1625</v>
      </c>
      <c r="H166" s="811" t="s">
        <v>1626</v>
      </c>
      <c r="I166" s="811" t="s">
        <v>1627</v>
      </c>
      <c r="J166" s="813">
        <v>583329000</v>
      </c>
      <c r="K166" s="811" t="s">
        <v>1628</v>
      </c>
      <c r="L166" s="811" t="s">
        <v>1210</v>
      </c>
      <c r="M166" s="811" t="s">
        <v>1608</v>
      </c>
      <c r="N166" s="811" t="s">
        <v>1608</v>
      </c>
      <c r="O166" s="811" t="s">
        <v>1742</v>
      </c>
      <c r="P166" s="811" t="s">
        <v>1630</v>
      </c>
      <c r="Q166" s="811" t="s">
        <v>1678</v>
      </c>
    </row>
    <row r="167" spans="1:17" x14ac:dyDescent="0.35">
      <c r="A167" s="811" t="s">
        <v>1622</v>
      </c>
      <c r="B167" s="811" t="s">
        <v>1850</v>
      </c>
      <c r="C167" s="812">
        <v>59500000</v>
      </c>
      <c r="D167" s="811" t="s">
        <v>1428</v>
      </c>
      <c r="E167" s="811" t="s">
        <v>1428</v>
      </c>
      <c r="F167" s="811" t="s">
        <v>1671</v>
      </c>
      <c r="G167" s="811" t="s">
        <v>1625</v>
      </c>
      <c r="H167" s="811" t="s">
        <v>1626</v>
      </c>
      <c r="I167" s="811" t="s">
        <v>1627</v>
      </c>
      <c r="J167" s="813">
        <v>59500000</v>
      </c>
      <c r="K167" s="811" t="s">
        <v>1628</v>
      </c>
      <c r="L167" s="811" t="s">
        <v>1210</v>
      </c>
      <c r="M167" s="811" t="s">
        <v>1608</v>
      </c>
      <c r="N167" s="811" t="s">
        <v>1608</v>
      </c>
      <c r="O167" s="811" t="s">
        <v>1654</v>
      </c>
      <c r="P167" s="811" t="s">
        <v>1630</v>
      </c>
      <c r="Q167" s="811" t="s">
        <v>1655</v>
      </c>
    </row>
    <row r="168" spans="1:17" x14ac:dyDescent="0.35">
      <c r="A168" s="811" t="s">
        <v>1622</v>
      </c>
      <c r="B168" s="811" t="s">
        <v>1851</v>
      </c>
      <c r="C168" s="812">
        <v>69750000</v>
      </c>
      <c r="D168" s="811" t="s">
        <v>1420</v>
      </c>
      <c r="E168" s="811" t="s">
        <v>1420</v>
      </c>
      <c r="F168" s="811" t="s">
        <v>1639</v>
      </c>
      <c r="G168" s="811" t="s">
        <v>1625</v>
      </c>
      <c r="H168" s="811" t="s">
        <v>1626</v>
      </c>
      <c r="I168" s="811" t="s">
        <v>1627</v>
      </c>
      <c r="J168" s="813">
        <v>69750000</v>
      </c>
      <c r="K168" s="811" t="s">
        <v>1628</v>
      </c>
      <c r="L168" s="811" t="s">
        <v>1210</v>
      </c>
      <c r="M168" s="811" t="s">
        <v>1608</v>
      </c>
      <c r="N168" s="811" t="s">
        <v>1608</v>
      </c>
      <c r="O168" s="811" t="s">
        <v>1654</v>
      </c>
      <c r="P168" s="811" t="s">
        <v>1630</v>
      </c>
      <c r="Q168" s="811" t="s">
        <v>1655</v>
      </c>
    </row>
    <row r="169" spans="1:17" x14ac:dyDescent="0.35">
      <c r="A169" s="811" t="s">
        <v>1622</v>
      </c>
      <c r="B169" s="811" t="s">
        <v>1852</v>
      </c>
      <c r="C169" s="812">
        <v>69750000</v>
      </c>
      <c r="D169" s="811" t="s">
        <v>1420</v>
      </c>
      <c r="E169" s="811" t="s">
        <v>1420</v>
      </c>
      <c r="F169" s="811" t="s">
        <v>1639</v>
      </c>
      <c r="G169" s="811" t="s">
        <v>1625</v>
      </c>
      <c r="H169" s="811" t="s">
        <v>1626</v>
      </c>
      <c r="I169" s="811" t="s">
        <v>1627</v>
      </c>
      <c r="J169" s="813">
        <v>69750000</v>
      </c>
      <c r="K169" s="811" t="s">
        <v>1628</v>
      </c>
      <c r="L169" s="811" t="s">
        <v>1210</v>
      </c>
      <c r="M169" s="811" t="s">
        <v>1608</v>
      </c>
      <c r="N169" s="811" t="s">
        <v>1608</v>
      </c>
      <c r="O169" s="811" t="s">
        <v>1654</v>
      </c>
      <c r="P169" s="811" t="s">
        <v>1630</v>
      </c>
      <c r="Q169" s="811" t="s">
        <v>1655</v>
      </c>
    </row>
    <row r="170" spans="1:17" x14ac:dyDescent="0.35">
      <c r="A170" s="811" t="s">
        <v>1622</v>
      </c>
      <c r="B170" s="811" t="s">
        <v>1853</v>
      </c>
      <c r="C170" s="812">
        <v>69750000</v>
      </c>
      <c r="D170" s="811" t="s">
        <v>1420</v>
      </c>
      <c r="E170" s="811" t="s">
        <v>1420</v>
      </c>
      <c r="F170" s="811" t="s">
        <v>1639</v>
      </c>
      <c r="G170" s="811" t="s">
        <v>1625</v>
      </c>
      <c r="H170" s="811" t="s">
        <v>1626</v>
      </c>
      <c r="I170" s="811" t="s">
        <v>1627</v>
      </c>
      <c r="J170" s="813">
        <v>69750000</v>
      </c>
      <c r="K170" s="811" t="s">
        <v>1628</v>
      </c>
      <c r="L170" s="811" t="s">
        <v>1210</v>
      </c>
      <c r="M170" s="811" t="s">
        <v>1608</v>
      </c>
      <c r="N170" s="811" t="s">
        <v>1608</v>
      </c>
      <c r="O170" s="811" t="s">
        <v>1654</v>
      </c>
      <c r="P170" s="811" t="s">
        <v>1630</v>
      </c>
      <c r="Q170" s="811" t="s">
        <v>1655</v>
      </c>
    </row>
    <row r="171" spans="1:17" x14ac:dyDescent="0.35">
      <c r="A171" s="811" t="s">
        <v>1622</v>
      </c>
      <c r="B171" s="811" t="s">
        <v>1854</v>
      </c>
      <c r="C171" s="812">
        <v>69750000</v>
      </c>
      <c r="D171" s="811" t="s">
        <v>1420</v>
      </c>
      <c r="E171" s="811" t="s">
        <v>1420</v>
      </c>
      <c r="F171" s="811" t="s">
        <v>1639</v>
      </c>
      <c r="G171" s="811" t="s">
        <v>1625</v>
      </c>
      <c r="H171" s="811" t="s">
        <v>1626</v>
      </c>
      <c r="I171" s="811" t="s">
        <v>1627</v>
      </c>
      <c r="J171" s="813">
        <v>69750000</v>
      </c>
      <c r="K171" s="811" t="s">
        <v>1628</v>
      </c>
      <c r="L171" s="811" t="s">
        <v>1210</v>
      </c>
      <c r="M171" s="811" t="s">
        <v>1608</v>
      </c>
      <c r="N171" s="811" t="s">
        <v>1608</v>
      </c>
      <c r="O171" s="811" t="s">
        <v>1654</v>
      </c>
      <c r="P171" s="811" t="s">
        <v>1630</v>
      </c>
      <c r="Q171" s="811" t="s">
        <v>1655</v>
      </c>
    </row>
    <row r="172" spans="1:17" x14ac:dyDescent="0.35">
      <c r="A172" s="811" t="s">
        <v>1622</v>
      </c>
      <c r="B172" s="811" t="s">
        <v>1855</v>
      </c>
      <c r="C172" s="812">
        <v>43380000</v>
      </c>
      <c r="D172" s="811" t="s">
        <v>1420</v>
      </c>
      <c r="E172" s="811" t="s">
        <v>1420</v>
      </c>
      <c r="F172" s="811" t="s">
        <v>1639</v>
      </c>
      <c r="G172" s="811" t="s">
        <v>1625</v>
      </c>
      <c r="H172" s="811" t="s">
        <v>1626</v>
      </c>
      <c r="I172" s="811" t="s">
        <v>1627</v>
      </c>
      <c r="J172" s="813">
        <v>43380000</v>
      </c>
      <c r="K172" s="811" t="s">
        <v>1628</v>
      </c>
      <c r="L172" s="811" t="s">
        <v>1210</v>
      </c>
      <c r="M172" s="811" t="s">
        <v>1608</v>
      </c>
      <c r="N172" s="811" t="s">
        <v>1608</v>
      </c>
      <c r="O172" s="811" t="s">
        <v>1654</v>
      </c>
      <c r="P172" s="811" t="s">
        <v>1630</v>
      </c>
      <c r="Q172" s="811" t="s">
        <v>1655</v>
      </c>
    </row>
    <row r="173" spans="1:17" x14ac:dyDescent="0.35">
      <c r="A173" s="811" t="s">
        <v>1622</v>
      </c>
      <c r="B173" s="811" t="s">
        <v>1856</v>
      </c>
      <c r="C173" s="812">
        <v>69750000</v>
      </c>
      <c r="D173" s="811" t="s">
        <v>1420</v>
      </c>
      <c r="E173" s="811" t="s">
        <v>1420</v>
      </c>
      <c r="F173" s="811" t="s">
        <v>1639</v>
      </c>
      <c r="G173" s="811" t="s">
        <v>1625</v>
      </c>
      <c r="H173" s="811" t="s">
        <v>1626</v>
      </c>
      <c r="I173" s="811" t="s">
        <v>1627</v>
      </c>
      <c r="J173" s="813">
        <v>69750000</v>
      </c>
      <c r="K173" s="811" t="s">
        <v>1628</v>
      </c>
      <c r="L173" s="811" t="s">
        <v>1210</v>
      </c>
      <c r="M173" s="811" t="s">
        <v>1608</v>
      </c>
      <c r="N173" s="811" t="s">
        <v>1608</v>
      </c>
      <c r="O173" s="811" t="s">
        <v>1654</v>
      </c>
      <c r="P173" s="811" t="s">
        <v>1630</v>
      </c>
      <c r="Q173" s="811" t="s">
        <v>1655</v>
      </c>
    </row>
    <row r="174" spans="1:17" x14ac:dyDescent="0.35">
      <c r="A174" s="811" t="s">
        <v>1622</v>
      </c>
      <c r="B174" s="811" t="s">
        <v>1857</v>
      </c>
      <c r="C174" s="812">
        <v>49000000</v>
      </c>
      <c r="D174" s="811" t="s">
        <v>1428</v>
      </c>
      <c r="E174" s="811" t="s">
        <v>1428</v>
      </c>
      <c r="F174" s="811" t="s">
        <v>1671</v>
      </c>
      <c r="G174" s="811" t="s">
        <v>1625</v>
      </c>
      <c r="H174" s="811" t="s">
        <v>1626</v>
      </c>
      <c r="I174" s="811" t="s">
        <v>1627</v>
      </c>
      <c r="J174" s="813">
        <v>49000000</v>
      </c>
      <c r="K174" s="811" t="s">
        <v>1628</v>
      </c>
      <c r="L174" s="811" t="s">
        <v>1210</v>
      </c>
      <c r="M174" s="811" t="s">
        <v>1608</v>
      </c>
      <c r="N174" s="811" t="s">
        <v>1608</v>
      </c>
      <c r="O174" s="811" t="s">
        <v>1654</v>
      </c>
      <c r="P174" s="811" t="s">
        <v>1630</v>
      </c>
      <c r="Q174" s="811" t="s">
        <v>1655</v>
      </c>
    </row>
    <row r="175" spans="1:17" x14ac:dyDescent="0.35">
      <c r="A175" s="811" t="s">
        <v>1622</v>
      </c>
      <c r="B175" s="811" t="s">
        <v>1858</v>
      </c>
      <c r="C175" s="812">
        <v>99000000</v>
      </c>
      <c r="D175" s="811" t="s">
        <v>1420</v>
      </c>
      <c r="E175" s="811" t="s">
        <v>1420</v>
      </c>
      <c r="F175" s="811" t="s">
        <v>1639</v>
      </c>
      <c r="G175" s="811" t="s">
        <v>1625</v>
      </c>
      <c r="H175" s="811" t="s">
        <v>1626</v>
      </c>
      <c r="I175" s="811" t="s">
        <v>1627</v>
      </c>
      <c r="J175" s="813">
        <v>99000000</v>
      </c>
      <c r="K175" s="811" t="s">
        <v>1628</v>
      </c>
      <c r="L175" s="811" t="s">
        <v>1210</v>
      </c>
      <c r="M175" s="811" t="s">
        <v>1608</v>
      </c>
      <c r="N175" s="811" t="s">
        <v>1608</v>
      </c>
      <c r="O175" s="811" t="s">
        <v>1654</v>
      </c>
      <c r="P175" s="811" t="s">
        <v>1630</v>
      </c>
      <c r="Q175" s="811" t="s">
        <v>1655</v>
      </c>
    </row>
    <row r="176" spans="1:17" x14ac:dyDescent="0.35">
      <c r="A176" s="811" t="s">
        <v>1622</v>
      </c>
      <c r="B176" s="811" t="s">
        <v>1859</v>
      </c>
      <c r="C176" s="812">
        <v>99000000</v>
      </c>
      <c r="D176" s="811" t="s">
        <v>1420</v>
      </c>
      <c r="E176" s="811" t="s">
        <v>1420</v>
      </c>
      <c r="F176" s="811" t="s">
        <v>1639</v>
      </c>
      <c r="G176" s="811" t="s">
        <v>1625</v>
      </c>
      <c r="H176" s="811" t="s">
        <v>1626</v>
      </c>
      <c r="I176" s="811" t="s">
        <v>1627</v>
      </c>
      <c r="J176" s="813">
        <v>99000000</v>
      </c>
      <c r="K176" s="811" t="s">
        <v>1628</v>
      </c>
      <c r="L176" s="811" t="s">
        <v>1210</v>
      </c>
      <c r="M176" s="811" t="s">
        <v>1608</v>
      </c>
      <c r="N176" s="811" t="s">
        <v>1608</v>
      </c>
      <c r="O176" s="811" t="s">
        <v>1654</v>
      </c>
      <c r="P176" s="811" t="s">
        <v>1630</v>
      </c>
      <c r="Q176" s="811" t="s">
        <v>1655</v>
      </c>
    </row>
    <row r="177" spans="1:17" x14ac:dyDescent="0.35">
      <c r="A177" s="811" t="s">
        <v>1622</v>
      </c>
      <c r="B177" s="811" t="s">
        <v>1860</v>
      </c>
      <c r="C177" s="812">
        <v>53100000</v>
      </c>
      <c r="D177" s="811" t="s">
        <v>1420</v>
      </c>
      <c r="E177" s="811" t="s">
        <v>1420</v>
      </c>
      <c r="F177" s="811" t="s">
        <v>1639</v>
      </c>
      <c r="G177" s="811" t="s">
        <v>1625</v>
      </c>
      <c r="H177" s="811" t="s">
        <v>1626</v>
      </c>
      <c r="I177" s="811" t="s">
        <v>1627</v>
      </c>
      <c r="J177" s="813">
        <v>53100000</v>
      </c>
      <c r="K177" s="811" t="s">
        <v>1628</v>
      </c>
      <c r="L177" s="811" t="s">
        <v>1210</v>
      </c>
      <c r="M177" s="811" t="s">
        <v>1608</v>
      </c>
      <c r="N177" s="811" t="s">
        <v>1608</v>
      </c>
      <c r="O177" s="811" t="s">
        <v>1654</v>
      </c>
      <c r="P177" s="811" t="s">
        <v>1861</v>
      </c>
      <c r="Q177" s="811" t="s">
        <v>1655</v>
      </c>
    </row>
    <row r="178" spans="1:17" x14ac:dyDescent="0.35">
      <c r="A178" s="811" t="s">
        <v>1622</v>
      </c>
      <c r="B178" s="811" t="s">
        <v>1862</v>
      </c>
      <c r="C178" s="812">
        <v>63000000</v>
      </c>
      <c r="D178" s="811" t="s">
        <v>1420</v>
      </c>
      <c r="E178" s="811" t="s">
        <v>1420</v>
      </c>
      <c r="F178" s="811" t="s">
        <v>1639</v>
      </c>
      <c r="G178" s="811" t="s">
        <v>1625</v>
      </c>
      <c r="H178" s="811" t="s">
        <v>1626</v>
      </c>
      <c r="I178" s="811" t="s">
        <v>1627</v>
      </c>
      <c r="J178" s="813">
        <v>63000000</v>
      </c>
      <c r="K178" s="811" t="s">
        <v>1628</v>
      </c>
      <c r="L178" s="811" t="s">
        <v>1210</v>
      </c>
      <c r="M178" s="811" t="s">
        <v>1608</v>
      </c>
      <c r="N178" s="811" t="s">
        <v>1608</v>
      </c>
      <c r="O178" s="811" t="s">
        <v>1654</v>
      </c>
      <c r="P178" s="811" t="s">
        <v>1863</v>
      </c>
      <c r="Q178" s="811" t="s">
        <v>1655</v>
      </c>
    </row>
    <row r="179" spans="1:17" x14ac:dyDescent="0.35">
      <c r="A179" s="811" t="s">
        <v>1622</v>
      </c>
      <c r="B179" s="811" t="s">
        <v>1864</v>
      </c>
      <c r="C179" s="812">
        <v>53148771</v>
      </c>
      <c r="D179" s="811" t="s">
        <v>1420</v>
      </c>
      <c r="E179" s="811" t="s">
        <v>1420</v>
      </c>
      <c r="F179" s="811" t="s">
        <v>1639</v>
      </c>
      <c r="G179" s="811" t="s">
        <v>1625</v>
      </c>
      <c r="H179" s="811" t="s">
        <v>1626</v>
      </c>
      <c r="I179" s="811" t="s">
        <v>1627</v>
      </c>
      <c r="J179" s="813">
        <v>53148771</v>
      </c>
      <c r="K179" s="811" t="s">
        <v>1628</v>
      </c>
      <c r="L179" s="811" t="s">
        <v>1210</v>
      </c>
      <c r="M179" s="811" t="s">
        <v>1608</v>
      </c>
      <c r="N179" s="811" t="s">
        <v>1608</v>
      </c>
      <c r="O179" s="811" t="s">
        <v>1654</v>
      </c>
      <c r="P179" s="811" t="s">
        <v>1630</v>
      </c>
      <c r="Q179" s="811" t="s">
        <v>1655</v>
      </c>
    </row>
    <row r="180" spans="1:17" x14ac:dyDescent="0.35">
      <c r="A180" s="811" t="s">
        <v>1622</v>
      </c>
      <c r="B180" s="811" t="s">
        <v>1865</v>
      </c>
      <c r="C180" s="812">
        <v>55800000</v>
      </c>
      <c r="D180" s="811" t="s">
        <v>1420</v>
      </c>
      <c r="E180" s="811" t="s">
        <v>1420</v>
      </c>
      <c r="F180" s="811" t="s">
        <v>1639</v>
      </c>
      <c r="G180" s="811" t="s">
        <v>1625</v>
      </c>
      <c r="H180" s="811" t="s">
        <v>1626</v>
      </c>
      <c r="I180" s="811" t="s">
        <v>1627</v>
      </c>
      <c r="J180" s="813">
        <v>55800000</v>
      </c>
      <c r="K180" s="811" t="s">
        <v>1628</v>
      </c>
      <c r="L180" s="811" t="s">
        <v>1210</v>
      </c>
      <c r="M180" s="811" t="s">
        <v>1608</v>
      </c>
      <c r="N180" s="811" t="s">
        <v>1608</v>
      </c>
      <c r="O180" s="811" t="s">
        <v>1654</v>
      </c>
      <c r="P180" s="811" t="s">
        <v>1630</v>
      </c>
      <c r="Q180" s="811" t="s">
        <v>1655</v>
      </c>
    </row>
    <row r="181" spans="1:17" x14ac:dyDescent="0.35">
      <c r="A181" s="811" t="s">
        <v>1622</v>
      </c>
      <c r="B181" s="811" t="s">
        <v>1866</v>
      </c>
      <c r="C181" s="812">
        <v>60300000</v>
      </c>
      <c r="D181" s="811" t="s">
        <v>1420</v>
      </c>
      <c r="E181" s="811" t="s">
        <v>1420</v>
      </c>
      <c r="F181" s="811" t="s">
        <v>1639</v>
      </c>
      <c r="G181" s="811" t="s">
        <v>1625</v>
      </c>
      <c r="H181" s="811" t="s">
        <v>1626</v>
      </c>
      <c r="I181" s="811" t="s">
        <v>1627</v>
      </c>
      <c r="J181" s="813">
        <v>60300000</v>
      </c>
      <c r="K181" s="811" t="s">
        <v>1628</v>
      </c>
      <c r="L181" s="811" t="s">
        <v>1210</v>
      </c>
      <c r="M181" s="811" t="s">
        <v>1608</v>
      </c>
      <c r="N181" s="811" t="s">
        <v>1608</v>
      </c>
      <c r="O181" s="811" t="s">
        <v>1654</v>
      </c>
      <c r="P181" s="811" t="s">
        <v>1630</v>
      </c>
      <c r="Q181" s="811" t="s">
        <v>1655</v>
      </c>
    </row>
    <row r="182" spans="1:17" x14ac:dyDescent="0.35">
      <c r="A182" s="811" t="s">
        <v>1622</v>
      </c>
      <c r="B182" s="811" t="s">
        <v>1867</v>
      </c>
      <c r="C182" s="812">
        <v>45500000</v>
      </c>
      <c r="D182" s="811" t="s">
        <v>1428</v>
      </c>
      <c r="E182" s="811" t="s">
        <v>1428</v>
      </c>
      <c r="F182" s="811" t="s">
        <v>1671</v>
      </c>
      <c r="G182" s="811" t="s">
        <v>1625</v>
      </c>
      <c r="H182" s="811" t="s">
        <v>1626</v>
      </c>
      <c r="I182" s="811" t="s">
        <v>1627</v>
      </c>
      <c r="J182" s="813">
        <v>45500000</v>
      </c>
      <c r="K182" s="811" t="s">
        <v>1628</v>
      </c>
      <c r="L182" s="811" t="s">
        <v>1210</v>
      </c>
      <c r="M182" s="811" t="s">
        <v>1608</v>
      </c>
      <c r="N182" s="811" t="s">
        <v>1608</v>
      </c>
      <c r="O182" s="811" t="s">
        <v>1654</v>
      </c>
      <c r="P182" s="811" t="s">
        <v>1630</v>
      </c>
      <c r="Q182" s="811" t="s">
        <v>1655</v>
      </c>
    </row>
    <row r="183" spans="1:17" x14ac:dyDescent="0.35">
      <c r="A183" s="811" t="s">
        <v>1622</v>
      </c>
      <c r="B183" s="811" t="s">
        <v>1868</v>
      </c>
      <c r="C183" s="812">
        <v>31798410</v>
      </c>
      <c r="D183" s="811" t="s">
        <v>1420</v>
      </c>
      <c r="E183" s="811" t="s">
        <v>1420</v>
      </c>
      <c r="F183" s="811" t="s">
        <v>1658</v>
      </c>
      <c r="G183" s="811" t="s">
        <v>1625</v>
      </c>
      <c r="H183" s="811" t="s">
        <v>1626</v>
      </c>
      <c r="I183" s="811" t="s">
        <v>1627</v>
      </c>
      <c r="J183" s="813">
        <v>31798410</v>
      </c>
      <c r="K183" s="811" t="s">
        <v>1628</v>
      </c>
      <c r="L183" s="811" t="s">
        <v>1210</v>
      </c>
      <c r="M183" s="811" t="s">
        <v>1608</v>
      </c>
      <c r="N183" s="811" t="s">
        <v>1608</v>
      </c>
      <c r="O183" s="811" t="s">
        <v>1818</v>
      </c>
      <c r="P183" s="811" t="s">
        <v>1630</v>
      </c>
      <c r="Q183" s="811" t="s">
        <v>1683</v>
      </c>
    </row>
    <row r="184" spans="1:17" x14ac:dyDescent="0.35">
      <c r="A184" s="811" t="s">
        <v>1622</v>
      </c>
      <c r="B184" s="811" t="s">
        <v>1869</v>
      </c>
      <c r="C184" s="812">
        <v>89035548</v>
      </c>
      <c r="D184" s="811" t="s">
        <v>1420</v>
      </c>
      <c r="E184" s="811" t="s">
        <v>1420</v>
      </c>
      <c r="F184" s="811" t="s">
        <v>1658</v>
      </c>
      <c r="G184" s="811" t="s">
        <v>1625</v>
      </c>
      <c r="H184" s="811" t="s">
        <v>1626</v>
      </c>
      <c r="I184" s="811" t="s">
        <v>1627</v>
      </c>
      <c r="J184" s="813">
        <v>89035548</v>
      </c>
      <c r="K184" s="811" t="s">
        <v>1628</v>
      </c>
      <c r="L184" s="811" t="s">
        <v>1210</v>
      </c>
      <c r="M184" s="811" t="s">
        <v>1608</v>
      </c>
      <c r="N184" s="811" t="s">
        <v>1608</v>
      </c>
      <c r="O184" s="811" t="s">
        <v>1818</v>
      </c>
      <c r="P184" s="811" t="s">
        <v>1630</v>
      </c>
      <c r="Q184" s="811" t="s">
        <v>1683</v>
      </c>
    </row>
    <row r="185" spans="1:17" x14ac:dyDescent="0.35">
      <c r="A185" s="811" t="s">
        <v>1622</v>
      </c>
      <c r="B185" s="811" t="s">
        <v>1870</v>
      </c>
      <c r="C185" s="812">
        <v>63000000</v>
      </c>
      <c r="D185" s="811" t="s">
        <v>1515</v>
      </c>
      <c r="E185" s="811" t="s">
        <v>1515</v>
      </c>
      <c r="F185" s="811" t="s">
        <v>1639</v>
      </c>
      <c r="G185" s="811" t="s">
        <v>1625</v>
      </c>
      <c r="H185" s="811" t="s">
        <v>1626</v>
      </c>
      <c r="I185" s="811" t="s">
        <v>1627</v>
      </c>
      <c r="J185" s="813">
        <v>63000000</v>
      </c>
      <c r="K185" s="811" t="s">
        <v>1628</v>
      </c>
      <c r="L185" s="811" t="s">
        <v>1210</v>
      </c>
      <c r="M185" s="811" t="s">
        <v>1608</v>
      </c>
      <c r="N185" s="811" t="s">
        <v>1608</v>
      </c>
      <c r="O185" s="811" t="s">
        <v>1818</v>
      </c>
      <c r="P185" s="811" t="s">
        <v>1630</v>
      </c>
      <c r="Q185" s="811" t="s">
        <v>1683</v>
      </c>
    </row>
    <row r="186" spans="1:17" x14ac:dyDescent="0.35">
      <c r="A186" s="811" t="s">
        <v>1622</v>
      </c>
      <c r="B186" s="811" t="s">
        <v>1871</v>
      </c>
      <c r="C186" s="812">
        <v>40883670</v>
      </c>
      <c r="D186" s="811" t="s">
        <v>1420</v>
      </c>
      <c r="E186" s="811" t="s">
        <v>1420</v>
      </c>
      <c r="F186" s="811" t="s">
        <v>1658</v>
      </c>
      <c r="G186" s="811" t="s">
        <v>1625</v>
      </c>
      <c r="H186" s="811" t="s">
        <v>1626</v>
      </c>
      <c r="I186" s="811" t="s">
        <v>1627</v>
      </c>
      <c r="J186" s="813">
        <v>40883670</v>
      </c>
      <c r="K186" s="811" t="s">
        <v>1628</v>
      </c>
      <c r="L186" s="811" t="s">
        <v>1210</v>
      </c>
      <c r="M186" s="811" t="s">
        <v>1608</v>
      </c>
      <c r="N186" s="811" t="s">
        <v>1608</v>
      </c>
      <c r="O186" s="811" t="s">
        <v>1818</v>
      </c>
      <c r="P186" s="811" t="s">
        <v>1630</v>
      </c>
      <c r="Q186" s="811" t="s">
        <v>1683</v>
      </c>
    </row>
    <row r="187" spans="1:17" x14ac:dyDescent="0.35">
      <c r="A187" s="811" t="s">
        <v>1622</v>
      </c>
      <c r="B187" s="811" t="s">
        <v>1872</v>
      </c>
      <c r="C187" s="812">
        <v>49060404</v>
      </c>
      <c r="D187" s="811" t="s">
        <v>1420</v>
      </c>
      <c r="E187" s="811" t="s">
        <v>1420</v>
      </c>
      <c r="F187" s="811" t="s">
        <v>1658</v>
      </c>
      <c r="G187" s="811" t="s">
        <v>1625</v>
      </c>
      <c r="H187" s="811" t="s">
        <v>1626</v>
      </c>
      <c r="I187" s="811" t="s">
        <v>1627</v>
      </c>
      <c r="J187" s="813">
        <v>49060404</v>
      </c>
      <c r="K187" s="811" t="s">
        <v>1628</v>
      </c>
      <c r="L187" s="811" t="s">
        <v>1210</v>
      </c>
      <c r="M187" s="811" t="s">
        <v>1608</v>
      </c>
      <c r="N187" s="811" t="s">
        <v>1608</v>
      </c>
      <c r="O187" s="811" t="s">
        <v>1818</v>
      </c>
      <c r="P187" s="811" t="s">
        <v>1630</v>
      </c>
      <c r="Q187" s="811" t="s">
        <v>1683</v>
      </c>
    </row>
    <row r="188" spans="1:17" x14ac:dyDescent="0.35">
      <c r="A188" s="811" t="s">
        <v>1622</v>
      </c>
      <c r="B188" s="811" t="s">
        <v>1873</v>
      </c>
      <c r="C188" s="812">
        <v>22713150</v>
      </c>
      <c r="D188" s="811" t="s">
        <v>1420</v>
      </c>
      <c r="E188" s="811" t="s">
        <v>1420</v>
      </c>
      <c r="F188" s="811" t="s">
        <v>1658</v>
      </c>
      <c r="G188" s="811" t="s">
        <v>1625</v>
      </c>
      <c r="H188" s="811" t="s">
        <v>1626</v>
      </c>
      <c r="I188" s="811" t="s">
        <v>1627</v>
      </c>
      <c r="J188" s="813">
        <v>22713150</v>
      </c>
      <c r="K188" s="811" t="s">
        <v>1628</v>
      </c>
      <c r="L188" s="811" t="s">
        <v>1210</v>
      </c>
      <c r="M188" s="811" t="s">
        <v>1608</v>
      </c>
      <c r="N188" s="811" t="s">
        <v>1608</v>
      </c>
      <c r="O188" s="811" t="s">
        <v>1818</v>
      </c>
      <c r="P188" s="811" t="s">
        <v>1630</v>
      </c>
      <c r="Q188" s="811" t="s">
        <v>1683</v>
      </c>
    </row>
    <row r="189" spans="1:17" x14ac:dyDescent="0.35">
      <c r="A189" s="811" t="s">
        <v>1874</v>
      </c>
      <c r="B189" s="811" t="s">
        <v>1875</v>
      </c>
      <c r="C189" s="812">
        <v>59000000</v>
      </c>
      <c r="D189" s="811" t="s">
        <v>1515</v>
      </c>
      <c r="E189" s="811" t="s">
        <v>1515</v>
      </c>
      <c r="F189" s="811" t="s">
        <v>1691</v>
      </c>
      <c r="G189" s="811" t="s">
        <v>1625</v>
      </c>
      <c r="H189" s="811" t="s">
        <v>1550</v>
      </c>
      <c r="I189" s="811" t="s">
        <v>1627</v>
      </c>
      <c r="J189" s="813">
        <v>59000000</v>
      </c>
      <c r="K189" s="811" t="s">
        <v>1628</v>
      </c>
      <c r="L189" s="811" t="s">
        <v>1210</v>
      </c>
      <c r="M189" s="811" t="s">
        <v>1608</v>
      </c>
      <c r="N189" s="811" t="s">
        <v>1608</v>
      </c>
      <c r="O189" s="811" t="s">
        <v>1818</v>
      </c>
      <c r="P189" s="811" t="s">
        <v>1630</v>
      </c>
      <c r="Q189" s="811" t="s">
        <v>1683</v>
      </c>
    </row>
    <row r="190" spans="1:17" x14ac:dyDescent="0.35">
      <c r="A190" s="811" t="s">
        <v>1622</v>
      </c>
      <c r="B190" s="811" t="s">
        <v>1876</v>
      </c>
      <c r="C190" s="812">
        <v>28618569</v>
      </c>
      <c r="D190" s="811" t="s">
        <v>1515</v>
      </c>
      <c r="E190" s="811" t="s">
        <v>1515</v>
      </c>
      <c r="F190" s="811" t="s">
        <v>1639</v>
      </c>
      <c r="G190" s="811" t="s">
        <v>1625</v>
      </c>
      <c r="H190" s="811" t="s">
        <v>1626</v>
      </c>
      <c r="I190" s="811" t="s">
        <v>1627</v>
      </c>
      <c r="J190" s="813">
        <v>28618569</v>
      </c>
      <c r="K190" s="811" t="s">
        <v>1628</v>
      </c>
      <c r="L190" s="811" t="s">
        <v>1210</v>
      </c>
      <c r="M190" s="811" t="s">
        <v>1608</v>
      </c>
      <c r="N190" s="811" t="s">
        <v>1608</v>
      </c>
      <c r="O190" s="811" t="s">
        <v>1818</v>
      </c>
      <c r="P190" s="811" t="s">
        <v>1630</v>
      </c>
      <c r="Q190" s="811" t="s">
        <v>1683</v>
      </c>
    </row>
    <row r="191" spans="1:17" x14ac:dyDescent="0.35">
      <c r="A191" s="811" t="s">
        <v>1622</v>
      </c>
      <c r="B191" s="811" t="s">
        <v>1877</v>
      </c>
      <c r="C191" s="812">
        <v>32706936</v>
      </c>
      <c r="D191" s="811" t="s">
        <v>1515</v>
      </c>
      <c r="E191" s="811" t="s">
        <v>1515</v>
      </c>
      <c r="F191" s="811" t="s">
        <v>1639</v>
      </c>
      <c r="G191" s="811" t="s">
        <v>1625</v>
      </c>
      <c r="H191" s="811" t="s">
        <v>1626</v>
      </c>
      <c r="I191" s="811" t="s">
        <v>1627</v>
      </c>
      <c r="J191" s="813">
        <v>32706936</v>
      </c>
      <c r="K191" s="811" t="s">
        <v>1628</v>
      </c>
      <c r="L191" s="811" t="s">
        <v>1210</v>
      </c>
      <c r="M191" s="811" t="s">
        <v>1608</v>
      </c>
      <c r="N191" s="811" t="s">
        <v>1608</v>
      </c>
      <c r="O191" s="811" t="s">
        <v>1818</v>
      </c>
      <c r="P191" s="811" t="s">
        <v>1630</v>
      </c>
      <c r="Q191" s="811" t="s">
        <v>1683</v>
      </c>
    </row>
    <row r="192" spans="1:17" x14ac:dyDescent="0.35">
      <c r="A192" s="811" t="s">
        <v>1622</v>
      </c>
      <c r="B192" s="811" t="s">
        <v>1878</v>
      </c>
      <c r="C192" s="812">
        <v>36795303</v>
      </c>
      <c r="D192" s="811" t="s">
        <v>1515</v>
      </c>
      <c r="E192" s="811" t="s">
        <v>1515</v>
      </c>
      <c r="F192" s="811" t="s">
        <v>1639</v>
      </c>
      <c r="G192" s="811" t="s">
        <v>1625</v>
      </c>
      <c r="H192" s="811" t="s">
        <v>1626</v>
      </c>
      <c r="I192" s="811" t="s">
        <v>1627</v>
      </c>
      <c r="J192" s="813">
        <v>36795303</v>
      </c>
      <c r="K192" s="811" t="s">
        <v>1628</v>
      </c>
      <c r="L192" s="811" t="s">
        <v>1210</v>
      </c>
      <c r="M192" s="811" t="s">
        <v>1608</v>
      </c>
      <c r="N192" s="811" t="s">
        <v>1608</v>
      </c>
      <c r="O192" s="811" t="s">
        <v>1818</v>
      </c>
      <c r="P192" s="811" t="s">
        <v>1630</v>
      </c>
      <c r="Q192" s="811" t="s">
        <v>1683</v>
      </c>
    </row>
    <row r="193" spans="1:17" x14ac:dyDescent="0.35">
      <c r="A193" s="811" t="s">
        <v>1622</v>
      </c>
      <c r="B193" s="811" t="s">
        <v>1879</v>
      </c>
      <c r="C193" s="812">
        <v>32706936</v>
      </c>
      <c r="D193" s="811" t="s">
        <v>1515</v>
      </c>
      <c r="E193" s="811" t="s">
        <v>1515</v>
      </c>
      <c r="F193" s="811" t="s">
        <v>1639</v>
      </c>
      <c r="G193" s="811" t="s">
        <v>1625</v>
      </c>
      <c r="H193" s="811" t="s">
        <v>1626</v>
      </c>
      <c r="I193" s="811" t="s">
        <v>1627</v>
      </c>
      <c r="J193" s="813">
        <v>32706936</v>
      </c>
      <c r="K193" s="811" t="s">
        <v>1628</v>
      </c>
      <c r="L193" s="811" t="s">
        <v>1210</v>
      </c>
      <c r="M193" s="811" t="s">
        <v>1608</v>
      </c>
      <c r="N193" s="811" t="s">
        <v>1608</v>
      </c>
      <c r="O193" s="811" t="s">
        <v>1818</v>
      </c>
      <c r="P193" s="811" t="s">
        <v>1630</v>
      </c>
      <c r="Q193" s="811" t="s">
        <v>1683</v>
      </c>
    </row>
    <row r="194" spans="1:17" x14ac:dyDescent="0.35">
      <c r="A194" s="811" t="s">
        <v>1622</v>
      </c>
      <c r="B194" s="811" t="s">
        <v>1880</v>
      </c>
      <c r="C194" s="812">
        <v>36795303</v>
      </c>
      <c r="D194" s="811" t="s">
        <v>1515</v>
      </c>
      <c r="E194" s="811" t="s">
        <v>1515</v>
      </c>
      <c r="F194" s="811" t="s">
        <v>1639</v>
      </c>
      <c r="G194" s="811" t="s">
        <v>1625</v>
      </c>
      <c r="H194" s="811" t="s">
        <v>1626</v>
      </c>
      <c r="I194" s="811" t="s">
        <v>1627</v>
      </c>
      <c r="J194" s="813">
        <v>36795303</v>
      </c>
      <c r="K194" s="811" t="s">
        <v>1628</v>
      </c>
      <c r="L194" s="811" t="s">
        <v>1210</v>
      </c>
      <c r="M194" s="811" t="s">
        <v>1608</v>
      </c>
      <c r="N194" s="811" t="s">
        <v>1608</v>
      </c>
      <c r="O194" s="811" t="s">
        <v>1818</v>
      </c>
      <c r="P194" s="811" t="s">
        <v>1630</v>
      </c>
      <c r="Q194" s="811" t="s">
        <v>1683</v>
      </c>
    </row>
    <row r="195" spans="1:17" x14ac:dyDescent="0.35">
      <c r="A195" s="811" t="s">
        <v>1622</v>
      </c>
      <c r="B195" s="811" t="s">
        <v>1881</v>
      </c>
      <c r="C195" s="812">
        <v>53148771</v>
      </c>
      <c r="D195" s="811" t="s">
        <v>1515</v>
      </c>
      <c r="E195" s="811" t="s">
        <v>1515</v>
      </c>
      <c r="F195" s="811" t="s">
        <v>1639</v>
      </c>
      <c r="G195" s="811" t="s">
        <v>1625</v>
      </c>
      <c r="H195" s="811" t="s">
        <v>1626</v>
      </c>
      <c r="I195" s="811" t="s">
        <v>1627</v>
      </c>
      <c r="J195" s="813">
        <v>53148771</v>
      </c>
      <c r="K195" s="811" t="s">
        <v>1628</v>
      </c>
      <c r="L195" s="811" t="s">
        <v>1210</v>
      </c>
      <c r="M195" s="811" t="s">
        <v>1608</v>
      </c>
      <c r="N195" s="811" t="s">
        <v>1608</v>
      </c>
      <c r="O195" s="811" t="s">
        <v>1818</v>
      </c>
      <c r="P195" s="811" t="s">
        <v>1630</v>
      </c>
      <c r="Q195" s="811" t="s">
        <v>1683</v>
      </c>
    </row>
    <row r="196" spans="1:17" x14ac:dyDescent="0.35">
      <c r="A196" s="811" t="s">
        <v>1622</v>
      </c>
      <c r="B196" s="811" t="s">
        <v>1882</v>
      </c>
      <c r="C196" s="812">
        <v>36795303</v>
      </c>
      <c r="D196" s="811" t="s">
        <v>1515</v>
      </c>
      <c r="E196" s="811" t="s">
        <v>1515</v>
      </c>
      <c r="F196" s="811" t="s">
        <v>1639</v>
      </c>
      <c r="G196" s="811" t="s">
        <v>1625</v>
      </c>
      <c r="H196" s="811" t="s">
        <v>1626</v>
      </c>
      <c r="I196" s="811" t="s">
        <v>1627</v>
      </c>
      <c r="J196" s="813">
        <v>36795303</v>
      </c>
      <c r="K196" s="811" t="s">
        <v>1628</v>
      </c>
      <c r="L196" s="811" t="s">
        <v>1210</v>
      </c>
      <c r="M196" s="811" t="s">
        <v>1608</v>
      </c>
      <c r="N196" s="811" t="s">
        <v>1608</v>
      </c>
      <c r="O196" s="811" t="s">
        <v>1818</v>
      </c>
      <c r="P196" s="811" t="s">
        <v>1630</v>
      </c>
      <c r="Q196" s="811" t="s">
        <v>1683</v>
      </c>
    </row>
    <row r="197" spans="1:17" x14ac:dyDescent="0.35">
      <c r="A197" s="811" t="s">
        <v>1622</v>
      </c>
      <c r="B197" s="811" t="s">
        <v>1883</v>
      </c>
      <c r="C197" s="812">
        <v>28618569</v>
      </c>
      <c r="D197" s="811" t="s">
        <v>1515</v>
      </c>
      <c r="E197" s="811" t="s">
        <v>1515</v>
      </c>
      <c r="F197" s="811" t="s">
        <v>1639</v>
      </c>
      <c r="G197" s="811" t="s">
        <v>1625</v>
      </c>
      <c r="H197" s="811" t="s">
        <v>1626</v>
      </c>
      <c r="I197" s="811" t="s">
        <v>1627</v>
      </c>
      <c r="J197" s="813">
        <v>28618569</v>
      </c>
      <c r="K197" s="811" t="s">
        <v>1628</v>
      </c>
      <c r="L197" s="811" t="s">
        <v>1210</v>
      </c>
      <c r="M197" s="811" t="s">
        <v>1608</v>
      </c>
      <c r="N197" s="811" t="s">
        <v>1608</v>
      </c>
      <c r="O197" s="811" t="s">
        <v>1818</v>
      </c>
      <c r="P197" s="811" t="s">
        <v>1630</v>
      </c>
      <c r="Q197" s="811" t="s">
        <v>1683</v>
      </c>
    </row>
    <row r="198" spans="1:17" x14ac:dyDescent="0.35">
      <c r="A198" s="811" t="s">
        <v>1622</v>
      </c>
      <c r="B198" s="811" t="s">
        <v>1884</v>
      </c>
      <c r="C198" s="812">
        <v>24530202</v>
      </c>
      <c r="D198" s="811" t="s">
        <v>1515</v>
      </c>
      <c r="E198" s="811" t="s">
        <v>1515</v>
      </c>
      <c r="F198" s="811" t="s">
        <v>1639</v>
      </c>
      <c r="G198" s="811" t="s">
        <v>1625</v>
      </c>
      <c r="H198" s="811" t="s">
        <v>1626</v>
      </c>
      <c r="I198" s="811" t="s">
        <v>1627</v>
      </c>
      <c r="J198" s="813">
        <v>24530202</v>
      </c>
      <c r="K198" s="811" t="s">
        <v>1628</v>
      </c>
      <c r="L198" s="811" t="s">
        <v>1210</v>
      </c>
      <c r="M198" s="811" t="s">
        <v>1608</v>
      </c>
      <c r="N198" s="811" t="s">
        <v>1608</v>
      </c>
      <c r="O198" s="811" t="s">
        <v>1818</v>
      </c>
      <c r="P198" s="811" t="s">
        <v>1630</v>
      </c>
      <c r="Q198" s="811" t="s">
        <v>1683</v>
      </c>
    </row>
    <row r="199" spans="1:17" x14ac:dyDescent="0.35">
      <c r="A199" s="811" t="s">
        <v>1622</v>
      </c>
      <c r="B199" s="811" t="s">
        <v>1885</v>
      </c>
      <c r="C199" s="812">
        <v>73590606</v>
      </c>
      <c r="D199" s="811" t="s">
        <v>1515</v>
      </c>
      <c r="E199" s="811" t="s">
        <v>1515</v>
      </c>
      <c r="F199" s="811" t="s">
        <v>1639</v>
      </c>
      <c r="G199" s="811" t="s">
        <v>1625</v>
      </c>
      <c r="H199" s="811" t="s">
        <v>1626</v>
      </c>
      <c r="I199" s="811" t="s">
        <v>1627</v>
      </c>
      <c r="J199" s="813">
        <v>73590606</v>
      </c>
      <c r="K199" s="811" t="s">
        <v>1628</v>
      </c>
      <c r="L199" s="811" t="s">
        <v>1210</v>
      </c>
      <c r="M199" s="811" t="s">
        <v>1608</v>
      </c>
      <c r="N199" s="811" t="s">
        <v>1608</v>
      </c>
      <c r="O199" s="811" t="s">
        <v>1818</v>
      </c>
      <c r="P199" s="811" t="s">
        <v>1630</v>
      </c>
      <c r="Q199" s="811" t="s">
        <v>1683</v>
      </c>
    </row>
    <row r="200" spans="1:17" x14ac:dyDescent="0.35">
      <c r="A200" s="811" t="s">
        <v>1886</v>
      </c>
      <c r="B200" s="811" t="s">
        <v>1887</v>
      </c>
      <c r="C200" s="812">
        <v>21000000</v>
      </c>
      <c r="D200" s="811" t="s">
        <v>1424</v>
      </c>
      <c r="E200" s="811" t="s">
        <v>1424</v>
      </c>
      <c r="F200" s="811" t="s">
        <v>1662</v>
      </c>
      <c r="G200" s="811" t="s">
        <v>1625</v>
      </c>
      <c r="H200" s="811" t="s">
        <v>1550</v>
      </c>
      <c r="I200" s="811" t="s">
        <v>1627</v>
      </c>
      <c r="J200" s="813">
        <v>21000000</v>
      </c>
      <c r="K200" s="811" t="s">
        <v>1628</v>
      </c>
      <c r="L200" s="811" t="s">
        <v>1210</v>
      </c>
      <c r="M200" s="811" t="s">
        <v>1608</v>
      </c>
      <c r="N200" s="811" t="s">
        <v>1608</v>
      </c>
      <c r="O200" s="811" t="s">
        <v>1818</v>
      </c>
      <c r="P200" s="811" t="s">
        <v>1630</v>
      </c>
      <c r="Q200" s="811" t="s">
        <v>1683</v>
      </c>
    </row>
    <row r="201" spans="1:17" x14ac:dyDescent="0.35">
      <c r="A201" s="811" t="s">
        <v>1622</v>
      </c>
      <c r="B201" s="811" t="s">
        <v>1888</v>
      </c>
      <c r="C201" s="812">
        <v>85847040</v>
      </c>
      <c r="D201" s="811" t="s">
        <v>1420</v>
      </c>
      <c r="E201" s="811" t="s">
        <v>1420</v>
      </c>
      <c r="F201" s="811" t="s">
        <v>1639</v>
      </c>
      <c r="G201" s="811" t="s">
        <v>1625</v>
      </c>
      <c r="H201" s="811" t="s">
        <v>1626</v>
      </c>
      <c r="I201" s="811" t="s">
        <v>1627</v>
      </c>
      <c r="J201" s="813">
        <v>85847040</v>
      </c>
      <c r="K201" s="811" t="s">
        <v>1628</v>
      </c>
      <c r="L201" s="811" t="s">
        <v>1210</v>
      </c>
      <c r="M201" s="811" t="s">
        <v>1608</v>
      </c>
      <c r="N201" s="811" t="s">
        <v>1608</v>
      </c>
      <c r="O201" s="811" t="s">
        <v>1654</v>
      </c>
      <c r="P201" s="811" t="s">
        <v>1630</v>
      </c>
      <c r="Q201" s="811" t="s">
        <v>1655</v>
      </c>
    </row>
    <row r="202" spans="1:17" x14ac:dyDescent="0.35">
      <c r="A202" s="811" t="s">
        <v>1622</v>
      </c>
      <c r="B202" s="811" t="s">
        <v>1889</v>
      </c>
      <c r="C202" s="812">
        <v>65205000</v>
      </c>
      <c r="D202" s="811" t="s">
        <v>1420</v>
      </c>
      <c r="E202" s="811" t="s">
        <v>1420</v>
      </c>
      <c r="F202" s="811" t="s">
        <v>1639</v>
      </c>
      <c r="G202" s="811" t="s">
        <v>1625</v>
      </c>
      <c r="H202" s="811" t="s">
        <v>1626</v>
      </c>
      <c r="I202" s="811" t="s">
        <v>1627</v>
      </c>
      <c r="J202" s="813">
        <v>65205000</v>
      </c>
      <c r="K202" s="811" t="s">
        <v>1628</v>
      </c>
      <c r="L202" s="811" t="s">
        <v>1210</v>
      </c>
      <c r="M202" s="811" t="s">
        <v>1608</v>
      </c>
      <c r="N202" s="811" t="s">
        <v>1608</v>
      </c>
      <c r="O202" s="811" t="s">
        <v>1654</v>
      </c>
      <c r="P202" s="811" t="s">
        <v>1630</v>
      </c>
      <c r="Q202" s="811" t="s">
        <v>1655</v>
      </c>
    </row>
    <row r="203" spans="1:17" x14ac:dyDescent="0.35">
      <c r="A203" s="811" t="s">
        <v>1622</v>
      </c>
      <c r="B203" s="811" t="s">
        <v>1890</v>
      </c>
      <c r="C203" s="812">
        <v>44574000</v>
      </c>
      <c r="D203" s="811" t="s">
        <v>1420</v>
      </c>
      <c r="E203" s="811" t="s">
        <v>1420</v>
      </c>
      <c r="F203" s="811" t="s">
        <v>1639</v>
      </c>
      <c r="G203" s="811" t="s">
        <v>1625</v>
      </c>
      <c r="H203" s="811" t="s">
        <v>1626</v>
      </c>
      <c r="I203" s="811" t="s">
        <v>1627</v>
      </c>
      <c r="J203" s="813">
        <v>44574000</v>
      </c>
      <c r="K203" s="811" t="s">
        <v>1628</v>
      </c>
      <c r="L203" s="811" t="s">
        <v>1210</v>
      </c>
      <c r="M203" s="811" t="s">
        <v>1608</v>
      </c>
      <c r="N203" s="811" t="s">
        <v>1608</v>
      </c>
      <c r="O203" s="811" t="s">
        <v>1640</v>
      </c>
      <c r="P203" s="811" t="s">
        <v>1630</v>
      </c>
      <c r="Q203" s="811" t="s">
        <v>1641</v>
      </c>
    </row>
    <row r="204" spans="1:17" x14ac:dyDescent="0.35">
      <c r="A204" s="811" t="s">
        <v>1891</v>
      </c>
      <c r="B204" s="811" t="s">
        <v>1892</v>
      </c>
      <c r="C204" s="812">
        <v>494703848</v>
      </c>
      <c r="D204" s="811" t="s">
        <v>1421</v>
      </c>
      <c r="E204" s="811" t="s">
        <v>1421</v>
      </c>
      <c r="F204" s="811" t="s">
        <v>1671</v>
      </c>
      <c r="G204" s="811" t="s">
        <v>1625</v>
      </c>
      <c r="H204" s="811" t="s">
        <v>1626</v>
      </c>
      <c r="I204" s="811" t="s">
        <v>1627</v>
      </c>
      <c r="J204" s="813">
        <v>494703848</v>
      </c>
      <c r="K204" s="811" t="s">
        <v>1628</v>
      </c>
      <c r="L204" s="811" t="s">
        <v>1210</v>
      </c>
      <c r="M204" s="811" t="s">
        <v>1608</v>
      </c>
      <c r="N204" s="811" t="s">
        <v>1608</v>
      </c>
      <c r="O204" s="811" t="s">
        <v>1640</v>
      </c>
      <c r="P204" s="811" t="s">
        <v>1630</v>
      </c>
      <c r="Q204" s="811" t="s">
        <v>1641</v>
      </c>
    </row>
    <row r="205" spans="1:17" x14ac:dyDescent="0.35">
      <c r="A205" s="811" t="s">
        <v>1622</v>
      </c>
      <c r="B205" s="811" t="s">
        <v>1893</v>
      </c>
      <c r="C205" s="812">
        <v>99000000</v>
      </c>
      <c r="D205" s="811" t="s">
        <v>1424</v>
      </c>
      <c r="E205" s="811" t="s">
        <v>1424</v>
      </c>
      <c r="F205" s="811" t="s">
        <v>1662</v>
      </c>
      <c r="G205" s="811" t="s">
        <v>1625</v>
      </c>
      <c r="H205" s="811" t="s">
        <v>1626</v>
      </c>
      <c r="I205" s="811" t="s">
        <v>1627</v>
      </c>
      <c r="J205" s="813">
        <v>99000000</v>
      </c>
      <c r="K205" s="811" t="s">
        <v>1628</v>
      </c>
      <c r="L205" s="811" t="s">
        <v>1210</v>
      </c>
      <c r="M205" s="811" t="s">
        <v>1608</v>
      </c>
      <c r="N205" s="811" t="s">
        <v>1608</v>
      </c>
      <c r="O205" s="811" t="s">
        <v>1640</v>
      </c>
      <c r="P205" s="811" t="s">
        <v>1630</v>
      </c>
      <c r="Q205" s="811" t="s">
        <v>1641</v>
      </c>
    </row>
    <row r="206" spans="1:17" x14ac:dyDescent="0.35">
      <c r="A206" s="811" t="s">
        <v>1622</v>
      </c>
      <c r="B206" s="811" t="s">
        <v>1894</v>
      </c>
      <c r="C206" s="812">
        <v>44319000</v>
      </c>
      <c r="D206" s="811" t="s">
        <v>1424</v>
      </c>
      <c r="E206" s="811" t="s">
        <v>1424</v>
      </c>
      <c r="F206" s="811" t="s">
        <v>1662</v>
      </c>
      <c r="G206" s="811" t="s">
        <v>1625</v>
      </c>
      <c r="H206" s="811" t="s">
        <v>1626</v>
      </c>
      <c r="I206" s="811" t="s">
        <v>1627</v>
      </c>
      <c r="J206" s="813">
        <v>44319000</v>
      </c>
      <c r="K206" s="811" t="s">
        <v>1628</v>
      </c>
      <c r="L206" s="811" t="s">
        <v>1210</v>
      </c>
      <c r="M206" s="811" t="s">
        <v>1608</v>
      </c>
      <c r="N206" s="811" t="s">
        <v>1608</v>
      </c>
      <c r="O206" s="811" t="s">
        <v>1640</v>
      </c>
      <c r="P206" s="811" t="s">
        <v>1630</v>
      </c>
      <c r="Q206" s="811" t="s">
        <v>1641</v>
      </c>
    </row>
    <row r="207" spans="1:17" x14ac:dyDescent="0.35">
      <c r="A207" s="811" t="s">
        <v>1622</v>
      </c>
      <c r="B207" s="811" t="s">
        <v>1895</v>
      </c>
      <c r="C207" s="812">
        <v>36950520</v>
      </c>
      <c r="D207" s="811" t="s">
        <v>1414</v>
      </c>
      <c r="E207" s="811" t="s">
        <v>1414</v>
      </c>
      <c r="F207" s="811" t="s">
        <v>1645</v>
      </c>
      <c r="G207" s="811" t="s">
        <v>1625</v>
      </c>
      <c r="H207" s="811" t="s">
        <v>1626</v>
      </c>
      <c r="I207" s="811" t="s">
        <v>1627</v>
      </c>
      <c r="J207" s="813">
        <v>36950520</v>
      </c>
      <c r="K207" s="811" t="s">
        <v>1628</v>
      </c>
      <c r="L207" s="811" t="s">
        <v>1210</v>
      </c>
      <c r="M207" s="811" t="s">
        <v>1608</v>
      </c>
      <c r="N207" s="811" t="s">
        <v>1608</v>
      </c>
      <c r="O207" s="811" t="s">
        <v>1640</v>
      </c>
      <c r="P207" s="811" t="s">
        <v>1630</v>
      </c>
      <c r="Q207" s="811" t="s">
        <v>1641</v>
      </c>
    </row>
    <row r="208" spans="1:17" x14ac:dyDescent="0.35">
      <c r="A208" s="811" t="s">
        <v>1622</v>
      </c>
      <c r="B208" s="811" t="s">
        <v>1896</v>
      </c>
      <c r="C208" s="812">
        <v>24050000</v>
      </c>
      <c r="D208" s="811" t="s">
        <v>1429</v>
      </c>
      <c r="E208" s="811" t="s">
        <v>1429</v>
      </c>
      <c r="F208" s="811" t="s">
        <v>1712</v>
      </c>
      <c r="G208" s="811" t="s">
        <v>1625</v>
      </c>
      <c r="H208" s="811" t="s">
        <v>1626</v>
      </c>
      <c r="I208" s="811" t="s">
        <v>1627</v>
      </c>
      <c r="J208" s="813">
        <v>24050000</v>
      </c>
      <c r="K208" s="811" t="s">
        <v>1628</v>
      </c>
      <c r="L208" s="811" t="s">
        <v>1210</v>
      </c>
      <c r="M208" s="811" t="s">
        <v>1608</v>
      </c>
      <c r="N208" s="811" t="s">
        <v>1608</v>
      </c>
      <c r="O208" s="811" t="s">
        <v>1640</v>
      </c>
      <c r="P208" s="811" t="s">
        <v>1630</v>
      </c>
      <c r="Q208" s="811" t="s">
        <v>1641</v>
      </c>
    </row>
    <row r="209" spans="1:17" x14ac:dyDescent="0.35">
      <c r="A209" s="811" t="s">
        <v>1622</v>
      </c>
      <c r="B209" s="811" t="s">
        <v>1897</v>
      </c>
      <c r="C209" s="812">
        <v>45000000</v>
      </c>
      <c r="D209" s="811" t="s">
        <v>1429</v>
      </c>
      <c r="E209" s="811" t="s">
        <v>1429</v>
      </c>
      <c r="F209" s="811" t="s">
        <v>1635</v>
      </c>
      <c r="G209" s="811" t="s">
        <v>1625</v>
      </c>
      <c r="H209" s="811" t="s">
        <v>1626</v>
      </c>
      <c r="I209" s="811" t="s">
        <v>1627</v>
      </c>
      <c r="J209" s="813">
        <v>45000000</v>
      </c>
      <c r="K209" s="811" t="s">
        <v>1628</v>
      </c>
      <c r="L209" s="811" t="s">
        <v>1210</v>
      </c>
      <c r="M209" s="811" t="s">
        <v>1608</v>
      </c>
      <c r="N209" s="811" t="s">
        <v>1608</v>
      </c>
      <c r="O209" s="811" t="s">
        <v>214</v>
      </c>
      <c r="P209" s="811" t="s">
        <v>1630</v>
      </c>
      <c r="Q209" s="811" t="s">
        <v>1655</v>
      </c>
    </row>
    <row r="210" spans="1:17" x14ac:dyDescent="0.35">
      <c r="A210" s="811" t="s">
        <v>1898</v>
      </c>
      <c r="B210" s="811" t="s">
        <v>1899</v>
      </c>
      <c r="C210" s="812">
        <v>40000000</v>
      </c>
      <c r="D210" s="811" t="s">
        <v>1429</v>
      </c>
      <c r="E210" s="811" t="s">
        <v>1429</v>
      </c>
      <c r="F210" s="811" t="s">
        <v>1689</v>
      </c>
      <c r="G210" s="811" t="s">
        <v>1625</v>
      </c>
      <c r="H210" s="811" t="s">
        <v>1550</v>
      </c>
      <c r="I210" s="811" t="s">
        <v>1627</v>
      </c>
      <c r="J210" s="813">
        <v>40000000</v>
      </c>
      <c r="K210" s="811" t="s">
        <v>1628</v>
      </c>
      <c r="L210" s="811" t="s">
        <v>1210</v>
      </c>
      <c r="M210" s="811" t="s">
        <v>1608</v>
      </c>
      <c r="N210" s="811" t="s">
        <v>1608</v>
      </c>
      <c r="O210" s="811" t="s">
        <v>1750</v>
      </c>
      <c r="P210" s="811" t="s">
        <v>1630</v>
      </c>
      <c r="Q210" s="811" t="s">
        <v>1631</v>
      </c>
    </row>
    <row r="211" spans="1:17" x14ac:dyDescent="0.35">
      <c r="A211" s="811" t="s">
        <v>1622</v>
      </c>
      <c r="B211" s="811" t="s">
        <v>1900</v>
      </c>
      <c r="C211" s="812">
        <v>19987572</v>
      </c>
      <c r="D211" s="811" t="s">
        <v>1424</v>
      </c>
      <c r="E211" s="811" t="s">
        <v>1424</v>
      </c>
      <c r="F211" s="811" t="s">
        <v>1662</v>
      </c>
      <c r="G211" s="811" t="s">
        <v>1625</v>
      </c>
      <c r="H211" s="811" t="s">
        <v>1626</v>
      </c>
      <c r="I211" s="811" t="s">
        <v>1627</v>
      </c>
      <c r="J211" s="813">
        <v>19987572</v>
      </c>
      <c r="K211" s="811" t="s">
        <v>1628</v>
      </c>
      <c r="L211" s="811" t="s">
        <v>1210</v>
      </c>
      <c r="M211" s="811" t="s">
        <v>1608</v>
      </c>
      <c r="N211" s="811" t="s">
        <v>1608</v>
      </c>
      <c r="O211" s="811" t="s">
        <v>1818</v>
      </c>
      <c r="P211" s="811" t="s">
        <v>1630</v>
      </c>
      <c r="Q211" s="811" t="s">
        <v>1683</v>
      </c>
    </row>
    <row r="212" spans="1:17" x14ac:dyDescent="0.35">
      <c r="A212" s="811" t="s">
        <v>1622</v>
      </c>
      <c r="B212" s="811" t="s">
        <v>1901</v>
      </c>
      <c r="C212" s="812">
        <v>44972037</v>
      </c>
      <c r="D212" s="811" t="s">
        <v>1424</v>
      </c>
      <c r="E212" s="811" t="s">
        <v>1424</v>
      </c>
      <c r="F212" s="811" t="s">
        <v>1662</v>
      </c>
      <c r="G212" s="811" t="s">
        <v>1625</v>
      </c>
      <c r="H212" s="811" t="s">
        <v>1626</v>
      </c>
      <c r="I212" s="811" t="s">
        <v>1627</v>
      </c>
      <c r="J212" s="813">
        <v>44972037</v>
      </c>
      <c r="K212" s="811" t="s">
        <v>1628</v>
      </c>
      <c r="L212" s="811" t="s">
        <v>1210</v>
      </c>
      <c r="M212" s="811" t="s">
        <v>1608</v>
      </c>
      <c r="N212" s="811" t="s">
        <v>1608</v>
      </c>
      <c r="O212" s="811" t="s">
        <v>1818</v>
      </c>
      <c r="P212" s="811" t="s">
        <v>1630</v>
      </c>
      <c r="Q212" s="811" t="s">
        <v>1683</v>
      </c>
    </row>
    <row r="213" spans="1:17" x14ac:dyDescent="0.35">
      <c r="A213" s="811" t="s">
        <v>1622</v>
      </c>
      <c r="B213" s="811" t="s">
        <v>1902</v>
      </c>
      <c r="C213" s="812">
        <v>39975144</v>
      </c>
      <c r="D213" s="811" t="s">
        <v>1424</v>
      </c>
      <c r="E213" s="811" t="s">
        <v>1424</v>
      </c>
      <c r="F213" s="811" t="s">
        <v>1662</v>
      </c>
      <c r="G213" s="811" t="s">
        <v>1625</v>
      </c>
      <c r="H213" s="811" t="s">
        <v>1626</v>
      </c>
      <c r="I213" s="811" t="s">
        <v>1627</v>
      </c>
      <c r="J213" s="813">
        <v>39975144</v>
      </c>
      <c r="K213" s="811" t="s">
        <v>1628</v>
      </c>
      <c r="L213" s="811" t="s">
        <v>1210</v>
      </c>
      <c r="M213" s="811" t="s">
        <v>1608</v>
      </c>
      <c r="N213" s="811" t="s">
        <v>1608</v>
      </c>
      <c r="O213" s="811" t="s">
        <v>1818</v>
      </c>
      <c r="P213" s="811" t="s">
        <v>1630</v>
      </c>
      <c r="Q213" s="811" t="s">
        <v>1683</v>
      </c>
    </row>
    <row r="214" spans="1:17" x14ac:dyDescent="0.35">
      <c r="A214" s="811" t="s">
        <v>1622</v>
      </c>
      <c r="B214" s="811" t="s">
        <v>1903</v>
      </c>
      <c r="C214" s="812">
        <v>29981358</v>
      </c>
      <c r="D214" s="811" t="s">
        <v>1424</v>
      </c>
      <c r="E214" s="811" t="s">
        <v>1424</v>
      </c>
      <c r="F214" s="811" t="s">
        <v>1662</v>
      </c>
      <c r="G214" s="811" t="s">
        <v>1625</v>
      </c>
      <c r="H214" s="811" t="s">
        <v>1626</v>
      </c>
      <c r="I214" s="811" t="s">
        <v>1627</v>
      </c>
      <c r="J214" s="813">
        <v>29981358</v>
      </c>
      <c r="K214" s="811" t="s">
        <v>1628</v>
      </c>
      <c r="L214" s="811" t="s">
        <v>1210</v>
      </c>
      <c r="M214" s="811" t="s">
        <v>1608</v>
      </c>
      <c r="N214" s="811" t="s">
        <v>1608</v>
      </c>
      <c r="O214" s="811" t="s">
        <v>1818</v>
      </c>
      <c r="P214" s="811" t="s">
        <v>1630</v>
      </c>
      <c r="Q214" s="811" t="s">
        <v>1683</v>
      </c>
    </row>
    <row r="215" spans="1:17" x14ac:dyDescent="0.35">
      <c r="A215" s="811" t="s">
        <v>1622</v>
      </c>
      <c r="B215" s="811" t="s">
        <v>1904</v>
      </c>
      <c r="C215" s="812">
        <v>29981358</v>
      </c>
      <c r="D215" s="811" t="s">
        <v>1424</v>
      </c>
      <c r="E215" s="811" t="s">
        <v>1424</v>
      </c>
      <c r="F215" s="811" t="s">
        <v>1662</v>
      </c>
      <c r="G215" s="811" t="s">
        <v>1625</v>
      </c>
      <c r="H215" s="811" t="s">
        <v>1626</v>
      </c>
      <c r="I215" s="811" t="s">
        <v>1627</v>
      </c>
      <c r="J215" s="813">
        <v>29981358</v>
      </c>
      <c r="K215" s="811" t="s">
        <v>1628</v>
      </c>
      <c r="L215" s="811" t="s">
        <v>1210</v>
      </c>
      <c r="M215" s="811" t="s">
        <v>1608</v>
      </c>
      <c r="N215" s="811" t="s">
        <v>1608</v>
      </c>
      <c r="O215" s="811" t="s">
        <v>1818</v>
      </c>
      <c r="P215" s="811" t="s">
        <v>1630</v>
      </c>
      <c r="Q215" s="811" t="s">
        <v>1683</v>
      </c>
    </row>
    <row r="216" spans="1:17" x14ac:dyDescent="0.35">
      <c r="A216" s="811" t="s">
        <v>1622</v>
      </c>
      <c r="B216" s="811" t="s">
        <v>1905</v>
      </c>
      <c r="C216" s="812">
        <v>53148771</v>
      </c>
      <c r="D216" s="811" t="s">
        <v>1424</v>
      </c>
      <c r="E216" s="811" t="s">
        <v>1424</v>
      </c>
      <c r="F216" s="811" t="s">
        <v>1639</v>
      </c>
      <c r="G216" s="811" t="s">
        <v>1625</v>
      </c>
      <c r="H216" s="811" t="s">
        <v>1626</v>
      </c>
      <c r="I216" s="811" t="s">
        <v>1627</v>
      </c>
      <c r="J216" s="813">
        <v>53148771</v>
      </c>
      <c r="K216" s="811" t="s">
        <v>1628</v>
      </c>
      <c r="L216" s="811" t="s">
        <v>1210</v>
      </c>
      <c r="M216" s="811" t="s">
        <v>1608</v>
      </c>
      <c r="N216" s="811" t="s">
        <v>1608</v>
      </c>
      <c r="O216" s="811" t="s">
        <v>1818</v>
      </c>
      <c r="P216" s="811" t="s">
        <v>1630</v>
      </c>
      <c r="Q216" s="811" t="s">
        <v>1683</v>
      </c>
    </row>
    <row r="217" spans="1:17" x14ac:dyDescent="0.35">
      <c r="A217" s="811" t="s">
        <v>1622</v>
      </c>
      <c r="B217" s="811" t="s">
        <v>1906</v>
      </c>
      <c r="C217" s="812">
        <v>34978251</v>
      </c>
      <c r="D217" s="811" t="s">
        <v>1424</v>
      </c>
      <c r="E217" s="811" t="s">
        <v>1424</v>
      </c>
      <c r="F217" s="811" t="s">
        <v>1662</v>
      </c>
      <c r="G217" s="811" t="s">
        <v>1625</v>
      </c>
      <c r="H217" s="811" t="s">
        <v>1626</v>
      </c>
      <c r="I217" s="811" t="s">
        <v>1627</v>
      </c>
      <c r="J217" s="813">
        <v>34978251</v>
      </c>
      <c r="K217" s="811" t="s">
        <v>1628</v>
      </c>
      <c r="L217" s="811" t="s">
        <v>1210</v>
      </c>
      <c r="M217" s="811" t="s">
        <v>1608</v>
      </c>
      <c r="N217" s="811" t="s">
        <v>1608</v>
      </c>
      <c r="O217" s="811" t="s">
        <v>1818</v>
      </c>
      <c r="P217" s="811" t="s">
        <v>1630</v>
      </c>
      <c r="Q217" s="811" t="s">
        <v>1683</v>
      </c>
    </row>
    <row r="218" spans="1:17" x14ac:dyDescent="0.35">
      <c r="A218" s="811" t="s">
        <v>1622</v>
      </c>
      <c r="B218" s="811" t="s">
        <v>1907</v>
      </c>
      <c r="C218" s="812">
        <v>34978251</v>
      </c>
      <c r="D218" s="811" t="s">
        <v>1424</v>
      </c>
      <c r="E218" s="811" t="s">
        <v>1424</v>
      </c>
      <c r="F218" s="811" t="s">
        <v>1662</v>
      </c>
      <c r="G218" s="811" t="s">
        <v>1625</v>
      </c>
      <c r="H218" s="811" t="s">
        <v>1626</v>
      </c>
      <c r="I218" s="811" t="s">
        <v>1627</v>
      </c>
      <c r="J218" s="813">
        <v>34978251</v>
      </c>
      <c r="K218" s="811" t="s">
        <v>1628</v>
      </c>
      <c r="L218" s="811" t="s">
        <v>1210</v>
      </c>
      <c r="M218" s="811" t="s">
        <v>1608</v>
      </c>
      <c r="N218" s="811" t="s">
        <v>1608</v>
      </c>
      <c r="O218" s="811" t="s">
        <v>1818</v>
      </c>
      <c r="P218" s="811" t="s">
        <v>1630</v>
      </c>
      <c r="Q218" s="811" t="s">
        <v>1683</v>
      </c>
    </row>
    <row r="219" spans="1:17" x14ac:dyDescent="0.35">
      <c r="A219" s="811" t="s">
        <v>1622</v>
      </c>
      <c r="B219" s="811" t="s">
        <v>1908</v>
      </c>
      <c r="C219" s="812">
        <v>29981358</v>
      </c>
      <c r="D219" s="811" t="s">
        <v>1424</v>
      </c>
      <c r="E219" s="811" t="s">
        <v>1424</v>
      </c>
      <c r="F219" s="811" t="s">
        <v>1662</v>
      </c>
      <c r="G219" s="811" t="s">
        <v>1625</v>
      </c>
      <c r="H219" s="811" t="s">
        <v>1626</v>
      </c>
      <c r="I219" s="811" t="s">
        <v>1627</v>
      </c>
      <c r="J219" s="813">
        <v>29981358</v>
      </c>
      <c r="K219" s="811" t="s">
        <v>1628</v>
      </c>
      <c r="L219" s="811" t="s">
        <v>1210</v>
      </c>
      <c r="M219" s="811" t="s">
        <v>1608</v>
      </c>
      <c r="N219" s="811" t="s">
        <v>1608</v>
      </c>
      <c r="O219" s="811" t="s">
        <v>1818</v>
      </c>
      <c r="P219" s="811" t="s">
        <v>1630</v>
      </c>
      <c r="Q219" s="811" t="s">
        <v>1683</v>
      </c>
    </row>
    <row r="220" spans="1:17" x14ac:dyDescent="0.35">
      <c r="A220" s="811" t="s">
        <v>1622</v>
      </c>
      <c r="B220" s="811" t="s">
        <v>1909</v>
      </c>
      <c r="C220" s="812">
        <v>28800000</v>
      </c>
      <c r="D220" s="811" t="s">
        <v>1515</v>
      </c>
      <c r="E220" s="811" t="s">
        <v>1515</v>
      </c>
      <c r="F220" s="811" t="s">
        <v>1624</v>
      </c>
      <c r="G220" s="811" t="s">
        <v>1625</v>
      </c>
      <c r="H220" s="811" t="s">
        <v>1626</v>
      </c>
      <c r="I220" s="811" t="s">
        <v>1627</v>
      </c>
      <c r="J220" s="813">
        <v>28800000</v>
      </c>
      <c r="K220" s="811" t="s">
        <v>1628</v>
      </c>
      <c r="L220" s="811" t="s">
        <v>1210</v>
      </c>
      <c r="M220" s="811" t="s">
        <v>1608</v>
      </c>
      <c r="N220" s="811" t="s">
        <v>1608</v>
      </c>
      <c r="O220" s="811" t="s">
        <v>1629</v>
      </c>
      <c r="P220" s="811" t="s">
        <v>1630</v>
      </c>
      <c r="Q220" s="811" t="s">
        <v>1631</v>
      </c>
    </row>
    <row r="221" spans="1:17" x14ac:dyDescent="0.35">
      <c r="A221" s="811" t="s">
        <v>1622</v>
      </c>
      <c r="B221" s="811" t="s">
        <v>1910</v>
      </c>
      <c r="C221" s="812">
        <v>24530202</v>
      </c>
      <c r="D221" s="811" t="s">
        <v>1515</v>
      </c>
      <c r="E221" s="811" t="s">
        <v>1515</v>
      </c>
      <c r="F221" s="811" t="s">
        <v>1639</v>
      </c>
      <c r="G221" s="811" t="s">
        <v>1625</v>
      </c>
      <c r="H221" s="811" t="s">
        <v>1626</v>
      </c>
      <c r="I221" s="811" t="s">
        <v>1627</v>
      </c>
      <c r="J221" s="813">
        <v>24530202</v>
      </c>
      <c r="K221" s="811" t="s">
        <v>1628</v>
      </c>
      <c r="L221" s="811" t="s">
        <v>1210</v>
      </c>
      <c r="M221" s="811" t="s">
        <v>1608</v>
      </c>
      <c r="N221" s="811" t="s">
        <v>1608</v>
      </c>
      <c r="O221" s="811" t="s">
        <v>1818</v>
      </c>
      <c r="P221" s="811" t="s">
        <v>1630</v>
      </c>
      <c r="Q221" s="811" t="s">
        <v>1683</v>
      </c>
    </row>
    <row r="222" spans="1:17" x14ac:dyDescent="0.35">
      <c r="A222" s="811" t="s">
        <v>1622</v>
      </c>
      <c r="B222" s="811" t="s">
        <v>1911</v>
      </c>
      <c r="C222" s="812">
        <v>24530202</v>
      </c>
      <c r="D222" s="811" t="s">
        <v>1515</v>
      </c>
      <c r="E222" s="811" t="s">
        <v>1515</v>
      </c>
      <c r="F222" s="811" t="s">
        <v>1639</v>
      </c>
      <c r="G222" s="811" t="s">
        <v>1625</v>
      </c>
      <c r="H222" s="811" t="s">
        <v>1626</v>
      </c>
      <c r="I222" s="811" t="s">
        <v>1627</v>
      </c>
      <c r="J222" s="813">
        <v>24530202</v>
      </c>
      <c r="K222" s="811" t="s">
        <v>1628</v>
      </c>
      <c r="L222" s="811" t="s">
        <v>1210</v>
      </c>
      <c r="M222" s="811" t="s">
        <v>1608</v>
      </c>
      <c r="N222" s="811" t="s">
        <v>1608</v>
      </c>
      <c r="O222" s="811" t="s">
        <v>1818</v>
      </c>
      <c r="P222" s="811" t="s">
        <v>1630</v>
      </c>
      <c r="Q222" s="811" t="s">
        <v>1683</v>
      </c>
    </row>
    <row r="223" spans="1:17" x14ac:dyDescent="0.35">
      <c r="A223" s="811" t="s">
        <v>1622</v>
      </c>
      <c r="B223" s="811" t="s">
        <v>1912</v>
      </c>
      <c r="C223" s="812">
        <v>53148771</v>
      </c>
      <c r="D223" s="811" t="s">
        <v>1515</v>
      </c>
      <c r="E223" s="811" t="s">
        <v>1515</v>
      </c>
      <c r="F223" s="811" t="s">
        <v>1639</v>
      </c>
      <c r="G223" s="811" t="s">
        <v>1625</v>
      </c>
      <c r="H223" s="811" t="s">
        <v>1626</v>
      </c>
      <c r="I223" s="811" t="s">
        <v>1627</v>
      </c>
      <c r="J223" s="813">
        <v>53148771</v>
      </c>
      <c r="K223" s="811" t="s">
        <v>1628</v>
      </c>
      <c r="L223" s="811" t="s">
        <v>1210</v>
      </c>
      <c r="M223" s="811" t="s">
        <v>1608</v>
      </c>
      <c r="N223" s="811" t="s">
        <v>1608</v>
      </c>
      <c r="O223" s="811" t="s">
        <v>1818</v>
      </c>
      <c r="P223" s="811" t="s">
        <v>1630</v>
      </c>
      <c r="Q223" s="811" t="s">
        <v>1683</v>
      </c>
    </row>
    <row r="224" spans="1:17" x14ac:dyDescent="0.35">
      <c r="A224" s="811" t="s">
        <v>1622</v>
      </c>
      <c r="B224" s="811" t="s">
        <v>1913</v>
      </c>
      <c r="C224" s="812">
        <v>53148771</v>
      </c>
      <c r="D224" s="811" t="s">
        <v>1515</v>
      </c>
      <c r="E224" s="811" t="s">
        <v>1515</v>
      </c>
      <c r="F224" s="811" t="s">
        <v>1639</v>
      </c>
      <c r="G224" s="811" t="s">
        <v>1625</v>
      </c>
      <c r="H224" s="811" t="s">
        <v>1626</v>
      </c>
      <c r="I224" s="811" t="s">
        <v>1627</v>
      </c>
      <c r="J224" s="813">
        <v>53148771</v>
      </c>
      <c r="K224" s="811" t="s">
        <v>1628</v>
      </c>
      <c r="L224" s="811" t="s">
        <v>1210</v>
      </c>
      <c r="M224" s="811" t="s">
        <v>1608</v>
      </c>
      <c r="N224" s="811" t="s">
        <v>1608</v>
      </c>
      <c r="O224" s="811" t="s">
        <v>1818</v>
      </c>
      <c r="P224" s="811" t="s">
        <v>1630</v>
      </c>
      <c r="Q224" s="811" t="s">
        <v>1683</v>
      </c>
    </row>
    <row r="225" spans="1:17" x14ac:dyDescent="0.35">
      <c r="A225" s="811" t="s">
        <v>1622</v>
      </c>
      <c r="B225" s="811" t="s">
        <v>1914</v>
      </c>
      <c r="C225" s="812">
        <v>36795303</v>
      </c>
      <c r="D225" s="811" t="s">
        <v>1515</v>
      </c>
      <c r="E225" s="811" t="s">
        <v>1515</v>
      </c>
      <c r="F225" s="811" t="s">
        <v>1639</v>
      </c>
      <c r="G225" s="811" t="s">
        <v>1625</v>
      </c>
      <c r="H225" s="811" t="s">
        <v>1626</v>
      </c>
      <c r="I225" s="811" t="s">
        <v>1627</v>
      </c>
      <c r="J225" s="813">
        <v>36795303</v>
      </c>
      <c r="K225" s="811" t="s">
        <v>1628</v>
      </c>
      <c r="L225" s="811" t="s">
        <v>1210</v>
      </c>
      <c r="M225" s="811" t="s">
        <v>1608</v>
      </c>
      <c r="N225" s="811" t="s">
        <v>1608</v>
      </c>
      <c r="O225" s="811" t="s">
        <v>1818</v>
      </c>
      <c r="P225" s="811" t="s">
        <v>1630</v>
      </c>
      <c r="Q225" s="811" t="s">
        <v>1683</v>
      </c>
    </row>
    <row r="226" spans="1:17" x14ac:dyDescent="0.35">
      <c r="A226" s="811" t="s">
        <v>1622</v>
      </c>
      <c r="B226" s="811" t="s">
        <v>1915</v>
      </c>
      <c r="C226" s="812">
        <v>24530202</v>
      </c>
      <c r="D226" s="811" t="s">
        <v>1515</v>
      </c>
      <c r="E226" s="811" t="s">
        <v>1515</v>
      </c>
      <c r="F226" s="811" t="s">
        <v>1639</v>
      </c>
      <c r="G226" s="811" t="s">
        <v>1625</v>
      </c>
      <c r="H226" s="811" t="s">
        <v>1626</v>
      </c>
      <c r="I226" s="811" t="s">
        <v>1627</v>
      </c>
      <c r="J226" s="813">
        <v>24530202</v>
      </c>
      <c r="K226" s="811" t="s">
        <v>1628</v>
      </c>
      <c r="L226" s="811" t="s">
        <v>1210</v>
      </c>
      <c r="M226" s="811" t="s">
        <v>1608</v>
      </c>
      <c r="N226" s="811" t="s">
        <v>1608</v>
      </c>
      <c r="O226" s="811" t="s">
        <v>1818</v>
      </c>
      <c r="P226" s="811" t="s">
        <v>1630</v>
      </c>
      <c r="Q226" s="811" t="s">
        <v>1683</v>
      </c>
    </row>
    <row r="227" spans="1:17" x14ac:dyDescent="0.35">
      <c r="A227" s="811" t="s">
        <v>1622</v>
      </c>
      <c r="B227" s="811" t="s">
        <v>1916</v>
      </c>
      <c r="C227" s="812">
        <v>32706936</v>
      </c>
      <c r="D227" s="811" t="s">
        <v>1515</v>
      </c>
      <c r="E227" s="811" t="s">
        <v>1515</v>
      </c>
      <c r="F227" s="811" t="s">
        <v>1639</v>
      </c>
      <c r="G227" s="811" t="s">
        <v>1625</v>
      </c>
      <c r="H227" s="811" t="s">
        <v>1626</v>
      </c>
      <c r="I227" s="811" t="s">
        <v>1627</v>
      </c>
      <c r="J227" s="813">
        <v>32706936</v>
      </c>
      <c r="K227" s="811" t="s">
        <v>1628</v>
      </c>
      <c r="L227" s="811" t="s">
        <v>1210</v>
      </c>
      <c r="M227" s="811" t="s">
        <v>1608</v>
      </c>
      <c r="N227" s="811" t="s">
        <v>1608</v>
      </c>
      <c r="O227" s="811" t="s">
        <v>1818</v>
      </c>
      <c r="P227" s="811" t="s">
        <v>1630</v>
      </c>
      <c r="Q227" s="811" t="s">
        <v>1683</v>
      </c>
    </row>
    <row r="228" spans="1:17" x14ac:dyDescent="0.35">
      <c r="A228" s="811" t="s">
        <v>1917</v>
      </c>
      <c r="B228" s="811" t="s">
        <v>1918</v>
      </c>
      <c r="C228" s="812">
        <v>70000000</v>
      </c>
      <c r="D228" s="811" t="s">
        <v>1515</v>
      </c>
      <c r="E228" s="811" t="s">
        <v>1515</v>
      </c>
      <c r="F228" s="811" t="s">
        <v>1639</v>
      </c>
      <c r="G228" s="811" t="s">
        <v>1625</v>
      </c>
      <c r="H228" s="811" t="s">
        <v>1763</v>
      </c>
      <c r="I228" s="811" t="s">
        <v>1627</v>
      </c>
      <c r="J228" s="813">
        <v>70000000</v>
      </c>
      <c r="K228" s="811" t="s">
        <v>1628</v>
      </c>
      <c r="L228" s="811" t="s">
        <v>1210</v>
      </c>
      <c r="M228" s="811" t="s">
        <v>1608</v>
      </c>
      <c r="N228" s="811" t="s">
        <v>1608</v>
      </c>
      <c r="O228" s="811" t="s">
        <v>1818</v>
      </c>
      <c r="P228" s="811" t="s">
        <v>1630</v>
      </c>
      <c r="Q228" s="811" t="s">
        <v>1683</v>
      </c>
    </row>
    <row r="229" spans="1:17" x14ac:dyDescent="0.35">
      <c r="A229" s="811" t="s">
        <v>1917</v>
      </c>
      <c r="B229" s="811" t="s">
        <v>1919</v>
      </c>
      <c r="C229" s="812">
        <v>20000000</v>
      </c>
      <c r="D229" s="811" t="s">
        <v>1515</v>
      </c>
      <c r="E229" s="811" t="s">
        <v>1515</v>
      </c>
      <c r="F229" s="811" t="s">
        <v>1639</v>
      </c>
      <c r="G229" s="811" t="s">
        <v>1625</v>
      </c>
      <c r="H229" s="811" t="s">
        <v>1763</v>
      </c>
      <c r="I229" s="811" t="s">
        <v>1627</v>
      </c>
      <c r="J229" s="813">
        <v>20000000</v>
      </c>
      <c r="K229" s="811" t="s">
        <v>1628</v>
      </c>
      <c r="L229" s="811" t="s">
        <v>1210</v>
      </c>
      <c r="M229" s="811" t="s">
        <v>1608</v>
      </c>
      <c r="N229" s="811" t="s">
        <v>1608</v>
      </c>
      <c r="O229" s="811" t="s">
        <v>1818</v>
      </c>
      <c r="P229" s="811" t="s">
        <v>1630</v>
      </c>
      <c r="Q229" s="811" t="s">
        <v>1683</v>
      </c>
    </row>
    <row r="230" spans="1:17" x14ac:dyDescent="0.35">
      <c r="A230" s="811" t="s">
        <v>1920</v>
      </c>
      <c r="B230" s="811" t="s">
        <v>1921</v>
      </c>
      <c r="C230" s="812">
        <v>120000000</v>
      </c>
      <c r="D230" s="811" t="s">
        <v>1515</v>
      </c>
      <c r="E230" s="811" t="s">
        <v>1515</v>
      </c>
      <c r="F230" s="811" t="s">
        <v>1639</v>
      </c>
      <c r="G230" s="811" t="s">
        <v>1625</v>
      </c>
      <c r="H230" s="811" t="s">
        <v>1626</v>
      </c>
      <c r="I230" s="811" t="s">
        <v>1627</v>
      </c>
      <c r="J230" s="813">
        <v>120000000</v>
      </c>
      <c r="K230" s="811" t="s">
        <v>1628</v>
      </c>
      <c r="L230" s="811" t="s">
        <v>1210</v>
      </c>
      <c r="M230" s="811" t="s">
        <v>1608</v>
      </c>
      <c r="N230" s="811" t="s">
        <v>1608</v>
      </c>
      <c r="O230" s="811" t="s">
        <v>1818</v>
      </c>
      <c r="P230" s="811" t="s">
        <v>1630</v>
      </c>
      <c r="Q230" s="811" t="s">
        <v>1683</v>
      </c>
    </row>
    <row r="231" spans="1:17" x14ac:dyDescent="0.35">
      <c r="A231" s="811" t="s">
        <v>1922</v>
      </c>
      <c r="B231" s="811" t="s">
        <v>1923</v>
      </c>
      <c r="C231" s="812">
        <v>88000000</v>
      </c>
      <c r="D231" s="811" t="s">
        <v>1515</v>
      </c>
      <c r="E231" s="811" t="s">
        <v>1515</v>
      </c>
      <c r="F231" s="811" t="s">
        <v>1691</v>
      </c>
      <c r="G231" s="811" t="s">
        <v>1625</v>
      </c>
      <c r="H231" s="811" t="s">
        <v>1763</v>
      </c>
      <c r="I231" s="811" t="s">
        <v>1627</v>
      </c>
      <c r="J231" s="813">
        <v>88000000</v>
      </c>
      <c r="K231" s="811" t="s">
        <v>1628</v>
      </c>
      <c r="L231" s="811" t="s">
        <v>1210</v>
      </c>
      <c r="M231" s="811" t="s">
        <v>1608</v>
      </c>
      <c r="N231" s="811" t="s">
        <v>1608</v>
      </c>
      <c r="O231" s="811" t="s">
        <v>1818</v>
      </c>
      <c r="P231" s="811" t="s">
        <v>1630</v>
      </c>
      <c r="Q231" s="811" t="s">
        <v>1683</v>
      </c>
    </row>
    <row r="232" spans="1:17" x14ac:dyDescent="0.35">
      <c r="A232" s="811" t="s">
        <v>1922</v>
      </c>
      <c r="B232" s="811" t="s">
        <v>1924</v>
      </c>
      <c r="C232" s="812">
        <v>30000000</v>
      </c>
      <c r="D232" s="811" t="s">
        <v>1515</v>
      </c>
      <c r="E232" s="811" t="s">
        <v>1515</v>
      </c>
      <c r="F232" s="811" t="s">
        <v>1691</v>
      </c>
      <c r="G232" s="811" t="s">
        <v>1625</v>
      </c>
      <c r="H232" s="811" t="s">
        <v>1550</v>
      </c>
      <c r="I232" s="811" t="s">
        <v>1627</v>
      </c>
      <c r="J232" s="813">
        <v>30000000</v>
      </c>
      <c r="K232" s="811" t="s">
        <v>1628</v>
      </c>
      <c r="L232" s="811" t="s">
        <v>1210</v>
      </c>
      <c r="M232" s="811" t="s">
        <v>1608</v>
      </c>
      <c r="N232" s="811" t="s">
        <v>1608</v>
      </c>
      <c r="O232" s="811" t="s">
        <v>1818</v>
      </c>
      <c r="P232" s="811" t="s">
        <v>1630</v>
      </c>
      <c r="Q232" s="811" t="s">
        <v>1683</v>
      </c>
    </row>
    <row r="233" spans="1:17" x14ac:dyDescent="0.35">
      <c r="A233" s="811" t="s">
        <v>1622</v>
      </c>
      <c r="B233" s="811" t="s">
        <v>1925</v>
      </c>
      <c r="C233" s="812">
        <v>58872500</v>
      </c>
      <c r="D233" s="811" t="s">
        <v>1515</v>
      </c>
      <c r="E233" s="811" t="s">
        <v>1515</v>
      </c>
      <c r="F233" s="811" t="s">
        <v>1624</v>
      </c>
      <c r="G233" s="811" t="s">
        <v>1625</v>
      </c>
      <c r="H233" s="811" t="s">
        <v>1626</v>
      </c>
      <c r="I233" s="811" t="s">
        <v>1627</v>
      </c>
      <c r="J233" s="813">
        <v>58872500</v>
      </c>
      <c r="K233" s="811" t="s">
        <v>1628</v>
      </c>
      <c r="L233" s="811" t="s">
        <v>1210</v>
      </c>
      <c r="M233" s="811" t="s">
        <v>1608</v>
      </c>
      <c r="N233" s="811" t="s">
        <v>1608</v>
      </c>
      <c r="O233" s="811" t="s">
        <v>1818</v>
      </c>
      <c r="P233" s="811" t="s">
        <v>1630</v>
      </c>
      <c r="Q233" s="811" t="s">
        <v>1683</v>
      </c>
    </row>
    <row r="234" spans="1:17" x14ac:dyDescent="0.35">
      <c r="A234" s="811" t="s">
        <v>1926</v>
      </c>
      <c r="B234" s="811" t="s">
        <v>1927</v>
      </c>
      <c r="C234" s="812">
        <v>1530501871</v>
      </c>
      <c r="D234" s="811" t="s">
        <v>1429</v>
      </c>
      <c r="E234" s="811" t="s">
        <v>1429</v>
      </c>
      <c r="F234" s="811" t="s">
        <v>1635</v>
      </c>
      <c r="G234" s="811" t="s">
        <v>1625</v>
      </c>
      <c r="H234" s="811" t="s">
        <v>1626</v>
      </c>
      <c r="I234" s="811" t="s">
        <v>1627</v>
      </c>
      <c r="J234" s="813">
        <v>1530501871</v>
      </c>
      <c r="K234" s="811" t="s">
        <v>1628</v>
      </c>
      <c r="L234" s="811" t="s">
        <v>1210</v>
      </c>
      <c r="M234" s="811" t="s">
        <v>1608</v>
      </c>
      <c r="N234" s="811" t="s">
        <v>1608</v>
      </c>
      <c r="O234" s="811" t="s">
        <v>1818</v>
      </c>
      <c r="P234" s="811" t="s">
        <v>1630</v>
      </c>
      <c r="Q234" s="811" t="s">
        <v>1683</v>
      </c>
    </row>
    <row r="235" spans="1:17" x14ac:dyDescent="0.35">
      <c r="A235" s="811" t="s">
        <v>1622</v>
      </c>
      <c r="B235" s="811" t="s">
        <v>1928</v>
      </c>
      <c r="C235" s="812">
        <v>44000000</v>
      </c>
      <c r="D235" s="811" t="s">
        <v>1420</v>
      </c>
      <c r="E235" s="811" t="s">
        <v>1420</v>
      </c>
      <c r="F235" s="811" t="s">
        <v>1639</v>
      </c>
      <c r="G235" s="811" t="s">
        <v>1625</v>
      </c>
      <c r="H235" s="811" t="s">
        <v>1626</v>
      </c>
      <c r="I235" s="811" t="s">
        <v>1627</v>
      </c>
      <c r="J235" s="813">
        <v>44000000</v>
      </c>
      <c r="K235" s="811" t="s">
        <v>1628</v>
      </c>
      <c r="L235" s="811" t="s">
        <v>1210</v>
      </c>
      <c r="M235" s="811" t="s">
        <v>1608</v>
      </c>
      <c r="N235" s="811" t="s">
        <v>1608</v>
      </c>
      <c r="O235" s="811" t="s">
        <v>1659</v>
      </c>
      <c r="P235" s="811" t="s">
        <v>1630</v>
      </c>
      <c r="Q235" s="811" t="s">
        <v>1631</v>
      </c>
    </row>
    <row r="236" spans="1:17" x14ac:dyDescent="0.35">
      <c r="A236" s="811" t="s">
        <v>1622</v>
      </c>
      <c r="B236" s="811" t="s">
        <v>1929</v>
      </c>
      <c r="C236" s="812">
        <v>50150000</v>
      </c>
      <c r="D236" s="811" t="s">
        <v>1515</v>
      </c>
      <c r="E236" s="811" t="s">
        <v>1515</v>
      </c>
      <c r="F236" s="811" t="s">
        <v>1624</v>
      </c>
      <c r="G236" s="811" t="s">
        <v>1625</v>
      </c>
      <c r="H236" s="811" t="s">
        <v>1626</v>
      </c>
      <c r="I236" s="811" t="s">
        <v>1627</v>
      </c>
      <c r="J236" s="813">
        <v>50150000</v>
      </c>
      <c r="K236" s="811" t="s">
        <v>1628</v>
      </c>
      <c r="L236" s="811" t="s">
        <v>1210</v>
      </c>
      <c r="M236" s="811" t="s">
        <v>1608</v>
      </c>
      <c r="N236" s="811" t="s">
        <v>1608</v>
      </c>
      <c r="O236" s="811" t="s">
        <v>1659</v>
      </c>
      <c r="P236" s="811" t="s">
        <v>1630</v>
      </c>
      <c r="Q236" s="811" t="s">
        <v>1631</v>
      </c>
    </row>
    <row r="237" spans="1:17" x14ac:dyDescent="0.35">
      <c r="A237" s="811" t="s">
        <v>1622</v>
      </c>
      <c r="B237" s="811" t="s">
        <v>1930</v>
      </c>
      <c r="C237" s="812">
        <v>34100000</v>
      </c>
      <c r="D237" s="811" t="s">
        <v>1420</v>
      </c>
      <c r="E237" s="811" t="s">
        <v>1420</v>
      </c>
      <c r="F237" s="811" t="s">
        <v>1639</v>
      </c>
      <c r="G237" s="811" t="s">
        <v>1625</v>
      </c>
      <c r="H237" s="811" t="s">
        <v>1626</v>
      </c>
      <c r="I237" s="811" t="s">
        <v>1627</v>
      </c>
      <c r="J237" s="813">
        <v>34100000</v>
      </c>
      <c r="K237" s="811" t="s">
        <v>1628</v>
      </c>
      <c r="L237" s="811" t="s">
        <v>1210</v>
      </c>
      <c r="M237" s="811" t="s">
        <v>1608</v>
      </c>
      <c r="N237" s="811" t="s">
        <v>1608</v>
      </c>
      <c r="O237" s="811" t="s">
        <v>1659</v>
      </c>
      <c r="P237" s="811" t="s">
        <v>1630</v>
      </c>
      <c r="Q237" s="811" t="s">
        <v>1631</v>
      </c>
    </row>
    <row r="238" spans="1:17" x14ac:dyDescent="0.35">
      <c r="A238" s="811" t="s">
        <v>1622</v>
      </c>
      <c r="B238" s="811" t="s">
        <v>1931</v>
      </c>
      <c r="C238" s="812">
        <v>33000000</v>
      </c>
      <c r="D238" s="811" t="s">
        <v>1420</v>
      </c>
      <c r="E238" s="811" t="s">
        <v>1420</v>
      </c>
      <c r="F238" s="811" t="s">
        <v>1639</v>
      </c>
      <c r="G238" s="811" t="s">
        <v>1625</v>
      </c>
      <c r="H238" s="811" t="s">
        <v>1626</v>
      </c>
      <c r="I238" s="811" t="s">
        <v>1627</v>
      </c>
      <c r="J238" s="813">
        <v>33000000</v>
      </c>
      <c r="K238" s="811" t="s">
        <v>1628</v>
      </c>
      <c r="L238" s="811" t="s">
        <v>1210</v>
      </c>
      <c r="M238" s="811" t="s">
        <v>1608</v>
      </c>
      <c r="N238" s="811" t="s">
        <v>1608</v>
      </c>
      <c r="O238" s="811" t="s">
        <v>1659</v>
      </c>
      <c r="P238" s="811" t="s">
        <v>1630</v>
      </c>
      <c r="Q238" s="811" t="s">
        <v>1631</v>
      </c>
    </row>
    <row r="239" spans="1:17" x14ac:dyDescent="0.35">
      <c r="A239" s="811" t="s">
        <v>1622</v>
      </c>
      <c r="B239" s="811" t="s">
        <v>1932</v>
      </c>
      <c r="C239" s="812">
        <v>34100000</v>
      </c>
      <c r="D239" s="811" t="s">
        <v>1420</v>
      </c>
      <c r="E239" s="811" t="s">
        <v>1420</v>
      </c>
      <c r="F239" s="811" t="s">
        <v>1639</v>
      </c>
      <c r="G239" s="811" t="s">
        <v>1625</v>
      </c>
      <c r="H239" s="811" t="s">
        <v>1626</v>
      </c>
      <c r="I239" s="811" t="s">
        <v>1627</v>
      </c>
      <c r="J239" s="813">
        <v>34100000</v>
      </c>
      <c r="K239" s="811" t="s">
        <v>1628</v>
      </c>
      <c r="L239" s="811" t="s">
        <v>1210</v>
      </c>
      <c r="M239" s="811" t="s">
        <v>1608</v>
      </c>
      <c r="N239" s="811" t="s">
        <v>1608</v>
      </c>
      <c r="O239" s="811" t="s">
        <v>1659</v>
      </c>
      <c r="P239" s="811" t="s">
        <v>1630</v>
      </c>
      <c r="Q239" s="811" t="s">
        <v>1631</v>
      </c>
    </row>
    <row r="240" spans="1:17" x14ac:dyDescent="0.35">
      <c r="A240" s="811" t="s">
        <v>1622</v>
      </c>
      <c r="B240" s="811" t="s">
        <v>1933</v>
      </c>
      <c r="C240" s="812">
        <v>33000000</v>
      </c>
      <c r="D240" s="811" t="s">
        <v>1515</v>
      </c>
      <c r="E240" s="811" t="s">
        <v>1515</v>
      </c>
      <c r="F240" s="811" t="s">
        <v>1624</v>
      </c>
      <c r="G240" s="811" t="s">
        <v>1625</v>
      </c>
      <c r="H240" s="811" t="s">
        <v>1626</v>
      </c>
      <c r="I240" s="811" t="s">
        <v>1627</v>
      </c>
      <c r="J240" s="813">
        <v>33000000</v>
      </c>
      <c r="K240" s="811" t="s">
        <v>1628</v>
      </c>
      <c r="L240" s="811" t="s">
        <v>1210</v>
      </c>
      <c r="M240" s="811" t="s">
        <v>1608</v>
      </c>
      <c r="N240" s="811" t="s">
        <v>1608</v>
      </c>
      <c r="O240" s="811" t="s">
        <v>1659</v>
      </c>
      <c r="P240" s="811" t="s">
        <v>1630</v>
      </c>
      <c r="Q240" s="811" t="s">
        <v>1631</v>
      </c>
    </row>
    <row r="241" spans="1:17" x14ac:dyDescent="0.35">
      <c r="A241" s="811" t="s">
        <v>1622</v>
      </c>
      <c r="B241" s="811" t="s">
        <v>1934</v>
      </c>
      <c r="C241" s="812">
        <v>42400000</v>
      </c>
      <c r="D241" s="811" t="s">
        <v>1515</v>
      </c>
      <c r="E241" s="811" t="s">
        <v>1515</v>
      </c>
      <c r="F241" s="811" t="s">
        <v>1624</v>
      </c>
      <c r="G241" s="811" t="s">
        <v>1625</v>
      </c>
      <c r="H241" s="811" t="s">
        <v>1626</v>
      </c>
      <c r="I241" s="811" t="s">
        <v>1627</v>
      </c>
      <c r="J241" s="813">
        <v>42400000</v>
      </c>
      <c r="K241" s="811" t="s">
        <v>1628</v>
      </c>
      <c r="L241" s="811" t="s">
        <v>1210</v>
      </c>
      <c r="M241" s="811" t="s">
        <v>1608</v>
      </c>
      <c r="N241" s="811" t="s">
        <v>1608</v>
      </c>
      <c r="O241" s="811" t="s">
        <v>1659</v>
      </c>
      <c r="P241" s="811" t="s">
        <v>1630</v>
      </c>
      <c r="Q241" s="811" t="s">
        <v>1631</v>
      </c>
    </row>
    <row r="242" spans="1:17" x14ac:dyDescent="0.35">
      <c r="A242" s="811" t="s">
        <v>1622</v>
      </c>
      <c r="B242" s="811" t="s">
        <v>1935</v>
      </c>
      <c r="C242" s="812">
        <v>33000000</v>
      </c>
      <c r="D242" s="811" t="s">
        <v>1515</v>
      </c>
      <c r="E242" s="811" t="s">
        <v>1515</v>
      </c>
      <c r="F242" s="811" t="s">
        <v>1662</v>
      </c>
      <c r="G242" s="811" t="s">
        <v>1625</v>
      </c>
      <c r="H242" s="811" t="s">
        <v>1626</v>
      </c>
      <c r="I242" s="811" t="s">
        <v>1627</v>
      </c>
      <c r="J242" s="813">
        <v>33000000</v>
      </c>
      <c r="K242" s="811" t="s">
        <v>1628</v>
      </c>
      <c r="L242" s="811" t="s">
        <v>1210</v>
      </c>
      <c r="M242" s="811" t="s">
        <v>1608</v>
      </c>
      <c r="N242" s="811" t="s">
        <v>1608</v>
      </c>
      <c r="O242" s="811" t="s">
        <v>1659</v>
      </c>
      <c r="P242" s="811" t="s">
        <v>1630</v>
      </c>
      <c r="Q242" s="811" t="s">
        <v>1631</v>
      </c>
    </row>
    <row r="243" spans="1:17" x14ac:dyDescent="0.35">
      <c r="A243" s="811" t="s">
        <v>1936</v>
      </c>
      <c r="B243" s="811" t="s">
        <v>1937</v>
      </c>
      <c r="C243" s="812">
        <v>200000000</v>
      </c>
      <c r="D243" s="811" t="s">
        <v>1428</v>
      </c>
      <c r="E243" s="811" t="s">
        <v>1428</v>
      </c>
      <c r="F243" s="811" t="s">
        <v>1635</v>
      </c>
      <c r="G243" s="811" t="s">
        <v>1625</v>
      </c>
      <c r="H243" s="811" t="s">
        <v>1763</v>
      </c>
      <c r="I243" s="811" t="s">
        <v>1627</v>
      </c>
      <c r="J243" s="813">
        <v>200000000</v>
      </c>
      <c r="K243" s="811" t="s">
        <v>1628</v>
      </c>
      <c r="L243" s="811" t="s">
        <v>1210</v>
      </c>
      <c r="M243" s="811" t="s">
        <v>1608</v>
      </c>
      <c r="N243" s="811" t="s">
        <v>1608</v>
      </c>
      <c r="O243" s="811" t="s">
        <v>1818</v>
      </c>
      <c r="P243" s="811" t="s">
        <v>1630</v>
      </c>
      <c r="Q243" s="811" t="s">
        <v>1683</v>
      </c>
    </row>
    <row r="244" spans="1:17" x14ac:dyDescent="0.35">
      <c r="A244" s="811" t="s">
        <v>1938</v>
      </c>
      <c r="B244" s="811" t="s">
        <v>1939</v>
      </c>
      <c r="C244" s="812">
        <v>20000000</v>
      </c>
      <c r="D244" s="811" t="s">
        <v>1428</v>
      </c>
      <c r="E244" s="811" t="s">
        <v>1428</v>
      </c>
      <c r="F244" s="811" t="s">
        <v>1635</v>
      </c>
      <c r="G244" s="811" t="s">
        <v>1625</v>
      </c>
      <c r="H244" s="811" t="s">
        <v>1550</v>
      </c>
      <c r="I244" s="811" t="s">
        <v>1627</v>
      </c>
      <c r="J244" s="813">
        <v>20000000</v>
      </c>
      <c r="K244" s="811" t="s">
        <v>1628</v>
      </c>
      <c r="L244" s="811" t="s">
        <v>1210</v>
      </c>
      <c r="M244" s="811" t="s">
        <v>1608</v>
      </c>
      <c r="N244" s="811" t="s">
        <v>1608</v>
      </c>
      <c r="O244" s="811" t="s">
        <v>1818</v>
      </c>
      <c r="P244" s="811" t="s">
        <v>1630</v>
      </c>
      <c r="Q244" s="811" t="s">
        <v>1683</v>
      </c>
    </row>
    <row r="245" spans="1:17" x14ac:dyDescent="0.35">
      <c r="A245" s="811" t="s">
        <v>1940</v>
      </c>
      <c r="B245" s="811" t="s">
        <v>1941</v>
      </c>
      <c r="C245" s="812">
        <v>450000000</v>
      </c>
      <c r="D245" s="811" t="s">
        <v>1428</v>
      </c>
      <c r="E245" s="811" t="s">
        <v>1429</v>
      </c>
      <c r="F245" s="811" t="s">
        <v>1691</v>
      </c>
      <c r="G245" s="811" t="s">
        <v>1625</v>
      </c>
      <c r="H245" s="811" t="s">
        <v>1757</v>
      </c>
      <c r="I245" s="811" t="s">
        <v>1627</v>
      </c>
      <c r="J245" s="813">
        <v>450000000</v>
      </c>
      <c r="K245" s="811" t="s">
        <v>1628</v>
      </c>
      <c r="L245" s="811" t="s">
        <v>1210</v>
      </c>
      <c r="M245" s="811" t="s">
        <v>1608</v>
      </c>
      <c r="N245" s="811" t="s">
        <v>1608</v>
      </c>
      <c r="O245" s="811" t="s">
        <v>1818</v>
      </c>
      <c r="P245" s="811" t="s">
        <v>1630</v>
      </c>
      <c r="Q245" s="811" t="s">
        <v>1683</v>
      </c>
    </row>
    <row r="246" spans="1:17" x14ac:dyDescent="0.35">
      <c r="A246" s="811" t="s">
        <v>1940</v>
      </c>
      <c r="B246" s="811" t="s">
        <v>1941</v>
      </c>
      <c r="C246" s="812">
        <v>250710000</v>
      </c>
      <c r="D246" s="811" t="s">
        <v>1428</v>
      </c>
      <c r="E246" s="811" t="s">
        <v>1429</v>
      </c>
      <c r="F246" s="811" t="s">
        <v>1691</v>
      </c>
      <c r="G246" s="811" t="s">
        <v>1625</v>
      </c>
      <c r="H246" s="811" t="s">
        <v>1757</v>
      </c>
      <c r="I246" s="811" t="s">
        <v>1627</v>
      </c>
      <c r="J246" s="813">
        <v>250710000</v>
      </c>
      <c r="K246" s="811" t="s">
        <v>1628</v>
      </c>
      <c r="L246" s="811" t="s">
        <v>1210</v>
      </c>
      <c r="M246" s="811" t="s">
        <v>1608</v>
      </c>
      <c r="N246" s="811" t="s">
        <v>1608</v>
      </c>
      <c r="O246" s="811" t="s">
        <v>1818</v>
      </c>
      <c r="P246" s="811" t="s">
        <v>1630</v>
      </c>
      <c r="Q246" s="811" t="s">
        <v>1683</v>
      </c>
    </row>
    <row r="247" spans="1:17" x14ac:dyDescent="0.35">
      <c r="A247" s="811" t="s">
        <v>1942</v>
      </c>
      <c r="B247" s="811" t="s">
        <v>1943</v>
      </c>
      <c r="C247" s="812">
        <v>30000000</v>
      </c>
      <c r="D247" s="811" t="s">
        <v>1445</v>
      </c>
      <c r="E247" s="811" t="s">
        <v>1445</v>
      </c>
      <c r="F247" s="811" t="s">
        <v>1712</v>
      </c>
      <c r="G247" s="811" t="s">
        <v>1625</v>
      </c>
      <c r="H247" s="811" t="s">
        <v>1550</v>
      </c>
      <c r="I247" s="811" t="s">
        <v>1627</v>
      </c>
      <c r="J247" s="813">
        <v>30000000</v>
      </c>
      <c r="K247" s="811" t="s">
        <v>1628</v>
      </c>
      <c r="L247" s="811" t="s">
        <v>1210</v>
      </c>
      <c r="M247" s="811" t="s">
        <v>1608</v>
      </c>
      <c r="N247" s="811" t="s">
        <v>1608</v>
      </c>
      <c r="O247" s="811" t="s">
        <v>1818</v>
      </c>
      <c r="P247" s="811" t="s">
        <v>1630</v>
      </c>
      <c r="Q247" s="811" t="s">
        <v>1683</v>
      </c>
    </row>
    <row r="248" spans="1:17" x14ac:dyDescent="0.35">
      <c r="A248" s="811" t="s">
        <v>1944</v>
      </c>
      <c r="B248" s="811" t="s">
        <v>1945</v>
      </c>
      <c r="C248" s="812">
        <v>1300000000</v>
      </c>
      <c r="D248" s="811" t="s">
        <v>1515</v>
      </c>
      <c r="E248" s="811" t="s">
        <v>1421</v>
      </c>
      <c r="F248" s="811" t="s">
        <v>1662</v>
      </c>
      <c r="G248" s="811" t="s">
        <v>1625</v>
      </c>
      <c r="H248" s="811" t="s">
        <v>1757</v>
      </c>
      <c r="I248" s="811" t="s">
        <v>1627</v>
      </c>
      <c r="J248" s="813">
        <v>1300000000</v>
      </c>
      <c r="K248" s="811" t="s">
        <v>1628</v>
      </c>
      <c r="L248" s="811" t="s">
        <v>1210</v>
      </c>
      <c r="M248" s="811" t="s">
        <v>1608</v>
      </c>
      <c r="N248" s="811" t="s">
        <v>1608</v>
      </c>
      <c r="O248" s="811" t="s">
        <v>1818</v>
      </c>
      <c r="P248" s="811" t="s">
        <v>1630</v>
      </c>
      <c r="Q248" s="811" t="s">
        <v>1683</v>
      </c>
    </row>
    <row r="249" spans="1:17" x14ac:dyDescent="0.35">
      <c r="A249" s="811" t="s">
        <v>1946</v>
      </c>
      <c r="B249" s="811" t="s">
        <v>1947</v>
      </c>
      <c r="C249" s="812">
        <v>57000000</v>
      </c>
      <c r="D249" s="811" t="s">
        <v>1414</v>
      </c>
      <c r="E249" s="811" t="s">
        <v>1414</v>
      </c>
      <c r="F249" s="811" t="s">
        <v>1689</v>
      </c>
      <c r="G249" s="811" t="s">
        <v>1625</v>
      </c>
      <c r="H249" s="811" t="s">
        <v>1701</v>
      </c>
      <c r="I249" s="811" t="s">
        <v>1627</v>
      </c>
      <c r="J249" s="813">
        <v>57000000</v>
      </c>
      <c r="K249" s="811" t="s">
        <v>1628</v>
      </c>
      <c r="L249" s="811" t="s">
        <v>1210</v>
      </c>
      <c r="M249" s="811" t="s">
        <v>1608</v>
      </c>
      <c r="N249" s="811" t="s">
        <v>1608</v>
      </c>
      <c r="O249" s="811" t="s">
        <v>1659</v>
      </c>
      <c r="P249" s="811" t="s">
        <v>1630</v>
      </c>
      <c r="Q249" s="811" t="s">
        <v>1631</v>
      </c>
    </row>
    <row r="250" spans="1:17" x14ac:dyDescent="0.35">
      <c r="A250" s="811" t="s">
        <v>1622</v>
      </c>
      <c r="B250" s="811" t="s">
        <v>1948</v>
      </c>
      <c r="C250" s="812">
        <v>34000000</v>
      </c>
      <c r="D250" s="811" t="s">
        <v>1424</v>
      </c>
      <c r="E250" s="811" t="s">
        <v>1424</v>
      </c>
      <c r="F250" s="811" t="s">
        <v>1645</v>
      </c>
      <c r="G250" s="811" t="s">
        <v>1625</v>
      </c>
      <c r="H250" s="811" t="s">
        <v>1626</v>
      </c>
      <c r="I250" s="811" t="s">
        <v>1627</v>
      </c>
      <c r="J250" s="813">
        <v>34000000</v>
      </c>
      <c r="K250" s="811" t="s">
        <v>1628</v>
      </c>
      <c r="L250" s="811" t="s">
        <v>1210</v>
      </c>
      <c r="M250" s="811" t="s">
        <v>1608</v>
      </c>
      <c r="N250" s="811" t="s">
        <v>1608</v>
      </c>
      <c r="O250" s="811" t="s">
        <v>1659</v>
      </c>
      <c r="P250" s="811" t="s">
        <v>1630</v>
      </c>
      <c r="Q250" s="811" t="s">
        <v>1631</v>
      </c>
    </row>
    <row r="251" spans="1:17" x14ac:dyDescent="0.35">
      <c r="A251" s="811" t="s">
        <v>1622</v>
      </c>
      <c r="B251" s="811" t="s">
        <v>1949</v>
      </c>
      <c r="C251" s="812">
        <v>44000000</v>
      </c>
      <c r="D251" s="811" t="s">
        <v>1424</v>
      </c>
      <c r="E251" s="811" t="s">
        <v>1424</v>
      </c>
      <c r="F251" s="811" t="s">
        <v>1624</v>
      </c>
      <c r="G251" s="811" t="s">
        <v>1625</v>
      </c>
      <c r="H251" s="811" t="s">
        <v>1626</v>
      </c>
      <c r="I251" s="811" t="s">
        <v>1627</v>
      </c>
      <c r="J251" s="813">
        <v>44000000</v>
      </c>
      <c r="K251" s="811" t="s">
        <v>1628</v>
      </c>
      <c r="L251" s="811" t="s">
        <v>1210</v>
      </c>
      <c r="M251" s="811" t="s">
        <v>1608</v>
      </c>
      <c r="N251" s="811" t="s">
        <v>1608</v>
      </c>
      <c r="O251" s="811" t="s">
        <v>1659</v>
      </c>
      <c r="P251" s="811" t="s">
        <v>1630</v>
      </c>
      <c r="Q251" s="811" t="s">
        <v>1631</v>
      </c>
    </row>
    <row r="252" spans="1:17" x14ac:dyDescent="0.35">
      <c r="A252" s="811" t="s">
        <v>1622</v>
      </c>
      <c r="B252" s="811" t="s">
        <v>1809</v>
      </c>
      <c r="C252" s="812">
        <v>48348000</v>
      </c>
      <c r="D252" s="811" t="s">
        <v>1424</v>
      </c>
      <c r="E252" s="811" t="s">
        <v>1424</v>
      </c>
      <c r="F252" s="811" t="s">
        <v>1645</v>
      </c>
      <c r="G252" s="811" t="s">
        <v>1625</v>
      </c>
      <c r="H252" s="811" t="s">
        <v>1626</v>
      </c>
      <c r="I252" s="811" t="s">
        <v>1627</v>
      </c>
      <c r="J252" s="813">
        <v>48348000</v>
      </c>
      <c r="K252" s="811" t="s">
        <v>1628</v>
      </c>
      <c r="L252" s="811" t="s">
        <v>1210</v>
      </c>
      <c r="M252" s="811" t="s">
        <v>1608</v>
      </c>
      <c r="N252" s="811" t="s">
        <v>1608</v>
      </c>
      <c r="O252" s="811" t="s">
        <v>1659</v>
      </c>
      <c r="P252" s="811" t="s">
        <v>1630</v>
      </c>
      <c r="Q252" s="811" t="s">
        <v>1631</v>
      </c>
    </row>
    <row r="253" spans="1:17" x14ac:dyDescent="0.35">
      <c r="A253" s="811" t="s">
        <v>1622</v>
      </c>
      <c r="B253" s="811" t="s">
        <v>1950</v>
      </c>
      <c r="C253" s="812">
        <v>112560000</v>
      </c>
      <c r="D253" s="811" t="s">
        <v>1424</v>
      </c>
      <c r="E253" s="811" t="s">
        <v>1424</v>
      </c>
      <c r="F253" s="811" t="s">
        <v>1645</v>
      </c>
      <c r="G253" s="811" t="s">
        <v>1625</v>
      </c>
      <c r="H253" s="811" t="s">
        <v>1626</v>
      </c>
      <c r="I253" s="811" t="s">
        <v>1627</v>
      </c>
      <c r="J253" s="813">
        <v>112560000</v>
      </c>
      <c r="K253" s="811" t="s">
        <v>1628</v>
      </c>
      <c r="L253" s="811" t="s">
        <v>1210</v>
      </c>
      <c r="M253" s="811" t="s">
        <v>1608</v>
      </c>
      <c r="N253" s="811" t="s">
        <v>1608</v>
      </c>
      <c r="O253" s="811" t="s">
        <v>1659</v>
      </c>
      <c r="P253" s="811" t="s">
        <v>1630</v>
      </c>
      <c r="Q253" s="811" t="s">
        <v>1631</v>
      </c>
    </row>
    <row r="254" spans="1:17" x14ac:dyDescent="0.35">
      <c r="A254" s="811" t="s">
        <v>1622</v>
      </c>
      <c r="B254" s="811" t="s">
        <v>1951</v>
      </c>
      <c r="C254" s="812">
        <v>44319000</v>
      </c>
      <c r="D254" s="811" t="s">
        <v>1414</v>
      </c>
      <c r="E254" s="811" t="s">
        <v>1414</v>
      </c>
      <c r="F254" s="811" t="s">
        <v>1662</v>
      </c>
      <c r="G254" s="811" t="s">
        <v>1625</v>
      </c>
      <c r="H254" s="811" t="s">
        <v>1626</v>
      </c>
      <c r="I254" s="811" t="s">
        <v>1627</v>
      </c>
      <c r="J254" s="813">
        <v>44319000</v>
      </c>
      <c r="K254" s="811" t="s">
        <v>1628</v>
      </c>
      <c r="L254" s="811" t="s">
        <v>1210</v>
      </c>
      <c r="M254" s="811" t="s">
        <v>1608</v>
      </c>
      <c r="N254" s="811" t="s">
        <v>1608</v>
      </c>
      <c r="O254" s="811" t="s">
        <v>1659</v>
      </c>
      <c r="P254" s="811" t="s">
        <v>1630</v>
      </c>
      <c r="Q254" s="811" t="s">
        <v>1631</v>
      </c>
    </row>
    <row r="255" spans="1:17" x14ac:dyDescent="0.35">
      <c r="A255" s="811" t="s">
        <v>1622</v>
      </c>
      <c r="B255" s="811" t="s">
        <v>1951</v>
      </c>
      <c r="C255" s="812">
        <v>64900000</v>
      </c>
      <c r="D255" s="811" t="s">
        <v>1424</v>
      </c>
      <c r="E255" s="811" t="s">
        <v>1424</v>
      </c>
      <c r="F255" s="811" t="s">
        <v>1662</v>
      </c>
      <c r="G255" s="811" t="s">
        <v>1625</v>
      </c>
      <c r="H255" s="811" t="s">
        <v>1626</v>
      </c>
      <c r="I255" s="811" t="s">
        <v>1627</v>
      </c>
      <c r="J255" s="813">
        <v>64900000</v>
      </c>
      <c r="K255" s="811" t="s">
        <v>1628</v>
      </c>
      <c r="L255" s="811" t="s">
        <v>1210</v>
      </c>
      <c r="M255" s="811" t="s">
        <v>1608</v>
      </c>
      <c r="N255" s="811" t="s">
        <v>1608</v>
      </c>
      <c r="O255" s="811" t="s">
        <v>1659</v>
      </c>
      <c r="P255" s="811" t="s">
        <v>1630</v>
      </c>
      <c r="Q255" s="811" t="s">
        <v>1631</v>
      </c>
    </row>
    <row r="256" spans="1:17" x14ac:dyDescent="0.35">
      <c r="A256" s="811" t="s">
        <v>1622</v>
      </c>
      <c r="B256" s="811" t="s">
        <v>1952</v>
      </c>
      <c r="C256" s="812">
        <v>26572000</v>
      </c>
      <c r="D256" s="811" t="s">
        <v>1428</v>
      </c>
      <c r="E256" s="811" t="s">
        <v>1428</v>
      </c>
      <c r="F256" s="811" t="s">
        <v>1671</v>
      </c>
      <c r="G256" s="811" t="s">
        <v>1625</v>
      </c>
      <c r="H256" s="811" t="s">
        <v>1626</v>
      </c>
      <c r="I256" s="811" t="s">
        <v>1627</v>
      </c>
      <c r="J256" s="813">
        <v>26572000</v>
      </c>
      <c r="K256" s="811" t="s">
        <v>1628</v>
      </c>
      <c r="L256" s="811" t="s">
        <v>1210</v>
      </c>
      <c r="M256" s="811" t="s">
        <v>1608</v>
      </c>
      <c r="N256" s="811" t="s">
        <v>1608</v>
      </c>
      <c r="O256" s="811" t="s">
        <v>1640</v>
      </c>
      <c r="P256" s="811" t="s">
        <v>1630</v>
      </c>
      <c r="Q256" s="811" t="s">
        <v>1953</v>
      </c>
    </row>
    <row r="257" spans="1:17" x14ac:dyDescent="0.35">
      <c r="A257" s="811" t="s">
        <v>1622</v>
      </c>
      <c r="B257" s="811" t="s">
        <v>1954</v>
      </c>
      <c r="C257" s="812">
        <v>24528000</v>
      </c>
      <c r="D257" s="811" t="s">
        <v>1428</v>
      </c>
      <c r="E257" s="811" t="s">
        <v>1428</v>
      </c>
      <c r="F257" s="811" t="s">
        <v>1671</v>
      </c>
      <c r="G257" s="811" t="s">
        <v>1625</v>
      </c>
      <c r="H257" s="811" t="s">
        <v>1626</v>
      </c>
      <c r="I257" s="811" t="s">
        <v>1627</v>
      </c>
      <c r="J257" s="813">
        <v>24528000</v>
      </c>
      <c r="K257" s="811" t="s">
        <v>1628</v>
      </c>
      <c r="L257" s="811" t="s">
        <v>1210</v>
      </c>
      <c r="M257" s="811" t="s">
        <v>1608</v>
      </c>
      <c r="N257" s="811" t="s">
        <v>1608</v>
      </c>
      <c r="O257" s="811" t="s">
        <v>1640</v>
      </c>
      <c r="P257" s="811" t="s">
        <v>1630</v>
      </c>
      <c r="Q257" s="811" t="s">
        <v>1641</v>
      </c>
    </row>
    <row r="258" spans="1:17" x14ac:dyDescent="0.35">
      <c r="A258" s="811" t="s">
        <v>1622</v>
      </c>
      <c r="B258" s="811" t="s">
        <v>1955</v>
      </c>
      <c r="C258" s="812">
        <v>46410000</v>
      </c>
      <c r="D258" s="811" t="s">
        <v>1428</v>
      </c>
      <c r="E258" s="811" t="s">
        <v>1428</v>
      </c>
      <c r="F258" s="811" t="s">
        <v>1671</v>
      </c>
      <c r="G258" s="811" t="s">
        <v>1625</v>
      </c>
      <c r="H258" s="811" t="s">
        <v>1626</v>
      </c>
      <c r="I258" s="811" t="s">
        <v>1627</v>
      </c>
      <c r="J258" s="813">
        <v>46410000</v>
      </c>
      <c r="K258" s="811" t="s">
        <v>1628</v>
      </c>
      <c r="L258" s="811" t="s">
        <v>1210</v>
      </c>
      <c r="M258" s="811" t="s">
        <v>1608</v>
      </c>
      <c r="N258" s="811" t="s">
        <v>1608</v>
      </c>
      <c r="O258" s="811" t="s">
        <v>1640</v>
      </c>
      <c r="P258" s="811" t="s">
        <v>1630</v>
      </c>
      <c r="Q258" s="811" t="s">
        <v>1641</v>
      </c>
    </row>
    <row r="259" spans="1:17" x14ac:dyDescent="0.35">
      <c r="A259" s="811" t="s">
        <v>1622</v>
      </c>
      <c r="B259" s="811" t="s">
        <v>1956</v>
      </c>
      <c r="C259" s="812">
        <v>12000000</v>
      </c>
      <c r="D259" s="811" t="s">
        <v>1429</v>
      </c>
      <c r="E259" s="811" t="s">
        <v>1429</v>
      </c>
      <c r="F259" s="811" t="s">
        <v>1635</v>
      </c>
      <c r="G259" s="811" t="s">
        <v>1625</v>
      </c>
      <c r="H259" s="811" t="s">
        <v>1626</v>
      </c>
      <c r="I259" s="811" t="s">
        <v>1627</v>
      </c>
      <c r="J259" s="813">
        <v>12000000</v>
      </c>
      <c r="K259" s="811" t="s">
        <v>1628</v>
      </c>
      <c r="L259" s="811" t="s">
        <v>1210</v>
      </c>
      <c r="M259" s="811" t="s">
        <v>1608</v>
      </c>
      <c r="N259" s="811" t="s">
        <v>1608</v>
      </c>
      <c r="O259" s="811" t="s">
        <v>1682</v>
      </c>
      <c r="P259" s="811" t="s">
        <v>1630</v>
      </c>
      <c r="Q259" s="811" t="s">
        <v>1683</v>
      </c>
    </row>
    <row r="260" spans="1:17" x14ac:dyDescent="0.35">
      <c r="A260" s="811" t="s">
        <v>1622</v>
      </c>
      <c r="B260" s="811" t="s">
        <v>1957</v>
      </c>
      <c r="C260" s="812">
        <v>12000000</v>
      </c>
      <c r="D260" s="811" t="s">
        <v>1429</v>
      </c>
      <c r="E260" s="811" t="s">
        <v>1429</v>
      </c>
      <c r="F260" s="811" t="s">
        <v>1635</v>
      </c>
      <c r="G260" s="811" t="s">
        <v>1625</v>
      </c>
      <c r="H260" s="811" t="s">
        <v>1626</v>
      </c>
      <c r="I260" s="811" t="s">
        <v>1627</v>
      </c>
      <c r="J260" s="813">
        <v>12000000</v>
      </c>
      <c r="K260" s="811" t="s">
        <v>1628</v>
      </c>
      <c r="L260" s="811" t="s">
        <v>1210</v>
      </c>
      <c r="M260" s="811" t="s">
        <v>1608</v>
      </c>
      <c r="N260" s="811" t="s">
        <v>1608</v>
      </c>
      <c r="O260" s="811" t="s">
        <v>1682</v>
      </c>
      <c r="P260" s="811" t="s">
        <v>1630</v>
      </c>
      <c r="Q260" s="811" t="s">
        <v>1683</v>
      </c>
    </row>
    <row r="261" spans="1:17" x14ac:dyDescent="0.35">
      <c r="A261" s="811" t="s">
        <v>1622</v>
      </c>
      <c r="B261" s="811" t="s">
        <v>1958</v>
      </c>
      <c r="C261" s="812">
        <v>24000000</v>
      </c>
      <c r="D261" s="811" t="s">
        <v>1420</v>
      </c>
      <c r="E261" s="811" t="s">
        <v>1420</v>
      </c>
      <c r="F261" s="811" t="s">
        <v>1635</v>
      </c>
      <c r="G261" s="811" t="s">
        <v>1625</v>
      </c>
      <c r="H261" s="811" t="s">
        <v>1626</v>
      </c>
      <c r="I261" s="811" t="s">
        <v>1627</v>
      </c>
      <c r="J261" s="813">
        <v>24000000</v>
      </c>
      <c r="K261" s="811" t="s">
        <v>1628</v>
      </c>
      <c r="L261" s="811" t="s">
        <v>1210</v>
      </c>
      <c r="M261" s="811" t="s">
        <v>1608</v>
      </c>
      <c r="N261" s="811" t="s">
        <v>1608</v>
      </c>
      <c r="O261" s="811" t="s">
        <v>1702</v>
      </c>
      <c r="P261" s="811" t="s">
        <v>1630</v>
      </c>
      <c r="Q261" s="811" t="s">
        <v>1637</v>
      </c>
    </row>
    <row r="262" spans="1:17" x14ac:dyDescent="0.35">
      <c r="A262" s="811" t="s">
        <v>1959</v>
      </c>
      <c r="B262" s="811" t="s">
        <v>1960</v>
      </c>
      <c r="C262" s="812">
        <v>2300000000</v>
      </c>
      <c r="D262" s="811" t="s">
        <v>1445</v>
      </c>
      <c r="E262" s="811" t="s">
        <v>1445</v>
      </c>
      <c r="F262" s="811" t="s">
        <v>1635</v>
      </c>
      <c r="G262" s="811" t="s">
        <v>1625</v>
      </c>
      <c r="H262" s="811" t="s">
        <v>1626</v>
      </c>
      <c r="I262" s="811" t="s">
        <v>1627</v>
      </c>
      <c r="J262" s="813">
        <v>2300000000</v>
      </c>
      <c r="K262" s="811" t="s">
        <v>1628</v>
      </c>
      <c r="L262" s="811" t="s">
        <v>1210</v>
      </c>
      <c r="M262" s="811" t="s">
        <v>1608</v>
      </c>
      <c r="N262" s="811" t="s">
        <v>1608</v>
      </c>
      <c r="O262" s="811" t="s">
        <v>1702</v>
      </c>
      <c r="P262" s="811" t="s">
        <v>1630</v>
      </c>
      <c r="Q262" s="811" t="s">
        <v>1637</v>
      </c>
    </row>
    <row r="263" spans="1:17" x14ac:dyDescent="0.35">
      <c r="A263" s="811" t="s">
        <v>1708</v>
      </c>
      <c r="B263" s="811" t="s">
        <v>1961</v>
      </c>
      <c r="C263" s="812">
        <v>6300000000</v>
      </c>
      <c r="D263" s="811" t="s">
        <v>1445</v>
      </c>
      <c r="E263" s="811" t="s">
        <v>1445</v>
      </c>
      <c r="F263" s="811" t="s">
        <v>1635</v>
      </c>
      <c r="G263" s="811" t="s">
        <v>1625</v>
      </c>
      <c r="H263" s="811" t="s">
        <v>1626</v>
      </c>
      <c r="I263" s="811" t="s">
        <v>1627</v>
      </c>
      <c r="J263" s="813">
        <v>6300000000</v>
      </c>
      <c r="K263" s="811" t="s">
        <v>1628</v>
      </c>
      <c r="L263" s="811" t="s">
        <v>1210</v>
      </c>
      <c r="M263" s="811" t="s">
        <v>1608</v>
      </c>
      <c r="N263" s="811" t="s">
        <v>1608</v>
      </c>
      <c r="O263" s="811" t="s">
        <v>1702</v>
      </c>
      <c r="P263" s="811" t="s">
        <v>1630</v>
      </c>
      <c r="Q263" s="811" t="s">
        <v>1637</v>
      </c>
    </row>
    <row r="264" spans="1:17" x14ac:dyDescent="0.35">
      <c r="A264" s="811" t="s">
        <v>1622</v>
      </c>
      <c r="B264" s="811" t="s">
        <v>1962</v>
      </c>
      <c r="C264" s="812">
        <v>34850000</v>
      </c>
      <c r="D264" s="811" t="s">
        <v>1515</v>
      </c>
      <c r="E264" s="811" t="s">
        <v>1515</v>
      </c>
      <c r="F264" s="811" t="s">
        <v>1639</v>
      </c>
      <c r="G264" s="811" t="s">
        <v>1625</v>
      </c>
      <c r="H264" s="811" t="s">
        <v>1626</v>
      </c>
      <c r="I264" s="811" t="s">
        <v>1627</v>
      </c>
      <c r="J264" s="813">
        <v>34850000</v>
      </c>
      <c r="K264" s="811" t="s">
        <v>1628</v>
      </c>
      <c r="L264" s="811" t="s">
        <v>1210</v>
      </c>
      <c r="M264" s="811" t="s">
        <v>1608</v>
      </c>
      <c r="N264" s="811" t="s">
        <v>1608</v>
      </c>
      <c r="O264" s="811" t="s">
        <v>1640</v>
      </c>
      <c r="P264" s="811" t="s">
        <v>1630</v>
      </c>
      <c r="Q264" s="811" t="s">
        <v>1641</v>
      </c>
    </row>
    <row r="265" spans="1:17" x14ac:dyDescent="0.35">
      <c r="A265" s="811" t="s">
        <v>1622</v>
      </c>
      <c r="B265" s="811" t="s">
        <v>1963</v>
      </c>
      <c r="C265" s="812">
        <v>24530202</v>
      </c>
      <c r="D265" s="811" t="s">
        <v>1515</v>
      </c>
      <c r="E265" s="811" t="s">
        <v>1515</v>
      </c>
      <c r="F265" s="811" t="s">
        <v>1639</v>
      </c>
      <c r="G265" s="811" t="s">
        <v>1625</v>
      </c>
      <c r="H265" s="811" t="s">
        <v>1626</v>
      </c>
      <c r="I265" s="811" t="s">
        <v>1627</v>
      </c>
      <c r="J265" s="813">
        <v>24530202</v>
      </c>
      <c r="K265" s="811" t="s">
        <v>1628</v>
      </c>
      <c r="L265" s="811" t="s">
        <v>1210</v>
      </c>
      <c r="M265" s="811" t="s">
        <v>1608</v>
      </c>
      <c r="N265" s="811" t="s">
        <v>1608</v>
      </c>
      <c r="O265" s="811" t="s">
        <v>1818</v>
      </c>
      <c r="P265" s="811" t="s">
        <v>1630</v>
      </c>
      <c r="Q265" s="811" t="s">
        <v>1683</v>
      </c>
    </row>
    <row r="266" spans="1:17" x14ac:dyDescent="0.35">
      <c r="A266" s="811" t="s">
        <v>1622</v>
      </c>
      <c r="B266" s="811" t="s">
        <v>1964</v>
      </c>
      <c r="C266" s="812">
        <v>24530202</v>
      </c>
      <c r="D266" s="811" t="s">
        <v>1515</v>
      </c>
      <c r="E266" s="811" t="s">
        <v>1515</v>
      </c>
      <c r="F266" s="811" t="s">
        <v>1639</v>
      </c>
      <c r="G266" s="811" t="s">
        <v>1625</v>
      </c>
      <c r="H266" s="811" t="s">
        <v>1626</v>
      </c>
      <c r="I266" s="811" t="s">
        <v>1627</v>
      </c>
      <c r="J266" s="813">
        <v>24530202</v>
      </c>
      <c r="K266" s="811" t="s">
        <v>1628</v>
      </c>
      <c r="L266" s="811" t="s">
        <v>1210</v>
      </c>
      <c r="M266" s="811" t="s">
        <v>1608</v>
      </c>
      <c r="N266" s="811" t="s">
        <v>1608</v>
      </c>
      <c r="O266" s="811" t="s">
        <v>1818</v>
      </c>
      <c r="P266" s="811" t="s">
        <v>1630</v>
      </c>
      <c r="Q266" s="811" t="s">
        <v>1683</v>
      </c>
    </row>
    <row r="267" spans="1:17" x14ac:dyDescent="0.35">
      <c r="A267" s="811" t="s">
        <v>1622</v>
      </c>
      <c r="B267" s="811" t="s">
        <v>1965</v>
      </c>
      <c r="C267" s="812">
        <v>73590606</v>
      </c>
      <c r="D267" s="811" t="s">
        <v>1515</v>
      </c>
      <c r="E267" s="811" t="s">
        <v>1515</v>
      </c>
      <c r="F267" s="811" t="s">
        <v>1639</v>
      </c>
      <c r="G267" s="811" t="s">
        <v>1625</v>
      </c>
      <c r="H267" s="811" t="s">
        <v>1626</v>
      </c>
      <c r="I267" s="811" t="s">
        <v>1627</v>
      </c>
      <c r="J267" s="813">
        <v>73590606</v>
      </c>
      <c r="K267" s="811" t="s">
        <v>1628</v>
      </c>
      <c r="L267" s="811" t="s">
        <v>1210</v>
      </c>
      <c r="M267" s="811" t="s">
        <v>1608</v>
      </c>
      <c r="N267" s="811" t="s">
        <v>1608</v>
      </c>
      <c r="O267" s="811" t="s">
        <v>1818</v>
      </c>
      <c r="P267" s="811" t="s">
        <v>1630</v>
      </c>
      <c r="Q267" s="811" t="s">
        <v>1683</v>
      </c>
    </row>
    <row r="268" spans="1:17" x14ac:dyDescent="0.35">
      <c r="A268" s="811" t="s">
        <v>1622</v>
      </c>
      <c r="B268" s="811" t="s">
        <v>1966</v>
      </c>
      <c r="C268" s="812">
        <v>57000000</v>
      </c>
      <c r="D268" s="811" t="s">
        <v>1515</v>
      </c>
      <c r="E268" s="811" t="s">
        <v>1515</v>
      </c>
      <c r="F268" s="811" t="s">
        <v>1639</v>
      </c>
      <c r="G268" s="811" t="s">
        <v>1625</v>
      </c>
      <c r="H268" s="811" t="s">
        <v>1626</v>
      </c>
      <c r="I268" s="811" t="s">
        <v>1627</v>
      </c>
      <c r="J268" s="813">
        <v>57000000</v>
      </c>
      <c r="K268" s="811" t="s">
        <v>1628</v>
      </c>
      <c r="L268" s="811" t="s">
        <v>1210</v>
      </c>
      <c r="M268" s="811" t="s">
        <v>1608</v>
      </c>
      <c r="N268" s="811" t="s">
        <v>1608</v>
      </c>
      <c r="O268" s="811" t="s">
        <v>1818</v>
      </c>
      <c r="P268" s="811" t="s">
        <v>1630</v>
      </c>
      <c r="Q268" s="811" t="s">
        <v>1683</v>
      </c>
    </row>
    <row r="269" spans="1:17" x14ac:dyDescent="0.35">
      <c r="A269" s="811" t="s">
        <v>1622</v>
      </c>
      <c r="B269" s="811" t="s">
        <v>1967</v>
      </c>
      <c r="C269" s="812">
        <v>36795303</v>
      </c>
      <c r="D269" s="811" t="s">
        <v>1515</v>
      </c>
      <c r="E269" s="811" t="s">
        <v>1515</v>
      </c>
      <c r="F269" s="811" t="s">
        <v>1639</v>
      </c>
      <c r="G269" s="811" t="s">
        <v>1625</v>
      </c>
      <c r="H269" s="811" t="s">
        <v>1626</v>
      </c>
      <c r="I269" s="811" t="s">
        <v>1627</v>
      </c>
      <c r="J269" s="813">
        <v>36795303</v>
      </c>
      <c r="K269" s="811" t="s">
        <v>1628</v>
      </c>
      <c r="L269" s="811" t="s">
        <v>1210</v>
      </c>
      <c r="M269" s="811" t="s">
        <v>1608</v>
      </c>
      <c r="N269" s="811" t="s">
        <v>1608</v>
      </c>
      <c r="O269" s="811" t="s">
        <v>1818</v>
      </c>
      <c r="P269" s="811" t="s">
        <v>1630</v>
      </c>
      <c r="Q269" s="811" t="s">
        <v>1683</v>
      </c>
    </row>
    <row r="270" spans="1:17" x14ac:dyDescent="0.35">
      <c r="A270" s="811" t="s">
        <v>1622</v>
      </c>
      <c r="B270" s="811" t="s">
        <v>1968</v>
      </c>
      <c r="C270" s="812">
        <v>27800895</v>
      </c>
      <c r="D270" s="811" t="s">
        <v>1515</v>
      </c>
      <c r="E270" s="811" t="s">
        <v>1515</v>
      </c>
      <c r="F270" s="811" t="s">
        <v>1639</v>
      </c>
      <c r="G270" s="811" t="s">
        <v>1625</v>
      </c>
      <c r="H270" s="811" t="s">
        <v>1626</v>
      </c>
      <c r="I270" s="811" t="s">
        <v>1627</v>
      </c>
      <c r="J270" s="813">
        <v>27800895</v>
      </c>
      <c r="K270" s="811" t="s">
        <v>1628</v>
      </c>
      <c r="L270" s="811" t="s">
        <v>1210</v>
      </c>
      <c r="M270" s="811" t="s">
        <v>1608</v>
      </c>
      <c r="N270" s="811" t="s">
        <v>1608</v>
      </c>
      <c r="O270" s="811" t="s">
        <v>1818</v>
      </c>
      <c r="P270" s="811" t="s">
        <v>1630</v>
      </c>
      <c r="Q270" s="811" t="s">
        <v>1683</v>
      </c>
    </row>
    <row r="271" spans="1:17" x14ac:dyDescent="0.35">
      <c r="A271" s="811" t="s">
        <v>1622</v>
      </c>
      <c r="B271" s="811" t="s">
        <v>1969</v>
      </c>
      <c r="C271" s="812">
        <v>16000000</v>
      </c>
      <c r="D271" s="811" t="s">
        <v>1515</v>
      </c>
      <c r="E271" s="811" t="s">
        <v>1515</v>
      </c>
      <c r="F271" s="811" t="s">
        <v>1689</v>
      </c>
      <c r="G271" s="811" t="s">
        <v>1625</v>
      </c>
      <c r="H271" s="811" t="s">
        <v>1626</v>
      </c>
      <c r="I271" s="811" t="s">
        <v>1627</v>
      </c>
      <c r="J271" s="813">
        <v>16000000</v>
      </c>
      <c r="K271" s="811" t="s">
        <v>1628</v>
      </c>
      <c r="L271" s="811" t="s">
        <v>1210</v>
      </c>
      <c r="M271" s="811" t="s">
        <v>1608</v>
      </c>
      <c r="N271" s="811" t="s">
        <v>1608</v>
      </c>
      <c r="O271" s="811" t="s">
        <v>1766</v>
      </c>
      <c r="P271" s="811" t="s">
        <v>1630</v>
      </c>
      <c r="Q271" s="811" t="s">
        <v>1683</v>
      </c>
    </row>
    <row r="272" spans="1:17" x14ac:dyDescent="0.35">
      <c r="A272" s="811" t="s">
        <v>1970</v>
      </c>
      <c r="B272" s="811" t="s">
        <v>1971</v>
      </c>
      <c r="C272" s="812">
        <v>59000000</v>
      </c>
      <c r="D272" s="811" t="s">
        <v>1429</v>
      </c>
      <c r="E272" s="811" t="s">
        <v>1429</v>
      </c>
      <c r="F272" s="811" t="s">
        <v>1972</v>
      </c>
      <c r="G272" s="811" t="s">
        <v>1625</v>
      </c>
      <c r="H272" s="811" t="s">
        <v>1550</v>
      </c>
      <c r="I272" s="811" t="s">
        <v>1627</v>
      </c>
      <c r="J272" s="813">
        <v>59000000</v>
      </c>
      <c r="K272" s="811" t="s">
        <v>1628</v>
      </c>
      <c r="L272" s="811" t="s">
        <v>1210</v>
      </c>
      <c r="M272" s="811" t="s">
        <v>1608</v>
      </c>
      <c r="N272" s="811" t="s">
        <v>1608</v>
      </c>
      <c r="O272" s="811" t="s">
        <v>1629</v>
      </c>
      <c r="P272" s="811" t="s">
        <v>1630</v>
      </c>
      <c r="Q272" s="811" t="s">
        <v>1631</v>
      </c>
    </row>
    <row r="273" spans="1:17" x14ac:dyDescent="0.35">
      <c r="A273" s="811" t="s">
        <v>1622</v>
      </c>
      <c r="B273" s="811" t="s">
        <v>1973</v>
      </c>
      <c r="C273" s="812">
        <v>33000000</v>
      </c>
      <c r="D273" s="811" t="s">
        <v>1515</v>
      </c>
      <c r="E273" s="811" t="s">
        <v>1515</v>
      </c>
      <c r="F273" s="811" t="s">
        <v>1624</v>
      </c>
      <c r="G273" s="811" t="s">
        <v>1625</v>
      </c>
      <c r="H273" s="811" t="s">
        <v>1626</v>
      </c>
      <c r="I273" s="811" t="s">
        <v>1627</v>
      </c>
      <c r="J273" s="813">
        <v>33000000</v>
      </c>
      <c r="K273" s="811" t="s">
        <v>1628</v>
      </c>
      <c r="L273" s="811" t="s">
        <v>1210</v>
      </c>
      <c r="M273" s="811" t="s">
        <v>1608</v>
      </c>
      <c r="N273" s="811" t="s">
        <v>1608</v>
      </c>
      <c r="O273" s="811" t="s">
        <v>1659</v>
      </c>
      <c r="P273" s="811" t="s">
        <v>1630</v>
      </c>
      <c r="Q273" s="811" t="s">
        <v>1631</v>
      </c>
    </row>
    <row r="274" spans="1:17" x14ac:dyDescent="0.35">
      <c r="A274" s="811" t="s">
        <v>1622</v>
      </c>
      <c r="B274" s="811" t="s">
        <v>1974</v>
      </c>
      <c r="C274" s="812">
        <v>34100000</v>
      </c>
      <c r="D274" s="811" t="s">
        <v>1515</v>
      </c>
      <c r="E274" s="811" t="s">
        <v>1515</v>
      </c>
      <c r="F274" s="811" t="s">
        <v>1624</v>
      </c>
      <c r="G274" s="811" t="s">
        <v>1625</v>
      </c>
      <c r="H274" s="811" t="s">
        <v>1626</v>
      </c>
      <c r="I274" s="811" t="s">
        <v>1627</v>
      </c>
      <c r="J274" s="813">
        <v>34100000</v>
      </c>
      <c r="K274" s="811" t="s">
        <v>1628</v>
      </c>
      <c r="L274" s="811" t="s">
        <v>1210</v>
      </c>
      <c r="M274" s="811" t="s">
        <v>1608</v>
      </c>
      <c r="N274" s="811" t="s">
        <v>1608</v>
      </c>
      <c r="O274" s="811" t="s">
        <v>1659</v>
      </c>
      <c r="P274" s="811" t="s">
        <v>1630</v>
      </c>
      <c r="Q274" s="811" t="s">
        <v>1631</v>
      </c>
    </row>
    <row r="275" spans="1:17" x14ac:dyDescent="0.35">
      <c r="A275" s="811" t="s">
        <v>1622</v>
      </c>
      <c r="B275" s="811" t="s">
        <v>1975</v>
      </c>
      <c r="C275" s="812">
        <v>29600000</v>
      </c>
      <c r="D275" s="811" t="s">
        <v>1515</v>
      </c>
      <c r="E275" s="811" t="s">
        <v>1515</v>
      </c>
      <c r="F275" s="811" t="s">
        <v>1624</v>
      </c>
      <c r="G275" s="811" t="s">
        <v>1625</v>
      </c>
      <c r="H275" s="811" t="s">
        <v>1626</v>
      </c>
      <c r="I275" s="811" t="s">
        <v>1627</v>
      </c>
      <c r="J275" s="813">
        <v>29600000</v>
      </c>
      <c r="K275" s="811" t="s">
        <v>1628</v>
      </c>
      <c r="L275" s="811" t="s">
        <v>1210</v>
      </c>
      <c r="M275" s="811" t="s">
        <v>1608</v>
      </c>
      <c r="N275" s="811" t="s">
        <v>1608</v>
      </c>
      <c r="O275" s="811" t="s">
        <v>1629</v>
      </c>
      <c r="P275" s="811" t="s">
        <v>1630</v>
      </c>
      <c r="Q275" s="811" t="s">
        <v>1631</v>
      </c>
    </row>
    <row r="276" spans="1:17" x14ac:dyDescent="0.35">
      <c r="A276" s="811" t="s">
        <v>1622</v>
      </c>
      <c r="B276" s="811" t="s">
        <v>1976</v>
      </c>
      <c r="C276" s="812">
        <v>28800000</v>
      </c>
      <c r="D276" s="811" t="s">
        <v>1515</v>
      </c>
      <c r="E276" s="811" t="s">
        <v>1515</v>
      </c>
      <c r="F276" s="811" t="s">
        <v>1624</v>
      </c>
      <c r="G276" s="811" t="s">
        <v>1625</v>
      </c>
      <c r="H276" s="811" t="s">
        <v>1626</v>
      </c>
      <c r="I276" s="811" t="s">
        <v>1627</v>
      </c>
      <c r="J276" s="813">
        <v>28800000</v>
      </c>
      <c r="K276" s="811" t="s">
        <v>1628</v>
      </c>
      <c r="L276" s="811" t="s">
        <v>1210</v>
      </c>
      <c r="M276" s="811" t="s">
        <v>1608</v>
      </c>
      <c r="N276" s="811" t="s">
        <v>1608</v>
      </c>
      <c r="O276" s="811" t="s">
        <v>1629</v>
      </c>
      <c r="P276" s="811" t="s">
        <v>1630</v>
      </c>
      <c r="Q276" s="811" t="s">
        <v>1631</v>
      </c>
    </row>
    <row r="277" spans="1:17" x14ac:dyDescent="0.35">
      <c r="A277" s="811" t="s">
        <v>1622</v>
      </c>
      <c r="B277" s="811" t="s">
        <v>1977</v>
      </c>
      <c r="C277" s="812">
        <v>28800000</v>
      </c>
      <c r="D277" s="811" t="s">
        <v>1515</v>
      </c>
      <c r="E277" s="811" t="s">
        <v>1515</v>
      </c>
      <c r="F277" s="811" t="s">
        <v>1624</v>
      </c>
      <c r="G277" s="811" t="s">
        <v>1625</v>
      </c>
      <c r="H277" s="811" t="s">
        <v>1626</v>
      </c>
      <c r="I277" s="811" t="s">
        <v>1627</v>
      </c>
      <c r="J277" s="813">
        <v>28800000</v>
      </c>
      <c r="K277" s="811" t="s">
        <v>1628</v>
      </c>
      <c r="L277" s="811" t="s">
        <v>1210</v>
      </c>
      <c r="M277" s="811" t="s">
        <v>1608</v>
      </c>
      <c r="N277" s="811" t="s">
        <v>1608</v>
      </c>
      <c r="O277" s="811" t="s">
        <v>1629</v>
      </c>
      <c r="P277" s="811" t="s">
        <v>1630</v>
      </c>
      <c r="Q277" s="811" t="s">
        <v>1631</v>
      </c>
    </row>
    <row r="278" spans="1:17" x14ac:dyDescent="0.35">
      <c r="A278" s="811" t="s">
        <v>1622</v>
      </c>
      <c r="B278" s="811" t="s">
        <v>1978</v>
      </c>
      <c r="C278" s="812">
        <v>28800000</v>
      </c>
      <c r="D278" s="811" t="s">
        <v>1515</v>
      </c>
      <c r="E278" s="811" t="s">
        <v>1515</v>
      </c>
      <c r="F278" s="811" t="s">
        <v>1712</v>
      </c>
      <c r="G278" s="811" t="s">
        <v>1625</v>
      </c>
      <c r="H278" s="811" t="s">
        <v>1626</v>
      </c>
      <c r="I278" s="811" t="s">
        <v>1627</v>
      </c>
      <c r="J278" s="813">
        <v>28800000</v>
      </c>
      <c r="K278" s="811" t="s">
        <v>1628</v>
      </c>
      <c r="L278" s="811" t="s">
        <v>1210</v>
      </c>
      <c r="M278" s="811" t="s">
        <v>1608</v>
      </c>
      <c r="N278" s="811" t="s">
        <v>1608</v>
      </c>
      <c r="O278" s="811" t="s">
        <v>1629</v>
      </c>
      <c r="P278" s="811" t="s">
        <v>1630</v>
      </c>
      <c r="Q278" s="811" t="s">
        <v>1631</v>
      </c>
    </row>
    <row r="279" spans="1:17" x14ac:dyDescent="0.35">
      <c r="A279" s="811" t="s">
        <v>1622</v>
      </c>
      <c r="B279" s="811" t="s">
        <v>1979</v>
      </c>
      <c r="C279" s="812">
        <v>16000000</v>
      </c>
      <c r="D279" s="811" t="s">
        <v>1515</v>
      </c>
      <c r="E279" s="811" t="s">
        <v>1515</v>
      </c>
      <c r="F279" s="811" t="s">
        <v>1691</v>
      </c>
      <c r="G279" s="811" t="s">
        <v>1625</v>
      </c>
      <c r="H279" s="811" t="s">
        <v>1626</v>
      </c>
      <c r="I279" s="811" t="s">
        <v>1627</v>
      </c>
      <c r="J279" s="813">
        <v>16000000</v>
      </c>
      <c r="K279" s="811" t="s">
        <v>1628</v>
      </c>
      <c r="L279" s="811" t="s">
        <v>1210</v>
      </c>
      <c r="M279" s="811" t="s">
        <v>1608</v>
      </c>
      <c r="N279" s="811" t="s">
        <v>1608</v>
      </c>
      <c r="O279" s="811" t="s">
        <v>1980</v>
      </c>
      <c r="P279" s="811" t="s">
        <v>1630</v>
      </c>
      <c r="Q279" s="811" t="s">
        <v>1953</v>
      </c>
    </row>
    <row r="280" spans="1:17" x14ac:dyDescent="0.35">
      <c r="A280" s="811" t="s">
        <v>1622</v>
      </c>
      <c r="B280" s="811" t="s">
        <v>1981</v>
      </c>
      <c r="C280" s="812">
        <v>36000000</v>
      </c>
      <c r="D280" s="811" t="s">
        <v>1515</v>
      </c>
      <c r="E280" s="811" t="s">
        <v>1515</v>
      </c>
      <c r="F280" s="811" t="s">
        <v>1635</v>
      </c>
      <c r="G280" s="811" t="s">
        <v>1625</v>
      </c>
      <c r="H280" s="811" t="s">
        <v>1626</v>
      </c>
      <c r="I280" s="811" t="s">
        <v>1627</v>
      </c>
      <c r="J280" s="813">
        <v>36000000</v>
      </c>
      <c r="K280" s="811" t="s">
        <v>1628</v>
      </c>
      <c r="L280" s="811" t="s">
        <v>1210</v>
      </c>
      <c r="M280" s="811" t="s">
        <v>1608</v>
      </c>
      <c r="N280" s="811" t="s">
        <v>1608</v>
      </c>
      <c r="O280" s="811" t="s">
        <v>1677</v>
      </c>
      <c r="P280" s="811" t="s">
        <v>1630</v>
      </c>
      <c r="Q280" s="811" t="s">
        <v>1678</v>
      </c>
    </row>
    <row r="281" spans="1:17" x14ac:dyDescent="0.35">
      <c r="A281" s="811" t="s">
        <v>1622</v>
      </c>
      <c r="B281" s="811" t="s">
        <v>1982</v>
      </c>
      <c r="C281" s="812">
        <v>48000000</v>
      </c>
      <c r="D281" s="811" t="s">
        <v>1420</v>
      </c>
      <c r="E281" s="811" t="s">
        <v>1420</v>
      </c>
      <c r="F281" s="811" t="s">
        <v>1635</v>
      </c>
      <c r="G281" s="811" t="s">
        <v>1625</v>
      </c>
      <c r="H281" s="811" t="s">
        <v>1626</v>
      </c>
      <c r="I281" s="811" t="s">
        <v>1627</v>
      </c>
      <c r="J281" s="813">
        <v>48000000</v>
      </c>
      <c r="K281" s="811" t="s">
        <v>1628</v>
      </c>
      <c r="L281" s="811" t="s">
        <v>1210</v>
      </c>
      <c r="M281" s="811" t="s">
        <v>1608</v>
      </c>
      <c r="N281" s="811" t="s">
        <v>1608</v>
      </c>
      <c r="O281" s="811" t="s">
        <v>1702</v>
      </c>
      <c r="P281" s="811" t="s">
        <v>1630</v>
      </c>
      <c r="Q281" s="811" t="s">
        <v>1637</v>
      </c>
    </row>
    <row r="282" spans="1:17" x14ac:dyDescent="0.35">
      <c r="A282" s="811" t="s">
        <v>1622</v>
      </c>
      <c r="B282" s="811" t="s">
        <v>1983</v>
      </c>
      <c r="C282" s="812">
        <v>24000000</v>
      </c>
      <c r="D282" s="811" t="s">
        <v>1420</v>
      </c>
      <c r="E282" s="811" t="s">
        <v>1420</v>
      </c>
      <c r="F282" s="811" t="s">
        <v>1635</v>
      </c>
      <c r="G282" s="811" t="s">
        <v>1625</v>
      </c>
      <c r="H282" s="811" t="s">
        <v>1626</v>
      </c>
      <c r="I282" s="811" t="s">
        <v>1627</v>
      </c>
      <c r="J282" s="813">
        <v>24000000</v>
      </c>
      <c r="K282" s="811" t="s">
        <v>1628</v>
      </c>
      <c r="L282" s="811" t="s">
        <v>1210</v>
      </c>
      <c r="M282" s="811" t="s">
        <v>1608</v>
      </c>
      <c r="N282" s="811" t="s">
        <v>1608</v>
      </c>
      <c r="O282" s="811" t="s">
        <v>1702</v>
      </c>
      <c r="P282" s="811" t="s">
        <v>1630</v>
      </c>
      <c r="Q282" s="811" t="s">
        <v>1637</v>
      </c>
    </row>
    <row r="283" spans="1:17" x14ac:dyDescent="0.35">
      <c r="A283" s="811" t="s">
        <v>1622</v>
      </c>
      <c r="B283" s="811" t="s">
        <v>1984</v>
      </c>
      <c r="C283" s="812">
        <v>24000000</v>
      </c>
      <c r="D283" s="811" t="s">
        <v>1420</v>
      </c>
      <c r="E283" s="811" t="s">
        <v>1420</v>
      </c>
      <c r="F283" s="811" t="s">
        <v>1635</v>
      </c>
      <c r="G283" s="811" t="s">
        <v>1625</v>
      </c>
      <c r="H283" s="811" t="s">
        <v>1626</v>
      </c>
      <c r="I283" s="811" t="s">
        <v>1627</v>
      </c>
      <c r="J283" s="813">
        <v>24000000</v>
      </c>
      <c r="K283" s="811" t="s">
        <v>1628</v>
      </c>
      <c r="L283" s="811" t="s">
        <v>1210</v>
      </c>
      <c r="M283" s="811" t="s">
        <v>1608</v>
      </c>
      <c r="N283" s="811" t="s">
        <v>1608</v>
      </c>
      <c r="O283" s="811" t="s">
        <v>1702</v>
      </c>
      <c r="P283" s="811" t="s">
        <v>1630</v>
      </c>
      <c r="Q283" s="811" t="s">
        <v>1637</v>
      </c>
    </row>
    <row r="284" spans="1:17" x14ac:dyDescent="0.35">
      <c r="A284" s="811" t="s">
        <v>1622</v>
      </c>
      <c r="B284" s="811" t="s">
        <v>1985</v>
      </c>
      <c r="C284" s="812">
        <v>24000000</v>
      </c>
      <c r="D284" s="811" t="s">
        <v>1420</v>
      </c>
      <c r="E284" s="811" t="s">
        <v>1420</v>
      </c>
      <c r="F284" s="811" t="s">
        <v>1635</v>
      </c>
      <c r="G284" s="811" t="s">
        <v>1625</v>
      </c>
      <c r="H284" s="811" t="s">
        <v>1626</v>
      </c>
      <c r="I284" s="811" t="s">
        <v>1627</v>
      </c>
      <c r="J284" s="813">
        <v>24000000</v>
      </c>
      <c r="K284" s="811" t="s">
        <v>1628</v>
      </c>
      <c r="L284" s="811" t="s">
        <v>1210</v>
      </c>
      <c r="M284" s="811" t="s">
        <v>1608</v>
      </c>
      <c r="N284" s="811" t="s">
        <v>1608</v>
      </c>
      <c r="O284" s="811" t="s">
        <v>1702</v>
      </c>
      <c r="P284" s="811" t="s">
        <v>1630</v>
      </c>
      <c r="Q284" s="811" t="s">
        <v>1637</v>
      </c>
    </row>
    <row r="285" spans="1:17" x14ac:dyDescent="0.35">
      <c r="A285" s="811" t="s">
        <v>1622</v>
      </c>
      <c r="B285" s="811" t="s">
        <v>1986</v>
      </c>
      <c r="C285" s="812">
        <v>34850000</v>
      </c>
      <c r="D285" s="811" t="s">
        <v>1515</v>
      </c>
      <c r="E285" s="811" t="s">
        <v>1515</v>
      </c>
      <c r="F285" s="811" t="s">
        <v>1639</v>
      </c>
      <c r="G285" s="811" t="s">
        <v>1625</v>
      </c>
      <c r="H285" s="811" t="s">
        <v>1626</v>
      </c>
      <c r="I285" s="811" t="s">
        <v>1627</v>
      </c>
      <c r="J285" s="813">
        <v>34850000</v>
      </c>
      <c r="K285" s="811" t="s">
        <v>1628</v>
      </c>
      <c r="L285" s="811" t="s">
        <v>1210</v>
      </c>
      <c r="M285" s="811" t="s">
        <v>1608</v>
      </c>
      <c r="N285" s="811" t="s">
        <v>1608</v>
      </c>
      <c r="O285" s="811" t="s">
        <v>1640</v>
      </c>
      <c r="P285" s="811" t="s">
        <v>1630</v>
      </c>
      <c r="Q285" s="811" t="s">
        <v>1641</v>
      </c>
    </row>
    <row r="286" spans="1:17" x14ac:dyDescent="0.35">
      <c r="A286" s="811" t="s">
        <v>1622</v>
      </c>
      <c r="B286" s="811" t="s">
        <v>1987</v>
      </c>
      <c r="C286" s="812">
        <v>34850000</v>
      </c>
      <c r="D286" s="811" t="s">
        <v>1515</v>
      </c>
      <c r="E286" s="811" t="s">
        <v>1515</v>
      </c>
      <c r="F286" s="811" t="s">
        <v>1639</v>
      </c>
      <c r="G286" s="811" t="s">
        <v>1625</v>
      </c>
      <c r="H286" s="811" t="s">
        <v>1626</v>
      </c>
      <c r="I286" s="811" t="s">
        <v>1627</v>
      </c>
      <c r="J286" s="813">
        <v>34850000</v>
      </c>
      <c r="K286" s="811" t="s">
        <v>1628</v>
      </c>
      <c r="L286" s="811" t="s">
        <v>1210</v>
      </c>
      <c r="M286" s="811" t="s">
        <v>1608</v>
      </c>
      <c r="N286" s="811" t="s">
        <v>1608</v>
      </c>
      <c r="O286" s="811" t="s">
        <v>1640</v>
      </c>
      <c r="P286" s="811" t="s">
        <v>1630</v>
      </c>
      <c r="Q286" s="811" t="s">
        <v>1641</v>
      </c>
    </row>
    <row r="287" spans="1:17" x14ac:dyDescent="0.35">
      <c r="A287" s="811" t="s">
        <v>1622</v>
      </c>
      <c r="B287" s="811" t="s">
        <v>1988</v>
      </c>
      <c r="C287" s="812">
        <v>58300000</v>
      </c>
      <c r="D287" s="811" t="s">
        <v>1424</v>
      </c>
      <c r="E287" s="811" t="s">
        <v>1424</v>
      </c>
      <c r="F287" s="811" t="s">
        <v>1662</v>
      </c>
      <c r="G287" s="811" t="s">
        <v>1625</v>
      </c>
      <c r="H287" s="811" t="s">
        <v>1626</v>
      </c>
      <c r="I287" s="811" t="s">
        <v>1627</v>
      </c>
      <c r="J287" s="813">
        <v>58300000</v>
      </c>
      <c r="K287" s="811" t="s">
        <v>1628</v>
      </c>
      <c r="L287" s="811" t="s">
        <v>1210</v>
      </c>
      <c r="M287" s="811" t="s">
        <v>1608</v>
      </c>
      <c r="N287" s="811" t="s">
        <v>1608</v>
      </c>
      <c r="O287" s="811" t="s">
        <v>1732</v>
      </c>
      <c r="P287" s="811" t="s">
        <v>1733</v>
      </c>
      <c r="Q287" s="811" t="s">
        <v>1631</v>
      </c>
    </row>
    <row r="288" spans="1:17" x14ac:dyDescent="0.35">
      <c r="A288" s="811" t="s">
        <v>1622</v>
      </c>
      <c r="B288" s="811" t="s">
        <v>1989</v>
      </c>
      <c r="C288" s="812">
        <v>64900000</v>
      </c>
      <c r="D288" s="811" t="s">
        <v>1424</v>
      </c>
      <c r="E288" s="811" t="s">
        <v>1424</v>
      </c>
      <c r="F288" s="811" t="s">
        <v>1662</v>
      </c>
      <c r="G288" s="811" t="s">
        <v>1625</v>
      </c>
      <c r="H288" s="811" t="s">
        <v>1626</v>
      </c>
      <c r="I288" s="811" t="s">
        <v>1627</v>
      </c>
      <c r="J288" s="813">
        <v>64900000</v>
      </c>
      <c r="K288" s="811" t="s">
        <v>1628</v>
      </c>
      <c r="L288" s="811" t="s">
        <v>1210</v>
      </c>
      <c r="M288" s="811" t="s">
        <v>1608</v>
      </c>
      <c r="N288" s="811" t="s">
        <v>1608</v>
      </c>
      <c r="O288" s="811" t="s">
        <v>1732</v>
      </c>
      <c r="P288" s="811" t="s">
        <v>1733</v>
      </c>
      <c r="Q288" s="811" t="s">
        <v>1631</v>
      </c>
    </row>
    <row r="289" spans="1:17" x14ac:dyDescent="0.35">
      <c r="A289" s="811" t="s">
        <v>1622</v>
      </c>
      <c r="B289" s="811" t="s">
        <v>1990</v>
      </c>
      <c r="C289" s="812">
        <v>44000000</v>
      </c>
      <c r="D289" s="811" t="s">
        <v>1424</v>
      </c>
      <c r="E289" s="811" t="s">
        <v>1424</v>
      </c>
      <c r="F289" s="811" t="s">
        <v>1662</v>
      </c>
      <c r="G289" s="811" t="s">
        <v>1625</v>
      </c>
      <c r="H289" s="811" t="s">
        <v>1626</v>
      </c>
      <c r="I289" s="811" t="s">
        <v>1627</v>
      </c>
      <c r="J289" s="813">
        <v>44000000</v>
      </c>
      <c r="K289" s="811" t="s">
        <v>1628</v>
      </c>
      <c r="L289" s="811" t="s">
        <v>1210</v>
      </c>
      <c r="M289" s="811" t="s">
        <v>1608</v>
      </c>
      <c r="N289" s="811" t="s">
        <v>1608</v>
      </c>
      <c r="O289" s="811" t="s">
        <v>1732</v>
      </c>
      <c r="P289" s="811" t="s">
        <v>1733</v>
      </c>
      <c r="Q289" s="811" t="s">
        <v>1631</v>
      </c>
    </row>
    <row r="290" spans="1:17" x14ac:dyDescent="0.35">
      <c r="A290" s="811" t="s">
        <v>1622</v>
      </c>
      <c r="B290" s="811" t="s">
        <v>1991</v>
      </c>
      <c r="C290" s="812">
        <v>64900000</v>
      </c>
      <c r="D290" s="811" t="s">
        <v>1424</v>
      </c>
      <c r="E290" s="811" t="s">
        <v>1424</v>
      </c>
      <c r="F290" s="811" t="s">
        <v>1662</v>
      </c>
      <c r="G290" s="811" t="s">
        <v>1625</v>
      </c>
      <c r="H290" s="811" t="s">
        <v>1626</v>
      </c>
      <c r="I290" s="811" t="s">
        <v>1627</v>
      </c>
      <c r="J290" s="813">
        <v>64900000</v>
      </c>
      <c r="K290" s="811" t="s">
        <v>1628</v>
      </c>
      <c r="L290" s="811" t="s">
        <v>1210</v>
      </c>
      <c r="M290" s="811" t="s">
        <v>1608</v>
      </c>
      <c r="N290" s="811" t="s">
        <v>1608</v>
      </c>
      <c r="O290" s="811" t="s">
        <v>1732</v>
      </c>
      <c r="P290" s="811" t="s">
        <v>1733</v>
      </c>
      <c r="Q290" s="811" t="s">
        <v>1631</v>
      </c>
    </row>
    <row r="291" spans="1:17" x14ac:dyDescent="0.35">
      <c r="A291" s="811" t="s">
        <v>1622</v>
      </c>
      <c r="B291" s="811" t="s">
        <v>1992</v>
      </c>
      <c r="C291" s="812">
        <v>64900000</v>
      </c>
      <c r="D291" s="811" t="s">
        <v>1424</v>
      </c>
      <c r="E291" s="811" t="s">
        <v>1424</v>
      </c>
      <c r="F291" s="811" t="s">
        <v>1662</v>
      </c>
      <c r="G291" s="811" t="s">
        <v>1625</v>
      </c>
      <c r="H291" s="811" t="s">
        <v>1626</v>
      </c>
      <c r="I291" s="811" t="s">
        <v>1627</v>
      </c>
      <c r="J291" s="813">
        <v>64900000</v>
      </c>
      <c r="K291" s="811" t="s">
        <v>1628</v>
      </c>
      <c r="L291" s="811" t="s">
        <v>1210</v>
      </c>
      <c r="M291" s="811" t="s">
        <v>1608</v>
      </c>
      <c r="N291" s="811" t="s">
        <v>1608</v>
      </c>
      <c r="O291" s="811" t="s">
        <v>1732</v>
      </c>
      <c r="P291" s="811" t="s">
        <v>1733</v>
      </c>
      <c r="Q291" s="811" t="s">
        <v>1631</v>
      </c>
    </row>
    <row r="292" spans="1:17" x14ac:dyDescent="0.35">
      <c r="A292" s="811" t="s">
        <v>1622</v>
      </c>
      <c r="B292" s="811" t="s">
        <v>1993</v>
      </c>
      <c r="C292" s="812">
        <v>70800000</v>
      </c>
      <c r="D292" s="811" t="s">
        <v>1414</v>
      </c>
      <c r="E292" s="811" t="s">
        <v>1414</v>
      </c>
      <c r="F292" s="811" t="s">
        <v>1645</v>
      </c>
      <c r="G292" s="811" t="s">
        <v>1625</v>
      </c>
      <c r="H292" s="811" t="s">
        <v>1626</v>
      </c>
      <c r="I292" s="811" t="s">
        <v>1627</v>
      </c>
      <c r="J292" s="813">
        <v>70800000</v>
      </c>
      <c r="K292" s="811" t="s">
        <v>1628</v>
      </c>
      <c r="L292" s="811" t="s">
        <v>1210</v>
      </c>
      <c r="M292" s="811" t="s">
        <v>1608</v>
      </c>
      <c r="N292" s="811" t="s">
        <v>1608</v>
      </c>
      <c r="O292" s="811" t="s">
        <v>1732</v>
      </c>
      <c r="P292" s="811" t="s">
        <v>1733</v>
      </c>
      <c r="Q292" s="811" t="s">
        <v>1631</v>
      </c>
    </row>
    <row r="293" spans="1:17" x14ac:dyDescent="0.35">
      <c r="A293" s="811" t="s">
        <v>1622</v>
      </c>
      <c r="B293" s="811" t="s">
        <v>1994</v>
      </c>
      <c r="C293" s="812">
        <v>28600000</v>
      </c>
      <c r="D293" s="811" t="s">
        <v>1424</v>
      </c>
      <c r="E293" s="811" t="s">
        <v>1424</v>
      </c>
      <c r="F293" s="811" t="s">
        <v>1662</v>
      </c>
      <c r="G293" s="811" t="s">
        <v>1625</v>
      </c>
      <c r="H293" s="811" t="s">
        <v>1626</v>
      </c>
      <c r="I293" s="811" t="s">
        <v>1627</v>
      </c>
      <c r="J293" s="813">
        <v>28600000</v>
      </c>
      <c r="K293" s="811" t="s">
        <v>1628</v>
      </c>
      <c r="L293" s="811" t="s">
        <v>1210</v>
      </c>
      <c r="M293" s="811" t="s">
        <v>1608</v>
      </c>
      <c r="N293" s="811" t="s">
        <v>1608</v>
      </c>
      <c r="O293" s="811" t="s">
        <v>1732</v>
      </c>
      <c r="P293" s="811" t="s">
        <v>1733</v>
      </c>
      <c r="Q293" s="811" t="s">
        <v>1631</v>
      </c>
    </row>
    <row r="294" spans="1:17" x14ac:dyDescent="0.35">
      <c r="A294" s="811" t="s">
        <v>1622</v>
      </c>
      <c r="B294" s="811" t="s">
        <v>1661</v>
      </c>
      <c r="C294" s="812">
        <v>44330000</v>
      </c>
      <c r="D294" s="811" t="s">
        <v>1424</v>
      </c>
      <c r="E294" s="811" t="s">
        <v>1424</v>
      </c>
      <c r="F294" s="811" t="s">
        <v>1645</v>
      </c>
      <c r="G294" s="811" t="s">
        <v>1625</v>
      </c>
      <c r="H294" s="811" t="s">
        <v>1626</v>
      </c>
      <c r="I294" s="811" t="s">
        <v>1627</v>
      </c>
      <c r="J294" s="813">
        <v>44330000</v>
      </c>
      <c r="K294" s="811" t="s">
        <v>1628</v>
      </c>
      <c r="L294" s="811" t="s">
        <v>1210</v>
      </c>
      <c r="M294" s="811" t="s">
        <v>1608</v>
      </c>
      <c r="N294" s="811" t="s">
        <v>1608</v>
      </c>
      <c r="O294" s="811" t="s">
        <v>1732</v>
      </c>
      <c r="P294" s="811" t="s">
        <v>1733</v>
      </c>
      <c r="Q294" s="811" t="s">
        <v>1631</v>
      </c>
    </row>
    <row r="295" spans="1:17" x14ac:dyDescent="0.35">
      <c r="A295" s="811" t="s">
        <v>1622</v>
      </c>
      <c r="B295" s="811" t="s">
        <v>1995</v>
      </c>
      <c r="C295" s="812">
        <v>77000000</v>
      </c>
      <c r="D295" s="811" t="s">
        <v>1424</v>
      </c>
      <c r="E295" s="811" t="s">
        <v>1424</v>
      </c>
      <c r="F295" s="811" t="s">
        <v>1662</v>
      </c>
      <c r="G295" s="811" t="s">
        <v>1625</v>
      </c>
      <c r="H295" s="811" t="s">
        <v>1626</v>
      </c>
      <c r="I295" s="811" t="s">
        <v>1627</v>
      </c>
      <c r="J295" s="813">
        <v>77000000</v>
      </c>
      <c r="K295" s="811" t="s">
        <v>1628</v>
      </c>
      <c r="L295" s="811" t="s">
        <v>1210</v>
      </c>
      <c r="M295" s="811" t="s">
        <v>1608</v>
      </c>
      <c r="N295" s="811" t="s">
        <v>1608</v>
      </c>
      <c r="O295" s="811" t="s">
        <v>1732</v>
      </c>
      <c r="P295" s="811" t="s">
        <v>1733</v>
      </c>
      <c r="Q295" s="811" t="s">
        <v>1631</v>
      </c>
    </row>
    <row r="296" spans="1:17" x14ac:dyDescent="0.35">
      <c r="A296" s="811" t="s">
        <v>1622</v>
      </c>
      <c r="B296" s="811" t="s">
        <v>1660</v>
      </c>
      <c r="C296" s="812">
        <v>58300000</v>
      </c>
      <c r="D296" s="811" t="s">
        <v>1424</v>
      </c>
      <c r="E296" s="811" t="s">
        <v>1424</v>
      </c>
      <c r="F296" s="811" t="s">
        <v>1645</v>
      </c>
      <c r="G296" s="811" t="s">
        <v>1625</v>
      </c>
      <c r="H296" s="811" t="s">
        <v>1626</v>
      </c>
      <c r="I296" s="811" t="s">
        <v>1627</v>
      </c>
      <c r="J296" s="813">
        <v>58300000</v>
      </c>
      <c r="K296" s="811" t="s">
        <v>1628</v>
      </c>
      <c r="L296" s="811" t="s">
        <v>1210</v>
      </c>
      <c r="M296" s="811" t="s">
        <v>1608</v>
      </c>
      <c r="N296" s="811" t="s">
        <v>1608</v>
      </c>
      <c r="O296" s="811" t="s">
        <v>1732</v>
      </c>
      <c r="P296" s="811" t="s">
        <v>1733</v>
      </c>
      <c r="Q296" s="811" t="s">
        <v>1631</v>
      </c>
    </row>
    <row r="297" spans="1:17" x14ac:dyDescent="0.35">
      <c r="A297" s="811" t="s">
        <v>1622</v>
      </c>
      <c r="B297" s="811" t="s">
        <v>1949</v>
      </c>
      <c r="C297" s="812">
        <v>44000000</v>
      </c>
      <c r="D297" s="811" t="s">
        <v>1424</v>
      </c>
      <c r="E297" s="811" t="s">
        <v>1424</v>
      </c>
      <c r="F297" s="811" t="s">
        <v>1645</v>
      </c>
      <c r="G297" s="811" t="s">
        <v>1625</v>
      </c>
      <c r="H297" s="811" t="s">
        <v>1626</v>
      </c>
      <c r="I297" s="811" t="s">
        <v>1627</v>
      </c>
      <c r="J297" s="813">
        <v>44000000</v>
      </c>
      <c r="K297" s="811" t="s">
        <v>1628</v>
      </c>
      <c r="L297" s="811" t="s">
        <v>1210</v>
      </c>
      <c r="M297" s="811" t="s">
        <v>1608</v>
      </c>
      <c r="N297" s="811" t="s">
        <v>1608</v>
      </c>
      <c r="O297" s="811" t="s">
        <v>1732</v>
      </c>
      <c r="P297" s="811" t="s">
        <v>1733</v>
      </c>
      <c r="Q297" s="811" t="s">
        <v>1631</v>
      </c>
    </row>
    <row r="298" spans="1:17" x14ac:dyDescent="0.35">
      <c r="A298" s="811" t="s">
        <v>1622</v>
      </c>
      <c r="B298" s="811" t="s">
        <v>1660</v>
      </c>
      <c r="C298" s="812">
        <v>43780000</v>
      </c>
      <c r="D298" s="811" t="s">
        <v>1424</v>
      </c>
      <c r="E298" s="811" t="s">
        <v>1424</v>
      </c>
      <c r="F298" s="811" t="s">
        <v>1645</v>
      </c>
      <c r="G298" s="811" t="s">
        <v>1625</v>
      </c>
      <c r="H298" s="811" t="s">
        <v>1626</v>
      </c>
      <c r="I298" s="811" t="s">
        <v>1627</v>
      </c>
      <c r="J298" s="813">
        <v>43780000</v>
      </c>
      <c r="K298" s="811" t="s">
        <v>1628</v>
      </c>
      <c r="L298" s="811" t="s">
        <v>1210</v>
      </c>
      <c r="M298" s="811" t="s">
        <v>1608</v>
      </c>
      <c r="N298" s="811" t="s">
        <v>1608</v>
      </c>
      <c r="O298" s="811" t="s">
        <v>1732</v>
      </c>
      <c r="P298" s="811" t="s">
        <v>1733</v>
      </c>
      <c r="Q298" s="811" t="s">
        <v>1631</v>
      </c>
    </row>
    <row r="299" spans="1:17" x14ac:dyDescent="0.35">
      <c r="A299" s="811" t="s">
        <v>1622</v>
      </c>
      <c r="B299" s="811" t="s">
        <v>1996</v>
      </c>
      <c r="C299" s="812">
        <v>64900000</v>
      </c>
      <c r="D299" s="811" t="s">
        <v>1424</v>
      </c>
      <c r="E299" s="811" t="s">
        <v>1424</v>
      </c>
      <c r="F299" s="811" t="s">
        <v>1645</v>
      </c>
      <c r="G299" s="811" t="s">
        <v>1625</v>
      </c>
      <c r="H299" s="811" t="s">
        <v>1626</v>
      </c>
      <c r="I299" s="811" t="s">
        <v>1627</v>
      </c>
      <c r="J299" s="813">
        <v>64900000</v>
      </c>
      <c r="K299" s="811" t="s">
        <v>1628</v>
      </c>
      <c r="L299" s="811" t="s">
        <v>1210</v>
      </c>
      <c r="M299" s="811" t="s">
        <v>1608</v>
      </c>
      <c r="N299" s="811" t="s">
        <v>1608</v>
      </c>
      <c r="O299" s="811" t="s">
        <v>1732</v>
      </c>
      <c r="P299" s="811" t="s">
        <v>1733</v>
      </c>
      <c r="Q299" s="811" t="s">
        <v>1631</v>
      </c>
    </row>
    <row r="300" spans="1:17" x14ac:dyDescent="0.35">
      <c r="A300" s="811" t="s">
        <v>1622</v>
      </c>
      <c r="B300" s="811" t="s">
        <v>1661</v>
      </c>
      <c r="C300" s="812">
        <v>58300000</v>
      </c>
      <c r="D300" s="811" t="s">
        <v>1424</v>
      </c>
      <c r="E300" s="811" t="s">
        <v>1424</v>
      </c>
      <c r="F300" s="811" t="s">
        <v>1662</v>
      </c>
      <c r="G300" s="811" t="s">
        <v>1625</v>
      </c>
      <c r="H300" s="811" t="s">
        <v>1626</v>
      </c>
      <c r="I300" s="811" t="s">
        <v>1627</v>
      </c>
      <c r="J300" s="813">
        <v>58300000</v>
      </c>
      <c r="K300" s="811" t="s">
        <v>1628</v>
      </c>
      <c r="L300" s="811" t="s">
        <v>1210</v>
      </c>
      <c r="M300" s="811" t="s">
        <v>1608</v>
      </c>
      <c r="N300" s="811" t="s">
        <v>1608</v>
      </c>
      <c r="O300" s="811" t="s">
        <v>1732</v>
      </c>
      <c r="P300" s="811" t="s">
        <v>1733</v>
      </c>
      <c r="Q300" s="811" t="s">
        <v>1631</v>
      </c>
    </row>
    <row r="301" spans="1:17" x14ac:dyDescent="0.35">
      <c r="A301" s="811" t="s">
        <v>1622</v>
      </c>
      <c r="B301" s="811" t="s">
        <v>1997</v>
      </c>
      <c r="C301" s="812">
        <v>88320000</v>
      </c>
      <c r="D301" s="811" t="s">
        <v>1424</v>
      </c>
      <c r="E301" s="811" t="s">
        <v>1424</v>
      </c>
      <c r="F301" s="811" t="s">
        <v>1662</v>
      </c>
      <c r="G301" s="811" t="s">
        <v>1625</v>
      </c>
      <c r="H301" s="811" t="s">
        <v>1626</v>
      </c>
      <c r="I301" s="811" t="s">
        <v>1627</v>
      </c>
      <c r="J301" s="813">
        <v>88320000</v>
      </c>
      <c r="K301" s="811" t="s">
        <v>1628</v>
      </c>
      <c r="L301" s="811" t="s">
        <v>1210</v>
      </c>
      <c r="M301" s="811" t="s">
        <v>1608</v>
      </c>
      <c r="N301" s="811" t="s">
        <v>1608</v>
      </c>
      <c r="O301" s="811" t="s">
        <v>1732</v>
      </c>
      <c r="P301" s="811" t="s">
        <v>1733</v>
      </c>
      <c r="Q301" s="811" t="s">
        <v>1631</v>
      </c>
    </row>
    <row r="302" spans="1:17" x14ac:dyDescent="0.35">
      <c r="A302" s="811" t="s">
        <v>1622</v>
      </c>
      <c r="B302" s="811" t="s">
        <v>1998</v>
      </c>
      <c r="C302" s="812">
        <v>33000000</v>
      </c>
      <c r="D302" s="811" t="s">
        <v>1420</v>
      </c>
      <c r="E302" s="811" t="s">
        <v>1420</v>
      </c>
      <c r="F302" s="811" t="s">
        <v>1662</v>
      </c>
      <c r="G302" s="811" t="s">
        <v>1625</v>
      </c>
      <c r="H302" s="811" t="s">
        <v>1626</v>
      </c>
      <c r="I302" s="811" t="s">
        <v>1627</v>
      </c>
      <c r="J302" s="813">
        <v>33000000</v>
      </c>
      <c r="K302" s="811" t="s">
        <v>1628</v>
      </c>
      <c r="L302" s="811" t="s">
        <v>1210</v>
      </c>
      <c r="M302" s="811" t="s">
        <v>1608</v>
      </c>
      <c r="N302" s="811" t="s">
        <v>1608</v>
      </c>
      <c r="O302" s="811" t="s">
        <v>1732</v>
      </c>
      <c r="P302" s="811" t="s">
        <v>1733</v>
      </c>
      <c r="Q302" s="811" t="s">
        <v>1631</v>
      </c>
    </row>
    <row r="303" spans="1:17" x14ac:dyDescent="0.35">
      <c r="A303" s="811" t="s">
        <v>1622</v>
      </c>
      <c r="B303" s="811" t="s">
        <v>1999</v>
      </c>
      <c r="C303" s="812">
        <v>33000000</v>
      </c>
      <c r="D303" s="811" t="s">
        <v>1420</v>
      </c>
      <c r="E303" s="811" t="s">
        <v>1420</v>
      </c>
      <c r="F303" s="811" t="s">
        <v>1662</v>
      </c>
      <c r="G303" s="811" t="s">
        <v>1625</v>
      </c>
      <c r="H303" s="811" t="s">
        <v>1626</v>
      </c>
      <c r="I303" s="811" t="s">
        <v>1627</v>
      </c>
      <c r="J303" s="813">
        <v>33000000</v>
      </c>
      <c r="K303" s="811" t="s">
        <v>1628</v>
      </c>
      <c r="L303" s="811" t="s">
        <v>1210</v>
      </c>
      <c r="M303" s="811" t="s">
        <v>1608</v>
      </c>
      <c r="N303" s="811" t="s">
        <v>1608</v>
      </c>
      <c r="O303" s="811" t="s">
        <v>1732</v>
      </c>
      <c r="P303" s="811" t="s">
        <v>1733</v>
      </c>
      <c r="Q303" s="811" t="s">
        <v>1631</v>
      </c>
    </row>
    <row r="304" spans="1:17" x14ac:dyDescent="0.35">
      <c r="A304" s="811" t="s">
        <v>1622</v>
      </c>
      <c r="B304" s="811" t="s">
        <v>2000</v>
      </c>
      <c r="C304" s="812">
        <v>33000000</v>
      </c>
      <c r="D304" s="811" t="s">
        <v>1420</v>
      </c>
      <c r="E304" s="811" t="s">
        <v>1420</v>
      </c>
      <c r="F304" s="811" t="s">
        <v>1662</v>
      </c>
      <c r="G304" s="811" t="s">
        <v>1625</v>
      </c>
      <c r="H304" s="811" t="s">
        <v>1626</v>
      </c>
      <c r="I304" s="811" t="s">
        <v>1627</v>
      </c>
      <c r="J304" s="813">
        <v>33000000</v>
      </c>
      <c r="K304" s="811" t="s">
        <v>1628</v>
      </c>
      <c r="L304" s="811" t="s">
        <v>1210</v>
      </c>
      <c r="M304" s="811" t="s">
        <v>1608</v>
      </c>
      <c r="N304" s="811" t="s">
        <v>1608</v>
      </c>
      <c r="O304" s="811" t="s">
        <v>1732</v>
      </c>
      <c r="P304" s="811" t="s">
        <v>1733</v>
      </c>
      <c r="Q304" s="811" t="s">
        <v>1631</v>
      </c>
    </row>
    <row r="305" spans="1:17" x14ac:dyDescent="0.35">
      <c r="A305" s="811" t="s">
        <v>1622</v>
      </c>
      <c r="B305" s="811" t="s">
        <v>2001</v>
      </c>
      <c r="C305" s="812">
        <v>33000000</v>
      </c>
      <c r="D305" s="811" t="s">
        <v>1420</v>
      </c>
      <c r="E305" s="811" t="s">
        <v>1420</v>
      </c>
      <c r="F305" s="811" t="s">
        <v>1662</v>
      </c>
      <c r="G305" s="811" t="s">
        <v>1625</v>
      </c>
      <c r="H305" s="811" t="s">
        <v>1626</v>
      </c>
      <c r="I305" s="811" t="s">
        <v>1627</v>
      </c>
      <c r="J305" s="813">
        <v>33000000</v>
      </c>
      <c r="K305" s="811" t="s">
        <v>1628</v>
      </c>
      <c r="L305" s="811" t="s">
        <v>1210</v>
      </c>
      <c r="M305" s="811" t="s">
        <v>1608</v>
      </c>
      <c r="N305" s="811" t="s">
        <v>1608</v>
      </c>
      <c r="O305" s="811" t="s">
        <v>1732</v>
      </c>
      <c r="P305" s="811" t="s">
        <v>1733</v>
      </c>
      <c r="Q305" s="811" t="s">
        <v>1631</v>
      </c>
    </row>
    <row r="306" spans="1:17" x14ac:dyDescent="0.35">
      <c r="A306" s="811" t="s">
        <v>1622</v>
      </c>
      <c r="B306" s="811" t="s">
        <v>2002</v>
      </c>
      <c r="C306" s="812">
        <v>42260948</v>
      </c>
      <c r="D306" s="811" t="s">
        <v>1414</v>
      </c>
      <c r="E306" s="811" t="s">
        <v>1414</v>
      </c>
      <c r="F306" s="811" t="s">
        <v>1645</v>
      </c>
      <c r="G306" s="811" t="s">
        <v>1625</v>
      </c>
      <c r="H306" s="811" t="s">
        <v>1626</v>
      </c>
      <c r="I306" s="811" t="s">
        <v>1627</v>
      </c>
      <c r="J306" s="813">
        <v>42260948</v>
      </c>
      <c r="K306" s="811" t="s">
        <v>1628</v>
      </c>
      <c r="L306" s="811" t="s">
        <v>1210</v>
      </c>
      <c r="M306" s="811" t="s">
        <v>1608</v>
      </c>
      <c r="N306" s="811" t="s">
        <v>1608</v>
      </c>
      <c r="O306" s="811" t="s">
        <v>1640</v>
      </c>
      <c r="P306" s="811" t="s">
        <v>1630</v>
      </c>
      <c r="Q306" s="811" t="s">
        <v>1641</v>
      </c>
    </row>
    <row r="307" spans="1:17" x14ac:dyDescent="0.35">
      <c r="A307" s="811" t="s">
        <v>1622</v>
      </c>
      <c r="B307" s="811" t="s">
        <v>2003</v>
      </c>
      <c r="C307" s="812">
        <v>39718800</v>
      </c>
      <c r="D307" s="811" t="s">
        <v>1414</v>
      </c>
      <c r="E307" s="811" t="s">
        <v>1414</v>
      </c>
      <c r="F307" s="811" t="s">
        <v>1645</v>
      </c>
      <c r="G307" s="811" t="s">
        <v>1625</v>
      </c>
      <c r="H307" s="811" t="s">
        <v>1626</v>
      </c>
      <c r="I307" s="811" t="s">
        <v>1627</v>
      </c>
      <c r="J307" s="813">
        <v>39718800</v>
      </c>
      <c r="K307" s="811" t="s">
        <v>1628</v>
      </c>
      <c r="L307" s="811" t="s">
        <v>1210</v>
      </c>
      <c r="M307" s="811" t="s">
        <v>1608</v>
      </c>
      <c r="N307" s="811" t="s">
        <v>1608</v>
      </c>
      <c r="O307" s="811" t="s">
        <v>1640</v>
      </c>
      <c r="P307" s="811" t="s">
        <v>1630</v>
      </c>
      <c r="Q307" s="811" t="s">
        <v>1641</v>
      </c>
    </row>
    <row r="308" spans="1:17" x14ac:dyDescent="0.35">
      <c r="A308" s="811" t="s">
        <v>1622</v>
      </c>
      <c r="B308" s="811" t="s">
        <v>2004</v>
      </c>
      <c r="C308" s="812">
        <v>39975144</v>
      </c>
      <c r="D308" s="811" t="s">
        <v>1424</v>
      </c>
      <c r="E308" s="811" t="s">
        <v>1424</v>
      </c>
      <c r="F308" s="811" t="s">
        <v>1624</v>
      </c>
      <c r="G308" s="811" t="s">
        <v>1625</v>
      </c>
      <c r="H308" s="811" t="s">
        <v>1626</v>
      </c>
      <c r="I308" s="811" t="s">
        <v>1627</v>
      </c>
      <c r="J308" s="813">
        <v>39975144</v>
      </c>
      <c r="K308" s="811" t="s">
        <v>1628</v>
      </c>
      <c r="L308" s="811" t="s">
        <v>1210</v>
      </c>
      <c r="M308" s="811" t="s">
        <v>1608</v>
      </c>
      <c r="N308" s="811" t="s">
        <v>1608</v>
      </c>
      <c r="O308" s="811" t="s">
        <v>1702</v>
      </c>
      <c r="P308" s="811" t="s">
        <v>1630</v>
      </c>
      <c r="Q308" s="811" t="s">
        <v>1637</v>
      </c>
    </row>
    <row r="309" spans="1:17" x14ac:dyDescent="0.35">
      <c r="A309" s="811" t="s">
        <v>1622</v>
      </c>
      <c r="B309" s="811" t="s">
        <v>2005</v>
      </c>
      <c r="C309" s="812">
        <v>40883670</v>
      </c>
      <c r="D309" s="811" t="s">
        <v>1424</v>
      </c>
      <c r="E309" s="811" t="s">
        <v>1424</v>
      </c>
      <c r="F309" s="811" t="s">
        <v>1658</v>
      </c>
      <c r="G309" s="811" t="s">
        <v>1625</v>
      </c>
      <c r="H309" s="811" t="s">
        <v>1626</v>
      </c>
      <c r="I309" s="811" t="s">
        <v>1627</v>
      </c>
      <c r="J309" s="813">
        <v>40883670</v>
      </c>
      <c r="K309" s="811" t="s">
        <v>1628</v>
      </c>
      <c r="L309" s="811" t="s">
        <v>1210</v>
      </c>
      <c r="M309" s="811" t="s">
        <v>1608</v>
      </c>
      <c r="N309" s="811" t="s">
        <v>1608</v>
      </c>
      <c r="O309" s="811" t="s">
        <v>1702</v>
      </c>
      <c r="P309" s="811" t="s">
        <v>1630</v>
      </c>
      <c r="Q309" s="811" t="s">
        <v>1637</v>
      </c>
    </row>
    <row r="310" spans="1:17" x14ac:dyDescent="0.35">
      <c r="A310" s="811" t="s">
        <v>1622</v>
      </c>
      <c r="B310" s="811" t="s">
        <v>2006</v>
      </c>
      <c r="C310" s="812">
        <v>68000000</v>
      </c>
      <c r="D310" s="811" t="s">
        <v>1424</v>
      </c>
      <c r="E310" s="811" t="s">
        <v>1424</v>
      </c>
      <c r="F310" s="811" t="s">
        <v>1624</v>
      </c>
      <c r="G310" s="811" t="s">
        <v>1625</v>
      </c>
      <c r="H310" s="811" t="s">
        <v>1626</v>
      </c>
      <c r="I310" s="811" t="s">
        <v>1627</v>
      </c>
      <c r="J310" s="813">
        <v>68000000</v>
      </c>
      <c r="K310" s="811" t="s">
        <v>1628</v>
      </c>
      <c r="L310" s="811" t="s">
        <v>1210</v>
      </c>
      <c r="M310" s="811" t="s">
        <v>1608</v>
      </c>
      <c r="N310" s="811" t="s">
        <v>1608</v>
      </c>
      <c r="O310" s="811" t="s">
        <v>1702</v>
      </c>
      <c r="P310" s="811" t="s">
        <v>1630</v>
      </c>
      <c r="Q310" s="811" t="s">
        <v>1637</v>
      </c>
    </row>
    <row r="311" spans="1:17" x14ac:dyDescent="0.35">
      <c r="A311" s="811" t="s">
        <v>1622</v>
      </c>
      <c r="B311" s="811" t="s">
        <v>2007</v>
      </c>
      <c r="C311" s="812">
        <v>18568000</v>
      </c>
      <c r="D311" s="811" t="s">
        <v>1424</v>
      </c>
      <c r="E311" s="811" t="s">
        <v>1424</v>
      </c>
      <c r="F311" s="811" t="s">
        <v>1624</v>
      </c>
      <c r="G311" s="811" t="s">
        <v>1625</v>
      </c>
      <c r="H311" s="811" t="s">
        <v>1626</v>
      </c>
      <c r="I311" s="811" t="s">
        <v>1627</v>
      </c>
      <c r="J311" s="813">
        <v>18568000</v>
      </c>
      <c r="K311" s="811" t="s">
        <v>1628</v>
      </c>
      <c r="L311" s="811" t="s">
        <v>1210</v>
      </c>
      <c r="M311" s="811" t="s">
        <v>1608</v>
      </c>
      <c r="N311" s="811" t="s">
        <v>1608</v>
      </c>
      <c r="O311" s="811" t="s">
        <v>1702</v>
      </c>
      <c r="P311" s="811" t="s">
        <v>1630</v>
      </c>
      <c r="Q311" s="811" t="s">
        <v>1637</v>
      </c>
    </row>
    <row r="312" spans="1:17" x14ac:dyDescent="0.35">
      <c r="A312" s="811" t="s">
        <v>1622</v>
      </c>
      <c r="B312" s="811" t="s">
        <v>2008</v>
      </c>
      <c r="C312" s="812">
        <v>62341552</v>
      </c>
      <c r="D312" s="811" t="s">
        <v>1414</v>
      </c>
      <c r="E312" s="811" t="s">
        <v>1424</v>
      </c>
      <c r="F312" s="811" t="s">
        <v>1671</v>
      </c>
      <c r="G312" s="811" t="s">
        <v>1625</v>
      </c>
      <c r="H312" s="811" t="s">
        <v>1626</v>
      </c>
      <c r="I312" s="811" t="s">
        <v>1627</v>
      </c>
      <c r="J312" s="813">
        <v>62341552</v>
      </c>
      <c r="K312" s="811" t="s">
        <v>1628</v>
      </c>
      <c r="L312" s="811" t="s">
        <v>1210</v>
      </c>
      <c r="M312" s="811" t="s">
        <v>1608</v>
      </c>
      <c r="N312" s="811" t="s">
        <v>1608</v>
      </c>
      <c r="O312" s="811" t="s">
        <v>1672</v>
      </c>
      <c r="P312" s="811" t="s">
        <v>1630</v>
      </c>
      <c r="Q312" s="811" t="s">
        <v>1673</v>
      </c>
    </row>
    <row r="313" spans="1:17" x14ac:dyDescent="0.35">
      <c r="A313" s="811" t="s">
        <v>1622</v>
      </c>
      <c r="B313" s="811" t="s">
        <v>2009</v>
      </c>
      <c r="C313" s="812">
        <v>55300000</v>
      </c>
      <c r="D313" s="811" t="s">
        <v>1414</v>
      </c>
      <c r="E313" s="811" t="s">
        <v>1424</v>
      </c>
      <c r="F313" s="811" t="s">
        <v>1671</v>
      </c>
      <c r="G313" s="811" t="s">
        <v>1625</v>
      </c>
      <c r="H313" s="811" t="s">
        <v>1626</v>
      </c>
      <c r="I313" s="811" t="s">
        <v>1627</v>
      </c>
      <c r="J313" s="813">
        <v>55300000</v>
      </c>
      <c r="K313" s="811" t="s">
        <v>1628</v>
      </c>
      <c r="L313" s="811" t="s">
        <v>1210</v>
      </c>
      <c r="M313" s="811" t="s">
        <v>1608</v>
      </c>
      <c r="N313" s="811" t="s">
        <v>1608</v>
      </c>
      <c r="O313" s="811" t="s">
        <v>1672</v>
      </c>
      <c r="P313" s="811" t="s">
        <v>1630</v>
      </c>
      <c r="Q313" s="811" t="s">
        <v>1673</v>
      </c>
    </row>
    <row r="314" spans="1:17" x14ac:dyDescent="0.35">
      <c r="A314" s="811" t="s">
        <v>1622</v>
      </c>
      <c r="B314" s="811" t="s">
        <v>2010</v>
      </c>
      <c r="C314" s="812">
        <v>42745500</v>
      </c>
      <c r="D314" s="811" t="s">
        <v>1424</v>
      </c>
      <c r="E314" s="811" t="s">
        <v>1424</v>
      </c>
      <c r="F314" s="811" t="s">
        <v>1671</v>
      </c>
      <c r="G314" s="811" t="s">
        <v>1625</v>
      </c>
      <c r="H314" s="811" t="s">
        <v>1626</v>
      </c>
      <c r="I314" s="811" t="s">
        <v>1627</v>
      </c>
      <c r="J314" s="813">
        <v>42745500</v>
      </c>
      <c r="K314" s="811" t="s">
        <v>1628</v>
      </c>
      <c r="L314" s="811" t="s">
        <v>1210</v>
      </c>
      <c r="M314" s="811" t="s">
        <v>1608</v>
      </c>
      <c r="N314" s="811" t="s">
        <v>1608</v>
      </c>
      <c r="O314" s="811" t="s">
        <v>1672</v>
      </c>
      <c r="P314" s="811" t="s">
        <v>1630</v>
      </c>
      <c r="Q314" s="811" t="s">
        <v>1673</v>
      </c>
    </row>
    <row r="315" spans="1:17" x14ac:dyDescent="0.35">
      <c r="A315" s="811" t="s">
        <v>1622</v>
      </c>
      <c r="B315" s="811" t="s">
        <v>2011</v>
      </c>
      <c r="C315" s="812">
        <v>26400000</v>
      </c>
      <c r="D315" s="811" t="s">
        <v>1424</v>
      </c>
      <c r="E315" s="811" t="s">
        <v>1424</v>
      </c>
      <c r="F315" s="811" t="s">
        <v>1624</v>
      </c>
      <c r="G315" s="811" t="s">
        <v>1625</v>
      </c>
      <c r="H315" s="811" t="s">
        <v>1626</v>
      </c>
      <c r="I315" s="811" t="s">
        <v>1627</v>
      </c>
      <c r="J315" s="813">
        <v>26400000</v>
      </c>
      <c r="K315" s="811" t="s">
        <v>1628</v>
      </c>
      <c r="L315" s="811" t="s">
        <v>1210</v>
      </c>
      <c r="M315" s="811" t="s">
        <v>1608</v>
      </c>
      <c r="N315" s="811" t="s">
        <v>1608</v>
      </c>
      <c r="O315" s="811" t="s">
        <v>1672</v>
      </c>
      <c r="P315" s="811" t="s">
        <v>1630</v>
      </c>
      <c r="Q315" s="811" t="s">
        <v>1673</v>
      </c>
    </row>
    <row r="316" spans="1:17" x14ac:dyDescent="0.35">
      <c r="A316" s="811" t="s">
        <v>1622</v>
      </c>
      <c r="B316" s="811" t="s">
        <v>2012</v>
      </c>
      <c r="C316" s="812">
        <v>47092500</v>
      </c>
      <c r="D316" s="811" t="s">
        <v>1424</v>
      </c>
      <c r="E316" s="811" t="s">
        <v>1424</v>
      </c>
      <c r="F316" s="811" t="s">
        <v>1671</v>
      </c>
      <c r="G316" s="811" t="s">
        <v>1625</v>
      </c>
      <c r="H316" s="811" t="s">
        <v>1626</v>
      </c>
      <c r="I316" s="811" t="s">
        <v>1627</v>
      </c>
      <c r="J316" s="813">
        <v>47092500</v>
      </c>
      <c r="K316" s="811" t="s">
        <v>1628</v>
      </c>
      <c r="L316" s="811" t="s">
        <v>1210</v>
      </c>
      <c r="M316" s="811" t="s">
        <v>1608</v>
      </c>
      <c r="N316" s="811" t="s">
        <v>1608</v>
      </c>
      <c r="O316" s="811" t="s">
        <v>1672</v>
      </c>
      <c r="P316" s="811" t="s">
        <v>1630</v>
      </c>
      <c r="Q316" s="811" t="s">
        <v>1673</v>
      </c>
    </row>
    <row r="317" spans="1:17" x14ac:dyDescent="0.35">
      <c r="A317" s="811" t="s">
        <v>1622</v>
      </c>
      <c r="B317" s="811" t="s">
        <v>2013</v>
      </c>
      <c r="C317" s="812">
        <v>28152000</v>
      </c>
      <c r="D317" s="811" t="s">
        <v>1424</v>
      </c>
      <c r="E317" s="811" t="s">
        <v>1424</v>
      </c>
      <c r="F317" s="811" t="s">
        <v>1624</v>
      </c>
      <c r="G317" s="811" t="s">
        <v>1625</v>
      </c>
      <c r="H317" s="811" t="s">
        <v>1626</v>
      </c>
      <c r="I317" s="811" t="s">
        <v>1627</v>
      </c>
      <c r="J317" s="813">
        <v>28152000</v>
      </c>
      <c r="K317" s="811" t="s">
        <v>1628</v>
      </c>
      <c r="L317" s="811" t="s">
        <v>1210</v>
      </c>
      <c r="M317" s="811" t="s">
        <v>1608</v>
      </c>
      <c r="N317" s="811" t="s">
        <v>1608</v>
      </c>
      <c r="O317" s="811" t="s">
        <v>1672</v>
      </c>
      <c r="P317" s="811" t="s">
        <v>1630</v>
      </c>
      <c r="Q317" s="811" t="s">
        <v>1673</v>
      </c>
    </row>
    <row r="318" spans="1:17" x14ac:dyDescent="0.35">
      <c r="A318" s="811" t="s">
        <v>1622</v>
      </c>
      <c r="B318" s="811" t="s">
        <v>2014</v>
      </c>
      <c r="C318" s="812">
        <v>47092500</v>
      </c>
      <c r="D318" s="811" t="s">
        <v>1414</v>
      </c>
      <c r="E318" s="811" t="s">
        <v>1424</v>
      </c>
      <c r="F318" s="811" t="s">
        <v>1671</v>
      </c>
      <c r="G318" s="811" t="s">
        <v>1625</v>
      </c>
      <c r="H318" s="811" t="s">
        <v>1626</v>
      </c>
      <c r="I318" s="811" t="s">
        <v>1627</v>
      </c>
      <c r="J318" s="813">
        <v>47092500</v>
      </c>
      <c r="K318" s="811" t="s">
        <v>1628</v>
      </c>
      <c r="L318" s="811" t="s">
        <v>1210</v>
      </c>
      <c r="M318" s="811" t="s">
        <v>1608</v>
      </c>
      <c r="N318" s="811" t="s">
        <v>1608</v>
      </c>
      <c r="O318" s="811" t="s">
        <v>1672</v>
      </c>
      <c r="P318" s="811" t="s">
        <v>1630</v>
      </c>
      <c r="Q318" s="811" t="s">
        <v>1673</v>
      </c>
    </row>
    <row r="319" spans="1:17" x14ac:dyDescent="0.35">
      <c r="A319" s="811" t="s">
        <v>1622</v>
      </c>
      <c r="B319" s="811" t="s">
        <v>2015</v>
      </c>
      <c r="C319" s="812">
        <v>34850000</v>
      </c>
      <c r="D319" s="811" t="s">
        <v>1515</v>
      </c>
      <c r="E319" s="811" t="s">
        <v>1515</v>
      </c>
      <c r="F319" s="811" t="s">
        <v>1639</v>
      </c>
      <c r="G319" s="811" t="s">
        <v>1625</v>
      </c>
      <c r="H319" s="811" t="s">
        <v>1626</v>
      </c>
      <c r="I319" s="811" t="s">
        <v>1627</v>
      </c>
      <c r="J319" s="813">
        <v>34850000</v>
      </c>
      <c r="K319" s="811" t="s">
        <v>1628</v>
      </c>
      <c r="L319" s="811" t="s">
        <v>1210</v>
      </c>
      <c r="M319" s="811" t="s">
        <v>1608</v>
      </c>
      <c r="N319" s="811" t="s">
        <v>1608</v>
      </c>
      <c r="O319" s="811" t="s">
        <v>1640</v>
      </c>
      <c r="P319" s="811" t="s">
        <v>1630</v>
      </c>
      <c r="Q319" s="811" t="s">
        <v>1641</v>
      </c>
    </row>
    <row r="320" spans="1:17" x14ac:dyDescent="0.35">
      <c r="A320" s="811" t="s">
        <v>1622</v>
      </c>
      <c r="B320" s="811" t="s">
        <v>2016</v>
      </c>
      <c r="C320" s="812">
        <v>34850000</v>
      </c>
      <c r="D320" s="811" t="s">
        <v>1515</v>
      </c>
      <c r="E320" s="811" t="s">
        <v>1515</v>
      </c>
      <c r="F320" s="811" t="s">
        <v>1639</v>
      </c>
      <c r="G320" s="811" t="s">
        <v>1625</v>
      </c>
      <c r="H320" s="811" t="s">
        <v>1626</v>
      </c>
      <c r="I320" s="811" t="s">
        <v>1627</v>
      </c>
      <c r="J320" s="813">
        <v>34850000</v>
      </c>
      <c r="K320" s="811" t="s">
        <v>1628</v>
      </c>
      <c r="L320" s="811" t="s">
        <v>1210</v>
      </c>
      <c r="M320" s="811" t="s">
        <v>1608</v>
      </c>
      <c r="N320" s="811" t="s">
        <v>1608</v>
      </c>
      <c r="O320" s="811" t="s">
        <v>1640</v>
      </c>
      <c r="P320" s="811" t="s">
        <v>1630</v>
      </c>
      <c r="Q320" s="811" t="s">
        <v>1641</v>
      </c>
    </row>
    <row r="321" spans="1:17" x14ac:dyDescent="0.35">
      <c r="A321" s="811" t="s">
        <v>1622</v>
      </c>
      <c r="B321" s="811" t="s">
        <v>2017</v>
      </c>
      <c r="C321" s="812">
        <v>34850000</v>
      </c>
      <c r="D321" s="811" t="s">
        <v>1515</v>
      </c>
      <c r="E321" s="811" t="s">
        <v>1515</v>
      </c>
      <c r="F321" s="811" t="s">
        <v>1639</v>
      </c>
      <c r="G321" s="811" t="s">
        <v>1625</v>
      </c>
      <c r="H321" s="811" t="s">
        <v>1626</v>
      </c>
      <c r="I321" s="811" t="s">
        <v>1627</v>
      </c>
      <c r="J321" s="813">
        <v>34850000</v>
      </c>
      <c r="K321" s="811" t="s">
        <v>1628</v>
      </c>
      <c r="L321" s="811" t="s">
        <v>1210</v>
      </c>
      <c r="M321" s="811" t="s">
        <v>1608</v>
      </c>
      <c r="N321" s="811" t="s">
        <v>1608</v>
      </c>
      <c r="O321" s="811" t="s">
        <v>1640</v>
      </c>
      <c r="P321" s="811" t="s">
        <v>1630</v>
      </c>
      <c r="Q321" s="811" t="s">
        <v>1641</v>
      </c>
    </row>
    <row r="322" spans="1:17" x14ac:dyDescent="0.35">
      <c r="A322" s="811" t="s">
        <v>1622</v>
      </c>
      <c r="B322" s="811" t="s">
        <v>2018</v>
      </c>
      <c r="C322" s="812">
        <v>34850000</v>
      </c>
      <c r="D322" s="811" t="s">
        <v>1515</v>
      </c>
      <c r="E322" s="811" t="s">
        <v>1515</v>
      </c>
      <c r="F322" s="811" t="s">
        <v>1639</v>
      </c>
      <c r="G322" s="811" t="s">
        <v>1625</v>
      </c>
      <c r="H322" s="811" t="s">
        <v>1626</v>
      </c>
      <c r="I322" s="811" t="s">
        <v>1627</v>
      </c>
      <c r="J322" s="813">
        <v>34850000</v>
      </c>
      <c r="K322" s="811" t="s">
        <v>1628</v>
      </c>
      <c r="L322" s="811" t="s">
        <v>1210</v>
      </c>
      <c r="M322" s="811" t="s">
        <v>1608</v>
      </c>
      <c r="N322" s="811" t="s">
        <v>1608</v>
      </c>
      <c r="O322" s="811" t="s">
        <v>1640</v>
      </c>
      <c r="P322" s="811" t="s">
        <v>1630</v>
      </c>
      <c r="Q322" s="811" t="s">
        <v>1641</v>
      </c>
    </row>
    <row r="323" spans="1:17" x14ac:dyDescent="0.35">
      <c r="A323" s="811" t="s">
        <v>1622</v>
      </c>
      <c r="B323" s="811" t="s">
        <v>2019</v>
      </c>
      <c r="C323" s="812">
        <v>32300000</v>
      </c>
      <c r="D323" s="811" t="s">
        <v>1515</v>
      </c>
      <c r="E323" s="811" t="s">
        <v>1515</v>
      </c>
      <c r="F323" s="811" t="s">
        <v>1639</v>
      </c>
      <c r="G323" s="811" t="s">
        <v>1625</v>
      </c>
      <c r="H323" s="811" t="s">
        <v>1626</v>
      </c>
      <c r="I323" s="811" t="s">
        <v>1627</v>
      </c>
      <c r="J323" s="813">
        <v>32300000</v>
      </c>
      <c r="K323" s="811" t="s">
        <v>1628</v>
      </c>
      <c r="L323" s="811" t="s">
        <v>1210</v>
      </c>
      <c r="M323" s="811" t="s">
        <v>1608</v>
      </c>
      <c r="N323" s="811" t="s">
        <v>1608</v>
      </c>
      <c r="O323" s="811" t="s">
        <v>1640</v>
      </c>
      <c r="P323" s="811" t="s">
        <v>1630</v>
      </c>
      <c r="Q323" s="811" t="s">
        <v>1641</v>
      </c>
    </row>
    <row r="324" spans="1:17" x14ac:dyDescent="0.35">
      <c r="A324" s="811" t="s">
        <v>1622</v>
      </c>
      <c r="B324" s="811" t="s">
        <v>2020</v>
      </c>
      <c r="C324" s="812">
        <v>32300000</v>
      </c>
      <c r="D324" s="811" t="s">
        <v>1515</v>
      </c>
      <c r="E324" s="811" t="s">
        <v>1515</v>
      </c>
      <c r="F324" s="811" t="s">
        <v>1639</v>
      </c>
      <c r="G324" s="811" t="s">
        <v>1625</v>
      </c>
      <c r="H324" s="811" t="s">
        <v>1626</v>
      </c>
      <c r="I324" s="811" t="s">
        <v>1627</v>
      </c>
      <c r="J324" s="813">
        <v>32300000</v>
      </c>
      <c r="K324" s="811" t="s">
        <v>1628</v>
      </c>
      <c r="L324" s="811" t="s">
        <v>1210</v>
      </c>
      <c r="M324" s="811" t="s">
        <v>1608</v>
      </c>
      <c r="N324" s="811" t="s">
        <v>1608</v>
      </c>
      <c r="O324" s="811" t="s">
        <v>1640</v>
      </c>
      <c r="P324" s="811" t="s">
        <v>1630</v>
      </c>
      <c r="Q324" s="811" t="s">
        <v>1641</v>
      </c>
    </row>
    <row r="325" spans="1:17" x14ac:dyDescent="0.35">
      <c r="A325" s="811" t="s">
        <v>1622</v>
      </c>
      <c r="B325" s="811" t="s">
        <v>2021</v>
      </c>
      <c r="C325" s="812">
        <v>38250000</v>
      </c>
      <c r="D325" s="811" t="s">
        <v>1515</v>
      </c>
      <c r="E325" s="811" t="s">
        <v>1515</v>
      </c>
      <c r="F325" s="811" t="s">
        <v>1639</v>
      </c>
      <c r="G325" s="811" t="s">
        <v>1625</v>
      </c>
      <c r="H325" s="811" t="s">
        <v>1626</v>
      </c>
      <c r="I325" s="811" t="s">
        <v>1627</v>
      </c>
      <c r="J325" s="813">
        <v>38250000</v>
      </c>
      <c r="K325" s="811" t="s">
        <v>1628</v>
      </c>
      <c r="L325" s="811" t="s">
        <v>1210</v>
      </c>
      <c r="M325" s="811" t="s">
        <v>1608</v>
      </c>
      <c r="N325" s="811" t="s">
        <v>1608</v>
      </c>
      <c r="O325" s="811" t="s">
        <v>1640</v>
      </c>
      <c r="P325" s="811" t="s">
        <v>1630</v>
      </c>
      <c r="Q325" s="811" t="s">
        <v>1641</v>
      </c>
    </row>
    <row r="326" spans="1:17" x14ac:dyDescent="0.35">
      <c r="A326" s="811" t="s">
        <v>2022</v>
      </c>
      <c r="B326" s="811" t="s">
        <v>2023</v>
      </c>
      <c r="C326" s="812">
        <v>900000000</v>
      </c>
      <c r="D326" s="811" t="s">
        <v>1515</v>
      </c>
      <c r="E326" s="811" t="s">
        <v>1421</v>
      </c>
      <c r="F326" s="811" t="s">
        <v>1635</v>
      </c>
      <c r="G326" s="811" t="s">
        <v>1625</v>
      </c>
      <c r="H326" s="811" t="s">
        <v>2024</v>
      </c>
      <c r="I326" s="811" t="s">
        <v>1627</v>
      </c>
      <c r="J326" s="813">
        <v>900000000</v>
      </c>
      <c r="K326" s="811" t="s">
        <v>1628</v>
      </c>
      <c r="L326" s="811" t="s">
        <v>1210</v>
      </c>
      <c r="M326" s="811" t="s">
        <v>1608</v>
      </c>
      <c r="N326" s="811" t="s">
        <v>1608</v>
      </c>
      <c r="O326" s="811" t="s">
        <v>1629</v>
      </c>
      <c r="P326" s="811" t="s">
        <v>1630</v>
      </c>
      <c r="Q326" s="811" t="s">
        <v>1631</v>
      </c>
    </row>
    <row r="327" spans="1:17" x14ac:dyDescent="0.35">
      <c r="A327" s="811" t="s">
        <v>1622</v>
      </c>
      <c r="B327" s="811" t="s">
        <v>2025</v>
      </c>
      <c r="C327" s="812">
        <v>42400000</v>
      </c>
      <c r="D327" s="811" t="s">
        <v>1515</v>
      </c>
      <c r="E327" s="811" t="s">
        <v>1515</v>
      </c>
      <c r="F327" s="811" t="s">
        <v>1624</v>
      </c>
      <c r="G327" s="811" t="s">
        <v>1625</v>
      </c>
      <c r="H327" s="811" t="s">
        <v>1626</v>
      </c>
      <c r="I327" s="811" t="s">
        <v>1627</v>
      </c>
      <c r="J327" s="813">
        <v>42400000</v>
      </c>
      <c r="K327" s="811" t="s">
        <v>1628</v>
      </c>
      <c r="L327" s="811" t="s">
        <v>1210</v>
      </c>
      <c r="M327" s="811" t="s">
        <v>1608</v>
      </c>
      <c r="N327" s="811" t="s">
        <v>1608</v>
      </c>
      <c r="O327" s="811" t="s">
        <v>1629</v>
      </c>
      <c r="P327" s="811" t="s">
        <v>1630</v>
      </c>
      <c r="Q327" s="811" t="s">
        <v>1631</v>
      </c>
    </row>
    <row r="328" spans="1:17" x14ac:dyDescent="0.35">
      <c r="A328" s="811" t="s">
        <v>1622</v>
      </c>
      <c r="B328" s="811" t="s">
        <v>2026</v>
      </c>
      <c r="C328" s="812">
        <v>47200000</v>
      </c>
      <c r="D328" s="811" t="s">
        <v>1515</v>
      </c>
      <c r="E328" s="811" t="s">
        <v>1515</v>
      </c>
      <c r="F328" s="811" t="s">
        <v>1624</v>
      </c>
      <c r="G328" s="811" t="s">
        <v>1625</v>
      </c>
      <c r="H328" s="811" t="s">
        <v>1626</v>
      </c>
      <c r="I328" s="811" t="s">
        <v>1627</v>
      </c>
      <c r="J328" s="813">
        <v>47200000</v>
      </c>
      <c r="K328" s="811" t="s">
        <v>1628</v>
      </c>
      <c r="L328" s="811" t="s">
        <v>1210</v>
      </c>
      <c r="M328" s="811" t="s">
        <v>1608</v>
      </c>
      <c r="N328" s="811" t="s">
        <v>1608</v>
      </c>
      <c r="O328" s="811" t="s">
        <v>1629</v>
      </c>
      <c r="P328" s="811" t="s">
        <v>1630</v>
      </c>
      <c r="Q328" s="811" t="s">
        <v>1631</v>
      </c>
    </row>
    <row r="329" spans="1:17" x14ac:dyDescent="0.35">
      <c r="A329" s="811" t="s">
        <v>1622</v>
      </c>
      <c r="B329" s="811" t="s">
        <v>2027</v>
      </c>
      <c r="C329" s="812">
        <v>28800000</v>
      </c>
      <c r="D329" s="811" t="s">
        <v>1515</v>
      </c>
      <c r="E329" s="811" t="s">
        <v>1515</v>
      </c>
      <c r="F329" s="811" t="s">
        <v>1624</v>
      </c>
      <c r="G329" s="811" t="s">
        <v>1625</v>
      </c>
      <c r="H329" s="811" t="s">
        <v>1626</v>
      </c>
      <c r="I329" s="811" t="s">
        <v>1627</v>
      </c>
      <c r="J329" s="813">
        <v>28800000</v>
      </c>
      <c r="K329" s="811" t="s">
        <v>1628</v>
      </c>
      <c r="L329" s="811" t="s">
        <v>1210</v>
      </c>
      <c r="M329" s="811" t="s">
        <v>1608</v>
      </c>
      <c r="N329" s="811" t="s">
        <v>1608</v>
      </c>
      <c r="O329" s="811" t="s">
        <v>1629</v>
      </c>
      <c r="P329" s="811" t="s">
        <v>1630</v>
      </c>
      <c r="Q329" s="811" t="s">
        <v>1631</v>
      </c>
    </row>
    <row r="330" spans="1:17" x14ac:dyDescent="0.35">
      <c r="A330" s="811" t="s">
        <v>1622</v>
      </c>
      <c r="B330" s="811" t="s">
        <v>2028</v>
      </c>
      <c r="C330" s="812">
        <v>20000000</v>
      </c>
      <c r="D330" s="811" t="s">
        <v>1515</v>
      </c>
      <c r="E330" s="811" t="s">
        <v>1515</v>
      </c>
      <c r="F330" s="811" t="s">
        <v>1624</v>
      </c>
      <c r="G330" s="811" t="s">
        <v>1625</v>
      </c>
      <c r="H330" s="811" t="s">
        <v>1626</v>
      </c>
      <c r="I330" s="811" t="s">
        <v>1627</v>
      </c>
      <c r="J330" s="813">
        <v>20000000</v>
      </c>
      <c r="K330" s="811" t="s">
        <v>1628</v>
      </c>
      <c r="L330" s="811" t="s">
        <v>1210</v>
      </c>
      <c r="M330" s="811" t="s">
        <v>1608</v>
      </c>
      <c r="N330" s="811" t="s">
        <v>1608</v>
      </c>
      <c r="O330" s="811" t="s">
        <v>1629</v>
      </c>
      <c r="P330" s="811" t="s">
        <v>1630</v>
      </c>
      <c r="Q330" s="811" t="s">
        <v>1631</v>
      </c>
    </row>
    <row r="331" spans="1:17" x14ac:dyDescent="0.35">
      <c r="A331" s="811" t="s">
        <v>1622</v>
      </c>
      <c r="B331" s="811" t="s">
        <v>2029</v>
      </c>
      <c r="C331" s="812">
        <v>28700000</v>
      </c>
      <c r="D331" s="811" t="s">
        <v>1424</v>
      </c>
      <c r="E331" s="811" t="s">
        <v>1424</v>
      </c>
      <c r="F331" s="811" t="s">
        <v>1658</v>
      </c>
      <c r="G331" s="811" t="s">
        <v>1625</v>
      </c>
      <c r="H331" s="811" t="s">
        <v>1626</v>
      </c>
      <c r="I331" s="811" t="s">
        <v>1627</v>
      </c>
      <c r="J331" s="813">
        <v>28700000</v>
      </c>
      <c r="K331" s="811" t="s">
        <v>1628</v>
      </c>
      <c r="L331" s="811" t="s">
        <v>1210</v>
      </c>
      <c r="M331" s="811" t="s">
        <v>1608</v>
      </c>
      <c r="N331" s="811" t="s">
        <v>1608</v>
      </c>
      <c r="O331" s="811" t="s">
        <v>1677</v>
      </c>
      <c r="P331" s="811" t="s">
        <v>1630</v>
      </c>
      <c r="Q331" s="811" t="s">
        <v>1678</v>
      </c>
    </row>
    <row r="332" spans="1:17" x14ac:dyDescent="0.35">
      <c r="A332" s="811" t="s">
        <v>1622</v>
      </c>
      <c r="B332" s="811" t="s">
        <v>2030</v>
      </c>
      <c r="C332" s="812">
        <v>32232315</v>
      </c>
      <c r="D332" s="811" t="s">
        <v>1414</v>
      </c>
      <c r="E332" s="811" t="s">
        <v>1414</v>
      </c>
      <c r="F332" s="811" t="s">
        <v>1645</v>
      </c>
      <c r="G332" s="811" t="s">
        <v>1625</v>
      </c>
      <c r="H332" s="811" t="s">
        <v>1626</v>
      </c>
      <c r="I332" s="811" t="s">
        <v>1627</v>
      </c>
      <c r="J332" s="813">
        <v>32232315</v>
      </c>
      <c r="K332" s="811" t="s">
        <v>1628</v>
      </c>
      <c r="L332" s="811" t="s">
        <v>1210</v>
      </c>
      <c r="M332" s="811" t="s">
        <v>1608</v>
      </c>
      <c r="N332" s="811" t="s">
        <v>1608</v>
      </c>
      <c r="O332" s="811" t="s">
        <v>1677</v>
      </c>
      <c r="P332" s="811" t="s">
        <v>1630</v>
      </c>
      <c r="Q332" s="811" t="s">
        <v>1678</v>
      </c>
    </row>
    <row r="333" spans="1:17" x14ac:dyDescent="0.35">
      <c r="A333" s="811" t="s">
        <v>1622</v>
      </c>
      <c r="B333" s="811" t="s">
        <v>2031</v>
      </c>
      <c r="C333" s="812">
        <v>51586233</v>
      </c>
      <c r="D333" s="811" t="s">
        <v>1424</v>
      </c>
      <c r="E333" s="811" t="s">
        <v>1424</v>
      </c>
      <c r="F333" s="811" t="s">
        <v>1658</v>
      </c>
      <c r="G333" s="811" t="s">
        <v>1625</v>
      </c>
      <c r="H333" s="811" t="s">
        <v>1626</v>
      </c>
      <c r="I333" s="811" t="s">
        <v>1627</v>
      </c>
      <c r="J333" s="813">
        <v>51586233</v>
      </c>
      <c r="K333" s="811" t="s">
        <v>1628</v>
      </c>
      <c r="L333" s="811" t="s">
        <v>1210</v>
      </c>
      <c r="M333" s="811" t="s">
        <v>1608</v>
      </c>
      <c r="N333" s="811" t="s">
        <v>1608</v>
      </c>
      <c r="O333" s="811" t="s">
        <v>1677</v>
      </c>
      <c r="P333" s="811" t="s">
        <v>1630</v>
      </c>
      <c r="Q333" s="811" t="s">
        <v>1678</v>
      </c>
    </row>
    <row r="334" spans="1:17" x14ac:dyDescent="0.35">
      <c r="A334" s="811" t="s">
        <v>1622</v>
      </c>
      <c r="B334" s="811" t="s">
        <v>2032</v>
      </c>
      <c r="C334" s="812">
        <v>28200000</v>
      </c>
      <c r="D334" s="811" t="s">
        <v>1428</v>
      </c>
      <c r="E334" s="811" t="s">
        <v>1428</v>
      </c>
      <c r="F334" s="811" t="s">
        <v>1635</v>
      </c>
      <c r="G334" s="811" t="s">
        <v>1625</v>
      </c>
      <c r="H334" s="811" t="s">
        <v>1626</v>
      </c>
      <c r="I334" s="811" t="s">
        <v>1627</v>
      </c>
      <c r="J334" s="813">
        <v>28200000</v>
      </c>
      <c r="K334" s="811" t="s">
        <v>1628</v>
      </c>
      <c r="L334" s="811" t="s">
        <v>1210</v>
      </c>
      <c r="M334" s="811" t="s">
        <v>1608</v>
      </c>
      <c r="N334" s="811" t="s">
        <v>1608</v>
      </c>
      <c r="O334" s="811" t="s">
        <v>1677</v>
      </c>
      <c r="P334" s="811" t="s">
        <v>1630</v>
      </c>
      <c r="Q334" s="811" t="s">
        <v>1678</v>
      </c>
    </row>
    <row r="335" spans="1:17" x14ac:dyDescent="0.35">
      <c r="A335" s="811" t="s">
        <v>1622</v>
      </c>
      <c r="B335" s="811" t="s">
        <v>2033</v>
      </c>
      <c r="C335" s="812">
        <v>39500000</v>
      </c>
      <c r="D335" s="811" t="s">
        <v>1424</v>
      </c>
      <c r="E335" s="811" t="s">
        <v>1424</v>
      </c>
      <c r="F335" s="811" t="s">
        <v>1658</v>
      </c>
      <c r="G335" s="811" t="s">
        <v>1625</v>
      </c>
      <c r="H335" s="811" t="s">
        <v>1626</v>
      </c>
      <c r="I335" s="811" t="s">
        <v>1627</v>
      </c>
      <c r="J335" s="813">
        <v>39500000</v>
      </c>
      <c r="K335" s="811" t="s">
        <v>1628</v>
      </c>
      <c r="L335" s="811" t="s">
        <v>1210</v>
      </c>
      <c r="M335" s="811" t="s">
        <v>1608</v>
      </c>
      <c r="N335" s="811" t="s">
        <v>1608</v>
      </c>
      <c r="O335" s="811" t="s">
        <v>1742</v>
      </c>
      <c r="P335" s="811" t="s">
        <v>1630</v>
      </c>
      <c r="Q335" s="811" t="s">
        <v>1678</v>
      </c>
    </row>
    <row r="336" spans="1:17" x14ac:dyDescent="0.35">
      <c r="A336" s="811" t="s">
        <v>1622</v>
      </c>
      <c r="B336" s="811" t="s">
        <v>2034</v>
      </c>
      <c r="C336" s="812">
        <v>27000000</v>
      </c>
      <c r="D336" s="811" t="s">
        <v>1420</v>
      </c>
      <c r="E336" s="811" t="s">
        <v>1420</v>
      </c>
      <c r="F336" s="811" t="s">
        <v>1639</v>
      </c>
      <c r="G336" s="811" t="s">
        <v>1625</v>
      </c>
      <c r="H336" s="811" t="s">
        <v>1626</v>
      </c>
      <c r="I336" s="811" t="s">
        <v>1627</v>
      </c>
      <c r="J336" s="813">
        <v>27000000</v>
      </c>
      <c r="K336" s="811" t="s">
        <v>1628</v>
      </c>
      <c r="L336" s="811" t="s">
        <v>1210</v>
      </c>
      <c r="M336" s="811" t="s">
        <v>1608</v>
      </c>
      <c r="N336" s="811" t="s">
        <v>1608</v>
      </c>
      <c r="O336" s="811" t="s">
        <v>1742</v>
      </c>
      <c r="P336" s="811" t="s">
        <v>1630</v>
      </c>
      <c r="Q336" s="811" t="s">
        <v>1678</v>
      </c>
    </row>
    <row r="337" spans="1:17" x14ac:dyDescent="0.35">
      <c r="A337" s="811" t="s">
        <v>1622</v>
      </c>
      <c r="B337" s="811" t="s">
        <v>2035</v>
      </c>
      <c r="C337" s="812">
        <v>38377800</v>
      </c>
      <c r="D337" s="811" t="s">
        <v>1424</v>
      </c>
      <c r="E337" s="811" t="s">
        <v>1424</v>
      </c>
      <c r="F337" s="811" t="s">
        <v>1624</v>
      </c>
      <c r="G337" s="811" t="s">
        <v>1625</v>
      </c>
      <c r="H337" s="811" t="s">
        <v>1626</v>
      </c>
      <c r="I337" s="811" t="s">
        <v>1627</v>
      </c>
      <c r="J337" s="813">
        <v>38377800</v>
      </c>
      <c r="K337" s="811" t="s">
        <v>1628</v>
      </c>
      <c r="L337" s="811" t="s">
        <v>1210</v>
      </c>
      <c r="M337" s="811" t="s">
        <v>1608</v>
      </c>
      <c r="N337" s="811" t="s">
        <v>1608</v>
      </c>
      <c r="O337" s="811" t="s">
        <v>1672</v>
      </c>
      <c r="P337" s="811" t="s">
        <v>1630</v>
      </c>
      <c r="Q337" s="811" t="s">
        <v>1673</v>
      </c>
    </row>
    <row r="338" spans="1:17" x14ac:dyDescent="0.35">
      <c r="A338" s="811" t="s">
        <v>1622</v>
      </c>
      <c r="B338" s="811" t="s">
        <v>2036</v>
      </c>
      <c r="C338" s="812">
        <v>32706000</v>
      </c>
      <c r="D338" s="811" t="s">
        <v>1414</v>
      </c>
      <c r="E338" s="811" t="s">
        <v>1424</v>
      </c>
      <c r="F338" s="811" t="s">
        <v>1624</v>
      </c>
      <c r="G338" s="811" t="s">
        <v>1625</v>
      </c>
      <c r="H338" s="811" t="s">
        <v>1626</v>
      </c>
      <c r="I338" s="811" t="s">
        <v>1627</v>
      </c>
      <c r="J338" s="813">
        <v>32706000</v>
      </c>
      <c r="K338" s="811" t="s">
        <v>1628</v>
      </c>
      <c r="L338" s="811" t="s">
        <v>1210</v>
      </c>
      <c r="M338" s="811" t="s">
        <v>1608</v>
      </c>
      <c r="N338" s="811" t="s">
        <v>1608</v>
      </c>
      <c r="O338" s="811" t="s">
        <v>1672</v>
      </c>
      <c r="P338" s="811" t="s">
        <v>1630</v>
      </c>
      <c r="Q338" s="811" t="s">
        <v>1673</v>
      </c>
    </row>
    <row r="339" spans="1:17" x14ac:dyDescent="0.35">
      <c r="A339" s="811" t="s">
        <v>1622</v>
      </c>
      <c r="B339" s="811" t="s">
        <v>2037</v>
      </c>
      <c r="C339" s="812">
        <v>37612975</v>
      </c>
      <c r="D339" s="811" t="s">
        <v>1424</v>
      </c>
      <c r="E339" s="811" t="s">
        <v>1424</v>
      </c>
      <c r="F339" s="811" t="s">
        <v>1639</v>
      </c>
      <c r="G339" s="811" t="s">
        <v>1625</v>
      </c>
      <c r="H339" s="811" t="s">
        <v>1626</v>
      </c>
      <c r="I339" s="811" t="s">
        <v>1627</v>
      </c>
      <c r="J339" s="813">
        <v>37612975</v>
      </c>
      <c r="K339" s="811" t="s">
        <v>1628</v>
      </c>
      <c r="L339" s="811" t="s">
        <v>1210</v>
      </c>
      <c r="M339" s="811" t="s">
        <v>1608</v>
      </c>
      <c r="N339" s="811" t="s">
        <v>1608</v>
      </c>
      <c r="O339" s="811" t="s">
        <v>1818</v>
      </c>
      <c r="P339" s="811" t="s">
        <v>1630</v>
      </c>
      <c r="Q339" s="811" t="s">
        <v>1683</v>
      </c>
    </row>
    <row r="340" spans="1:17" x14ac:dyDescent="0.35">
      <c r="A340" s="811" t="s">
        <v>1622</v>
      </c>
      <c r="B340" s="811" t="s">
        <v>2038</v>
      </c>
      <c r="C340" s="812">
        <v>18568000</v>
      </c>
      <c r="D340" s="811" t="s">
        <v>1424</v>
      </c>
      <c r="E340" s="811" t="s">
        <v>1424</v>
      </c>
      <c r="F340" s="811" t="s">
        <v>1624</v>
      </c>
      <c r="G340" s="811" t="s">
        <v>1625</v>
      </c>
      <c r="H340" s="811" t="s">
        <v>1626</v>
      </c>
      <c r="I340" s="811" t="s">
        <v>1627</v>
      </c>
      <c r="J340" s="813">
        <v>18568000</v>
      </c>
      <c r="K340" s="811" t="s">
        <v>1628</v>
      </c>
      <c r="L340" s="811" t="s">
        <v>1210</v>
      </c>
      <c r="M340" s="811" t="s">
        <v>1608</v>
      </c>
      <c r="N340" s="811" t="s">
        <v>1608</v>
      </c>
      <c r="O340" s="811" t="s">
        <v>1702</v>
      </c>
      <c r="P340" s="811" t="s">
        <v>1630</v>
      </c>
      <c r="Q340" s="811" t="s">
        <v>1637</v>
      </c>
    </row>
    <row r="341" spans="1:17" x14ac:dyDescent="0.35">
      <c r="A341" s="811" t="s">
        <v>1622</v>
      </c>
      <c r="B341" s="811" t="s">
        <v>2039</v>
      </c>
      <c r="C341" s="812">
        <v>68000000</v>
      </c>
      <c r="D341" s="811" t="s">
        <v>1424</v>
      </c>
      <c r="E341" s="811" t="s">
        <v>1424</v>
      </c>
      <c r="F341" s="811" t="s">
        <v>1624</v>
      </c>
      <c r="G341" s="811" t="s">
        <v>1625</v>
      </c>
      <c r="H341" s="811" t="s">
        <v>1626</v>
      </c>
      <c r="I341" s="811" t="s">
        <v>1627</v>
      </c>
      <c r="J341" s="813">
        <v>68000000</v>
      </c>
      <c r="K341" s="811" t="s">
        <v>1628</v>
      </c>
      <c r="L341" s="811" t="s">
        <v>1210</v>
      </c>
      <c r="M341" s="811" t="s">
        <v>1608</v>
      </c>
      <c r="N341" s="811" t="s">
        <v>1608</v>
      </c>
      <c r="O341" s="811" t="s">
        <v>1702</v>
      </c>
      <c r="P341" s="811" t="s">
        <v>1630</v>
      </c>
      <c r="Q341" s="811" t="s">
        <v>1637</v>
      </c>
    </row>
    <row r="342" spans="1:17" x14ac:dyDescent="0.35">
      <c r="A342" s="811" t="s">
        <v>1622</v>
      </c>
      <c r="B342" s="811" t="s">
        <v>2040</v>
      </c>
      <c r="C342" s="812">
        <v>36000000</v>
      </c>
      <c r="D342" s="811" t="s">
        <v>1424</v>
      </c>
      <c r="E342" s="811" t="s">
        <v>1424</v>
      </c>
      <c r="F342" s="811" t="s">
        <v>1624</v>
      </c>
      <c r="G342" s="811" t="s">
        <v>1625</v>
      </c>
      <c r="H342" s="811" t="s">
        <v>1626</v>
      </c>
      <c r="I342" s="811" t="s">
        <v>1627</v>
      </c>
      <c r="J342" s="813">
        <v>36000000</v>
      </c>
      <c r="K342" s="811" t="s">
        <v>1628</v>
      </c>
      <c r="L342" s="811" t="s">
        <v>1210</v>
      </c>
      <c r="M342" s="811" t="s">
        <v>1608</v>
      </c>
      <c r="N342" s="811" t="s">
        <v>1608</v>
      </c>
      <c r="O342" s="811" t="s">
        <v>1702</v>
      </c>
      <c r="P342" s="811" t="s">
        <v>1630</v>
      </c>
      <c r="Q342" s="811" t="s">
        <v>1637</v>
      </c>
    </row>
    <row r="343" spans="1:17" x14ac:dyDescent="0.35">
      <c r="A343" s="811" t="s">
        <v>1622</v>
      </c>
      <c r="B343" s="811" t="s">
        <v>2041</v>
      </c>
      <c r="C343" s="812">
        <v>60000000</v>
      </c>
      <c r="D343" s="811" t="s">
        <v>1424</v>
      </c>
      <c r="E343" s="811" t="s">
        <v>1424</v>
      </c>
      <c r="F343" s="811" t="s">
        <v>1624</v>
      </c>
      <c r="G343" s="811" t="s">
        <v>1625</v>
      </c>
      <c r="H343" s="811" t="s">
        <v>1626</v>
      </c>
      <c r="I343" s="811" t="s">
        <v>1627</v>
      </c>
      <c r="J343" s="813">
        <v>60000000</v>
      </c>
      <c r="K343" s="811" t="s">
        <v>1628</v>
      </c>
      <c r="L343" s="811" t="s">
        <v>1210</v>
      </c>
      <c r="M343" s="811" t="s">
        <v>1608</v>
      </c>
      <c r="N343" s="811" t="s">
        <v>1608</v>
      </c>
      <c r="O343" s="811" t="s">
        <v>1702</v>
      </c>
      <c r="P343" s="811" t="s">
        <v>1630</v>
      </c>
      <c r="Q343" s="811" t="s">
        <v>1637</v>
      </c>
    </row>
    <row r="344" spans="1:17" x14ac:dyDescent="0.35">
      <c r="A344" s="811" t="s">
        <v>1622</v>
      </c>
      <c r="B344" s="811" t="s">
        <v>2042</v>
      </c>
      <c r="C344" s="812">
        <v>24000000</v>
      </c>
      <c r="D344" s="811" t="s">
        <v>1424</v>
      </c>
      <c r="E344" s="811" t="s">
        <v>1424</v>
      </c>
      <c r="F344" s="811" t="s">
        <v>1624</v>
      </c>
      <c r="G344" s="811" t="s">
        <v>1625</v>
      </c>
      <c r="H344" s="811" t="s">
        <v>1626</v>
      </c>
      <c r="I344" s="811" t="s">
        <v>1627</v>
      </c>
      <c r="J344" s="813">
        <v>24000000</v>
      </c>
      <c r="K344" s="811" t="s">
        <v>1628</v>
      </c>
      <c r="L344" s="811" t="s">
        <v>1210</v>
      </c>
      <c r="M344" s="811" t="s">
        <v>1608</v>
      </c>
      <c r="N344" s="811" t="s">
        <v>1608</v>
      </c>
      <c r="O344" s="811" t="s">
        <v>1702</v>
      </c>
      <c r="P344" s="811" t="s">
        <v>1630</v>
      </c>
      <c r="Q344" s="811" t="s">
        <v>1637</v>
      </c>
    </row>
    <row r="345" spans="1:17" x14ac:dyDescent="0.35">
      <c r="A345" s="811" t="s">
        <v>1622</v>
      </c>
      <c r="B345" s="811" t="s">
        <v>2043</v>
      </c>
      <c r="C345" s="812">
        <v>56000000</v>
      </c>
      <c r="D345" s="811" t="s">
        <v>1424</v>
      </c>
      <c r="E345" s="811" t="s">
        <v>1424</v>
      </c>
      <c r="F345" s="811" t="s">
        <v>1624</v>
      </c>
      <c r="G345" s="811" t="s">
        <v>1625</v>
      </c>
      <c r="H345" s="811" t="s">
        <v>1626</v>
      </c>
      <c r="I345" s="811" t="s">
        <v>1627</v>
      </c>
      <c r="J345" s="813">
        <v>56000000</v>
      </c>
      <c r="K345" s="811" t="s">
        <v>1628</v>
      </c>
      <c r="L345" s="811" t="s">
        <v>1210</v>
      </c>
      <c r="M345" s="811" t="s">
        <v>1608</v>
      </c>
      <c r="N345" s="811" t="s">
        <v>1608</v>
      </c>
      <c r="O345" s="811" t="s">
        <v>1702</v>
      </c>
      <c r="P345" s="811" t="s">
        <v>1630</v>
      </c>
      <c r="Q345" s="811" t="s">
        <v>1637</v>
      </c>
    </row>
    <row r="346" spans="1:17" x14ac:dyDescent="0.35">
      <c r="A346" s="811" t="s">
        <v>1622</v>
      </c>
      <c r="B346" s="811" t="s">
        <v>2044</v>
      </c>
      <c r="C346" s="812">
        <v>39975144</v>
      </c>
      <c r="D346" s="811" t="s">
        <v>1424</v>
      </c>
      <c r="E346" s="811" t="s">
        <v>1424</v>
      </c>
      <c r="F346" s="811" t="s">
        <v>1624</v>
      </c>
      <c r="G346" s="811" t="s">
        <v>1625</v>
      </c>
      <c r="H346" s="811" t="s">
        <v>1626</v>
      </c>
      <c r="I346" s="811" t="s">
        <v>1627</v>
      </c>
      <c r="J346" s="813">
        <v>39975144</v>
      </c>
      <c r="K346" s="811" t="s">
        <v>1628</v>
      </c>
      <c r="L346" s="811" t="s">
        <v>1210</v>
      </c>
      <c r="M346" s="811" t="s">
        <v>1608</v>
      </c>
      <c r="N346" s="811" t="s">
        <v>1608</v>
      </c>
      <c r="O346" s="811" t="s">
        <v>1702</v>
      </c>
      <c r="P346" s="811" t="s">
        <v>1630</v>
      </c>
      <c r="Q346" s="811" t="s">
        <v>1637</v>
      </c>
    </row>
    <row r="347" spans="1:17" x14ac:dyDescent="0.35">
      <c r="A347" s="811" t="s">
        <v>1622</v>
      </c>
      <c r="B347" s="811" t="s">
        <v>2045</v>
      </c>
      <c r="C347" s="812">
        <v>64000000</v>
      </c>
      <c r="D347" s="811" t="s">
        <v>1424</v>
      </c>
      <c r="E347" s="811" t="s">
        <v>1424</v>
      </c>
      <c r="F347" s="811" t="s">
        <v>1624</v>
      </c>
      <c r="G347" s="811" t="s">
        <v>1625</v>
      </c>
      <c r="H347" s="811" t="s">
        <v>1626</v>
      </c>
      <c r="I347" s="811" t="s">
        <v>1627</v>
      </c>
      <c r="J347" s="813">
        <v>64000000</v>
      </c>
      <c r="K347" s="811" t="s">
        <v>1628</v>
      </c>
      <c r="L347" s="811" t="s">
        <v>1210</v>
      </c>
      <c r="M347" s="811" t="s">
        <v>1608</v>
      </c>
      <c r="N347" s="811" t="s">
        <v>1608</v>
      </c>
      <c r="O347" s="811" t="s">
        <v>1702</v>
      </c>
      <c r="P347" s="811" t="s">
        <v>1630</v>
      </c>
      <c r="Q347" s="811" t="s">
        <v>1637</v>
      </c>
    </row>
    <row r="348" spans="1:17" x14ac:dyDescent="0.35">
      <c r="A348" s="811" t="s">
        <v>1622</v>
      </c>
      <c r="B348" s="811" t="s">
        <v>2046</v>
      </c>
      <c r="C348" s="812">
        <v>84000000</v>
      </c>
      <c r="D348" s="811" t="s">
        <v>1424</v>
      </c>
      <c r="E348" s="811" t="s">
        <v>1424</v>
      </c>
      <c r="F348" s="811" t="s">
        <v>1624</v>
      </c>
      <c r="G348" s="811" t="s">
        <v>1625</v>
      </c>
      <c r="H348" s="811" t="s">
        <v>1626</v>
      </c>
      <c r="I348" s="811" t="s">
        <v>1627</v>
      </c>
      <c r="J348" s="813">
        <v>84000000</v>
      </c>
      <c r="K348" s="811" t="s">
        <v>1628</v>
      </c>
      <c r="L348" s="811" t="s">
        <v>1210</v>
      </c>
      <c r="M348" s="811" t="s">
        <v>1608</v>
      </c>
      <c r="N348" s="811" t="s">
        <v>1608</v>
      </c>
      <c r="O348" s="811" t="s">
        <v>1702</v>
      </c>
      <c r="P348" s="811" t="s">
        <v>1630</v>
      </c>
      <c r="Q348" s="811" t="s">
        <v>1637</v>
      </c>
    </row>
    <row r="349" spans="1:17" x14ac:dyDescent="0.35">
      <c r="A349" s="811" t="s">
        <v>1622</v>
      </c>
      <c r="B349" s="811" t="s">
        <v>2047</v>
      </c>
      <c r="C349" s="812">
        <v>16353468</v>
      </c>
      <c r="D349" s="811" t="s">
        <v>1424</v>
      </c>
      <c r="E349" s="811" t="s">
        <v>1424</v>
      </c>
      <c r="F349" s="811" t="s">
        <v>1691</v>
      </c>
      <c r="G349" s="811" t="s">
        <v>1625</v>
      </c>
      <c r="H349" s="811" t="s">
        <v>1626</v>
      </c>
      <c r="I349" s="811" t="s">
        <v>1627</v>
      </c>
      <c r="J349" s="813">
        <v>16353468</v>
      </c>
      <c r="K349" s="811" t="s">
        <v>1628</v>
      </c>
      <c r="L349" s="811" t="s">
        <v>1210</v>
      </c>
      <c r="M349" s="811" t="s">
        <v>1608</v>
      </c>
      <c r="N349" s="811" t="s">
        <v>1608</v>
      </c>
      <c r="O349" s="811" t="s">
        <v>1702</v>
      </c>
      <c r="P349" s="811" t="s">
        <v>1630</v>
      </c>
      <c r="Q349" s="811" t="s">
        <v>1637</v>
      </c>
    </row>
    <row r="350" spans="1:17" x14ac:dyDescent="0.35">
      <c r="A350" s="811" t="s">
        <v>1622</v>
      </c>
      <c r="B350" s="811" t="s">
        <v>2048</v>
      </c>
      <c r="C350" s="812">
        <v>46400000</v>
      </c>
      <c r="D350" s="811" t="s">
        <v>1424</v>
      </c>
      <c r="E350" s="811" t="s">
        <v>1424</v>
      </c>
      <c r="F350" s="811" t="s">
        <v>1624</v>
      </c>
      <c r="G350" s="811" t="s">
        <v>1625</v>
      </c>
      <c r="H350" s="811" t="s">
        <v>1626</v>
      </c>
      <c r="I350" s="811" t="s">
        <v>1627</v>
      </c>
      <c r="J350" s="813">
        <v>46400000</v>
      </c>
      <c r="K350" s="811" t="s">
        <v>1628</v>
      </c>
      <c r="L350" s="811" t="s">
        <v>1210</v>
      </c>
      <c r="M350" s="811" t="s">
        <v>1608</v>
      </c>
      <c r="N350" s="811" t="s">
        <v>1608</v>
      </c>
      <c r="O350" s="811" t="s">
        <v>1702</v>
      </c>
      <c r="P350" s="811" t="s">
        <v>1630</v>
      </c>
      <c r="Q350" s="811" t="s">
        <v>1637</v>
      </c>
    </row>
    <row r="351" spans="1:17" x14ac:dyDescent="0.35">
      <c r="A351" s="811" t="s">
        <v>1622</v>
      </c>
      <c r="B351" s="811" t="s">
        <v>2049</v>
      </c>
      <c r="C351" s="812">
        <v>64000000</v>
      </c>
      <c r="D351" s="811" t="s">
        <v>1424</v>
      </c>
      <c r="E351" s="811" t="s">
        <v>1424</v>
      </c>
      <c r="F351" s="811" t="s">
        <v>1624</v>
      </c>
      <c r="G351" s="811" t="s">
        <v>1625</v>
      </c>
      <c r="H351" s="811" t="s">
        <v>1626</v>
      </c>
      <c r="I351" s="811" t="s">
        <v>1627</v>
      </c>
      <c r="J351" s="813">
        <v>64000000</v>
      </c>
      <c r="K351" s="811" t="s">
        <v>1628</v>
      </c>
      <c r="L351" s="811" t="s">
        <v>1210</v>
      </c>
      <c r="M351" s="811" t="s">
        <v>1608</v>
      </c>
      <c r="N351" s="811" t="s">
        <v>1608</v>
      </c>
      <c r="O351" s="811" t="s">
        <v>1702</v>
      </c>
      <c r="P351" s="811" t="s">
        <v>1630</v>
      </c>
      <c r="Q351" s="811" t="s">
        <v>1637</v>
      </c>
    </row>
    <row r="352" spans="1:17" x14ac:dyDescent="0.35">
      <c r="A352" s="811" t="s">
        <v>1622</v>
      </c>
      <c r="B352" s="811" t="s">
        <v>2050</v>
      </c>
      <c r="C352" s="812">
        <v>44000000</v>
      </c>
      <c r="D352" s="811" t="s">
        <v>1424</v>
      </c>
      <c r="E352" s="811" t="s">
        <v>1424</v>
      </c>
      <c r="F352" s="811" t="s">
        <v>1624</v>
      </c>
      <c r="G352" s="811" t="s">
        <v>1625</v>
      </c>
      <c r="H352" s="811" t="s">
        <v>1626</v>
      </c>
      <c r="I352" s="811" t="s">
        <v>1627</v>
      </c>
      <c r="J352" s="813">
        <v>44000000</v>
      </c>
      <c r="K352" s="811" t="s">
        <v>1628</v>
      </c>
      <c r="L352" s="811" t="s">
        <v>1210</v>
      </c>
      <c r="M352" s="811" t="s">
        <v>1608</v>
      </c>
      <c r="N352" s="811" t="s">
        <v>1608</v>
      </c>
      <c r="O352" s="811" t="s">
        <v>1702</v>
      </c>
      <c r="P352" s="811" t="s">
        <v>1630</v>
      </c>
      <c r="Q352" s="811" t="s">
        <v>1637</v>
      </c>
    </row>
    <row r="353" spans="1:17" x14ac:dyDescent="0.35">
      <c r="A353" s="811" t="s">
        <v>1622</v>
      </c>
      <c r="B353" s="811" t="s">
        <v>2051</v>
      </c>
      <c r="C353" s="812">
        <v>64000000</v>
      </c>
      <c r="D353" s="811" t="s">
        <v>1424</v>
      </c>
      <c r="E353" s="811" t="s">
        <v>1424</v>
      </c>
      <c r="F353" s="811" t="s">
        <v>1624</v>
      </c>
      <c r="G353" s="811" t="s">
        <v>1625</v>
      </c>
      <c r="H353" s="811" t="s">
        <v>1626</v>
      </c>
      <c r="I353" s="811" t="s">
        <v>1627</v>
      </c>
      <c r="J353" s="813">
        <v>64000000</v>
      </c>
      <c r="K353" s="811" t="s">
        <v>1628</v>
      </c>
      <c r="L353" s="811" t="s">
        <v>1210</v>
      </c>
      <c r="M353" s="811" t="s">
        <v>1608</v>
      </c>
      <c r="N353" s="811" t="s">
        <v>1608</v>
      </c>
      <c r="O353" s="811" t="s">
        <v>1702</v>
      </c>
      <c r="P353" s="811" t="s">
        <v>1630</v>
      </c>
      <c r="Q353" s="811" t="s">
        <v>1637</v>
      </c>
    </row>
    <row r="354" spans="1:17" x14ac:dyDescent="0.35">
      <c r="A354" s="811" t="s">
        <v>1622</v>
      </c>
      <c r="B354" s="811" t="s">
        <v>1660</v>
      </c>
      <c r="C354" s="812">
        <v>43780000</v>
      </c>
      <c r="D354" s="811" t="s">
        <v>1424</v>
      </c>
      <c r="E354" s="811" t="s">
        <v>1424</v>
      </c>
      <c r="F354" s="811" t="s">
        <v>1645</v>
      </c>
      <c r="G354" s="811" t="s">
        <v>1625</v>
      </c>
      <c r="H354" s="811" t="s">
        <v>1626</v>
      </c>
      <c r="I354" s="811" t="s">
        <v>1627</v>
      </c>
      <c r="J354" s="813">
        <v>43780000</v>
      </c>
      <c r="K354" s="811" t="s">
        <v>1628</v>
      </c>
      <c r="L354" s="811" t="s">
        <v>1210</v>
      </c>
      <c r="M354" s="811" t="s">
        <v>1608</v>
      </c>
      <c r="N354" s="811" t="s">
        <v>1608</v>
      </c>
      <c r="O354" s="811" t="s">
        <v>1732</v>
      </c>
      <c r="P354" s="811" t="s">
        <v>1733</v>
      </c>
      <c r="Q354" s="811" t="s">
        <v>1631</v>
      </c>
    </row>
    <row r="355" spans="1:17" x14ac:dyDescent="0.35">
      <c r="A355" s="811" t="s">
        <v>1622</v>
      </c>
      <c r="B355" s="811" t="s">
        <v>2052</v>
      </c>
      <c r="C355" s="812">
        <v>43780000</v>
      </c>
      <c r="D355" s="811" t="s">
        <v>1424</v>
      </c>
      <c r="E355" s="811" t="s">
        <v>1424</v>
      </c>
      <c r="F355" s="811" t="s">
        <v>1662</v>
      </c>
      <c r="G355" s="811" t="s">
        <v>1625</v>
      </c>
      <c r="H355" s="811" t="s">
        <v>1626</v>
      </c>
      <c r="I355" s="811" t="s">
        <v>1627</v>
      </c>
      <c r="J355" s="813">
        <v>43780000</v>
      </c>
      <c r="K355" s="811" t="s">
        <v>1628</v>
      </c>
      <c r="L355" s="811" t="s">
        <v>1210</v>
      </c>
      <c r="M355" s="811" t="s">
        <v>1608</v>
      </c>
      <c r="N355" s="811" t="s">
        <v>1608</v>
      </c>
      <c r="O355" s="811" t="s">
        <v>1732</v>
      </c>
      <c r="P355" s="811" t="s">
        <v>1733</v>
      </c>
      <c r="Q355" s="811" t="s">
        <v>1631</v>
      </c>
    </row>
    <row r="356" spans="1:17" x14ac:dyDescent="0.35">
      <c r="A356" s="811" t="s">
        <v>1622</v>
      </c>
      <c r="B356" s="811" t="s">
        <v>2053</v>
      </c>
      <c r="C356" s="812">
        <v>52800000</v>
      </c>
      <c r="D356" s="811" t="s">
        <v>1424</v>
      </c>
      <c r="E356" s="811" t="s">
        <v>1424</v>
      </c>
      <c r="F356" s="811" t="s">
        <v>1645</v>
      </c>
      <c r="G356" s="811" t="s">
        <v>1625</v>
      </c>
      <c r="H356" s="811" t="s">
        <v>1626</v>
      </c>
      <c r="I356" s="811" t="s">
        <v>1627</v>
      </c>
      <c r="J356" s="813">
        <v>52800000</v>
      </c>
      <c r="K356" s="811" t="s">
        <v>1628</v>
      </c>
      <c r="L356" s="811" t="s">
        <v>1210</v>
      </c>
      <c r="M356" s="811" t="s">
        <v>1608</v>
      </c>
      <c r="N356" s="811" t="s">
        <v>1608</v>
      </c>
      <c r="O356" s="811" t="s">
        <v>1732</v>
      </c>
      <c r="P356" s="811" t="s">
        <v>1733</v>
      </c>
      <c r="Q356" s="811" t="s">
        <v>1631</v>
      </c>
    </row>
    <row r="357" spans="1:17" x14ac:dyDescent="0.35">
      <c r="A357" s="811" t="s">
        <v>1622</v>
      </c>
      <c r="B357" s="811" t="s">
        <v>2054</v>
      </c>
      <c r="C357" s="812">
        <v>43780000</v>
      </c>
      <c r="D357" s="811" t="s">
        <v>1424</v>
      </c>
      <c r="E357" s="811" t="s">
        <v>1424</v>
      </c>
      <c r="F357" s="811" t="s">
        <v>1645</v>
      </c>
      <c r="G357" s="811" t="s">
        <v>1625</v>
      </c>
      <c r="H357" s="811" t="s">
        <v>1626</v>
      </c>
      <c r="I357" s="811" t="s">
        <v>1627</v>
      </c>
      <c r="J357" s="813">
        <v>43780000</v>
      </c>
      <c r="K357" s="811" t="s">
        <v>1628</v>
      </c>
      <c r="L357" s="811" t="s">
        <v>1210</v>
      </c>
      <c r="M357" s="811" t="s">
        <v>1608</v>
      </c>
      <c r="N357" s="811" t="s">
        <v>1608</v>
      </c>
      <c r="O357" s="811" t="s">
        <v>1732</v>
      </c>
      <c r="P357" s="811" t="s">
        <v>1733</v>
      </c>
      <c r="Q357" s="811" t="s">
        <v>1631</v>
      </c>
    </row>
    <row r="358" spans="1:17" x14ac:dyDescent="0.35">
      <c r="A358" s="811" t="s">
        <v>1622</v>
      </c>
      <c r="B358" s="811" t="s">
        <v>2055</v>
      </c>
      <c r="C358" s="812">
        <v>48400000</v>
      </c>
      <c r="D358" s="811" t="s">
        <v>1424</v>
      </c>
      <c r="E358" s="811" t="s">
        <v>1424</v>
      </c>
      <c r="F358" s="811" t="s">
        <v>1662</v>
      </c>
      <c r="G358" s="811" t="s">
        <v>1625</v>
      </c>
      <c r="H358" s="811" t="s">
        <v>1626</v>
      </c>
      <c r="I358" s="811" t="s">
        <v>1627</v>
      </c>
      <c r="J358" s="813">
        <v>48400000</v>
      </c>
      <c r="K358" s="811" t="s">
        <v>1628</v>
      </c>
      <c r="L358" s="811" t="s">
        <v>1210</v>
      </c>
      <c r="M358" s="811" t="s">
        <v>1608</v>
      </c>
      <c r="N358" s="811" t="s">
        <v>1608</v>
      </c>
      <c r="O358" s="811" t="s">
        <v>1732</v>
      </c>
      <c r="P358" s="811" t="s">
        <v>1733</v>
      </c>
      <c r="Q358" s="811" t="s">
        <v>1631</v>
      </c>
    </row>
    <row r="359" spans="1:17" x14ac:dyDescent="0.35">
      <c r="A359" s="811" t="s">
        <v>1622</v>
      </c>
      <c r="B359" s="811" t="s">
        <v>2056</v>
      </c>
      <c r="C359" s="812">
        <v>64900000</v>
      </c>
      <c r="D359" s="811" t="s">
        <v>1424</v>
      </c>
      <c r="E359" s="811" t="s">
        <v>1424</v>
      </c>
      <c r="F359" s="811" t="s">
        <v>1662</v>
      </c>
      <c r="G359" s="811" t="s">
        <v>1625</v>
      </c>
      <c r="H359" s="811" t="s">
        <v>1626</v>
      </c>
      <c r="I359" s="811" t="s">
        <v>1627</v>
      </c>
      <c r="J359" s="813">
        <v>64900000</v>
      </c>
      <c r="K359" s="811" t="s">
        <v>1628</v>
      </c>
      <c r="L359" s="811" t="s">
        <v>1210</v>
      </c>
      <c r="M359" s="811" t="s">
        <v>1608</v>
      </c>
      <c r="N359" s="811" t="s">
        <v>1608</v>
      </c>
      <c r="O359" s="811" t="s">
        <v>1732</v>
      </c>
      <c r="P359" s="811" t="s">
        <v>1733</v>
      </c>
      <c r="Q359" s="811" t="s">
        <v>1631</v>
      </c>
    </row>
    <row r="360" spans="1:17" x14ac:dyDescent="0.35">
      <c r="A360" s="811" t="s">
        <v>1622</v>
      </c>
      <c r="B360" s="811" t="s">
        <v>2057</v>
      </c>
      <c r="C360" s="812">
        <v>31600000</v>
      </c>
      <c r="D360" s="811" t="s">
        <v>1424</v>
      </c>
      <c r="E360" s="811" t="s">
        <v>1424</v>
      </c>
      <c r="F360" s="811" t="s">
        <v>1658</v>
      </c>
      <c r="G360" s="811" t="s">
        <v>1625</v>
      </c>
      <c r="H360" s="811" t="s">
        <v>1626</v>
      </c>
      <c r="I360" s="811" t="s">
        <v>1627</v>
      </c>
      <c r="J360" s="813">
        <v>31600000</v>
      </c>
      <c r="K360" s="811" t="s">
        <v>1628</v>
      </c>
      <c r="L360" s="811" t="s">
        <v>1210</v>
      </c>
      <c r="M360" s="811" t="s">
        <v>1608</v>
      </c>
      <c r="N360" s="811" t="s">
        <v>1608</v>
      </c>
      <c r="O360" s="811" t="s">
        <v>1742</v>
      </c>
      <c r="P360" s="811" t="s">
        <v>1630</v>
      </c>
      <c r="Q360" s="811" t="s">
        <v>1678</v>
      </c>
    </row>
    <row r="361" spans="1:17" x14ac:dyDescent="0.35">
      <c r="A361" s="811" t="s">
        <v>1622</v>
      </c>
      <c r="B361" s="811" t="s">
        <v>2058</v>
      </c>
      <c r="C361" s="812">
        <v>64900000</v>
      </c>
      <c r="D361" s="811" t="s">
        <v>1424</v>
      </c>
      <c r="E361" s="811" t="s">
        <v>1424</v>
      </c>
      <c r="F361" s="811" t="s">
        <v>1662</v>
      </c>
      <c r="G361" s="811" t="s">
        <v>1625</v>
      </c>
      <c r="H361" s="811" t="s">
        <v>1626</v>
      </c>
      <c r="I361" s="811" t="s">
        <v>1627</v>
      </c>
      <c r="J361" s="813">
        <v>64900000</v>
      </c>
      <c r="K361" s="811" t="s">
        <v>1628</v>
      </c>
      <c r="L361" s="811" t="s">
        <v>1210</v>
      </c>
      <c r="M361" s="811" t="s">
        <v>1608</v>
      </c>
      <c r="N361" s="811" t="s">
        <v>1608</v>
      </c>
      <c r="O361" s="811" t="s">
        <v>1659</v>
      </c>
      <c r="P361" s="811" t="s">
        <v>1630</v>
      </c>
      <c r="Q361" s="811" t="s">
        <v>1631</v>
      </c>
    </row>
    <row r="362" spans="1:17" x14ac:dyDescent="0.35">
      <c r="A362" s="811" t="s">
        <v>1622</v>
      </c>
      <c r="B362" s="811" t="s">
        <v>2059</v>
      </c>
      <c r="C362" s="812">
        <v>28800000</v>
      </c>
      <c r="D362" s="811" t="s">
        <v>1515</v>
      </c>
      <c r="E362" s="811" t="s">
        <v>1515</v>
      </c>
      <c r="F362" s="811" t="s">
        <v>1624</v>
      </c>
      <c r="G362" s="811" t="s">
        <v>1625</v>
      </c>
      <c r="H362" s="811" t="s">
        <v>1626</v>
      </c>
      <c r="I362" s="811" t="s">
        <v>1627</v>
      </c>
      <c r="J362" s="813">
        <v>28800000</v>
      </c>
      <c r="K362" s="811" t="s">
        <v>1628</v>
      </c>
      <c r="L362" s="811" t="s">
        <v>1210</v>
      </c>
      <c r="M362" s="811" t="s">
        <v>1608</v>
      </c>
      <c r="N362" s="811" t="s">
        <v>1608</v>
      </c>
      <c r="O362" s="811" t="s">
        <v>1659</v>
      </c>
      <c r="P362" s="811" t="s">
        <v>1630</v>
      </c>
      <c r="Q362" s="811" t="s">
        <v>1631</v>
      </c>
    </row>
    <row r="363" spans="1:17" x14ac:dyDescent="0.35">
      <c r="A363" s="811" t="s">
        <v>1622</v>
      </c>
      <c r="B363" s="811" t="s">
        <v>2060</v>
      </c>
      <c r="C363" s="812">
        <v>39600000</v>
      </c>
      <c r="D363" s="811" t="s">
        <v>1420</v>
      </c>
      <c r="E363" s="811" t="s">
        <v>1420</v>
      </c>
      <c r="F363" s="811" t="s">
        <v>1639</v>
      </c>
      <c r="G363" s="811" t="s">
        <v>1625</v>
      </c>
      <c r="H363" s="811" t="s">
        <v>1626</v>
      </c>
      <c r="I363" s="811" t="s">
        <v>1627</v>
      </c>
      <c r="J363" s="813">
        <v>39600000</v>
      </c>
      <c r="K363" s="811" t="s">
        <v>1628</v>
      </c>
      <c r="L363" s="811" t="s">
        <v>1210</v>
      </c>
      <c r="M363" s="811" t="s">
        <v>1608</v>
      </c>
      <c r="N363" s="811" t="s">
        <v>1608</v>
      </c>
      <c r="O363" s="811" t="s">
        <v>1659</v>
      </c>
      <c r="P363" s="811" t="s">
        <v>1630</v>
      </c>
      <c r="Q363" s="811" t="s">
        <v>1631</v>
      </c>
    </row>
    <row r="364" spans="1:17" x14ac:dyDescent="0.35">
      <c r="A364" s="811" t="s">
        <v>1622</v>
      </c>
      <c r="B364" s="811" t="s">
        <v>2061</v>
      </c>
      <c r="C364" s="812">
        <v>36000000</v>
      </c>
      <c r="D364" s="811" t="s">
        <v>1420</v>
      </c>
      <c r="E364" s="811" t="s">
        <v>1420</v>
      </c>
      <c r="F364" s="811" t="s">
        <v>1639</v>
      </c>
      <c r="G364" s="811" t="s">
        <v>1625</v>
      </c>
      <c r="H364" s="811" t="s">
        <v>1626</v>
      </c>
      <c r="I364" s="811" t="s">
        <v>1627</v>
      </c>
      <c r="J364" s="813">
        <v>36000000</v>
      </c>
      <c r="K364" s="811" t="s">
        <v>1628</v>
      </c>
      <c r="L364" s="811" t="s">
        <v>1210</v>
      </c>
      <c r="M364" s="811" t="s">
        <v>1608</v>
      </c>
      <c r="N364" s="811" t="s">
        <v>1608</v>
      </c>
      <c r="O364" s="811" t="s">
        <v>1659</v>
      </c>
      <c r="P364" s="811" t="s">
        <v>1630</v>
      </c>
      <c r="Q364" s="811" t="s">
        <v>1631</v>
      </c>
    </row>
    <row r="365" spans="1:17" x14ac:dyDescent="0.35">
      <c r="A365" s="811" t="s">
        <v>1622</v>
      </c>
      <c r="B365" s="811" t="s">
        <v>2062</v>
      </c>
      <c r="C365" s="812">
        <v>64900000</v>
      </c>
      <c r="D365" s="811" t="s">
        <v>1424</v>
      </c>
      <c r="E365" s="811" t="s">
        <v>1424</v>
      </c>
      <c r="F365" s="811" t="s">
        <v>1662</v>
      </c>
      <c r="G365" s="811" t="s">
        <v>1625</v>
      </c>
      <c r="H365" s="811" t="s">
        <v>1626</v>
      </c>
      <c r="I365" s="811" t="s">
        <v>1627</v>
      </c>
      <c r="J365" s="813">
        <v>64900000</v>
      </c>
      <c r="K365" s="811" t="s">
        <v>1628</v>
      </c>
      <c r="L365" s="811" t="s">
        <v>1210</v>
      </c>
      <c r="M365" s="811" t="s">
        <v>1608</v>
      </c>
      <c r="N365" s="811" t="s">
        <v>1608</v>
      </c>
      <c r="O365" s="811" t="s">
        <v>1659</v>
      </c>
      <c r="P365" s="811" t="s">
        <v>1630</v>
      </c>
      <c r="Q365" s="811" t="s">
        <v>1631</v>
      </c>
    </row>
    <row r="366" spans="1:17" x14ac:dyDescent="0.35">
      <c r="A366" s="811" t="s">
        <v>1622</v>
      </c>
      <c r="B366" s="811" t="s">
        <v>2063</v>
      </c>
      <c r="C366" s="812">
        <v>64900000</v>
      </c>
      <c r="D366" s="811" t="s">
        <v>1420</v>
      </c>
      <c r="E366" s="811" t="s">
        <v>1420</v>
      </c>
      <c r="F366" s="811" t="s">
        <v>1662</v>
      </c>
      <c r="G366" s="811" t="s">
        <v>1625</v>
      </c>
      <c r="H366" s="811" t="s">
        <v>1626</v>
      </c>
      <c r="I366" s="811" t="s">
        <v>1627</v>
      </c>
      <c r="J366" s="813">
        <v>64900000</v>
      </c>
      <c r="K366" s="811" t="s">
        <v>1628</v>
      </c>
      <c r="L366" s="811" t="s">
        <v>1210</v>
      </c>
      <c r="M366" s="811" t="s">
        <v>1608</v>
      </c>
      <c r="N366" s="811" t="s">
        <v>1608</v>
      </c>
      <c r="O366" s="811" t="s">
        <v>1659</v>
      </c>
      <c r="P366" s="811" t="s">
        <v>1630</v>
      </c>
      <c r="Q366" s="811" t="s">
        <v>1631</v>
      </c>
    </row>
    <row r="367" spans="1:17" x14ac:dyDescent="0.35">
      <c r="A367" s="811" t="s">
        <v>1622</v>
      </c>
      <c r="B367" s="811" t="s">
        <v>2064</v>
      </c>
      <c r="C367" s="812">
        <v>64900000</v>
      </c>
      <c r="D367" s="811" t="s">
        <v>1420</v>
      </c>
      <c r="E367" s="811" t="s">
        <v>1420</v>
      </c>
      <c r="F367" s="811" t="s">
        <v>1662</v>
      </c>
      <c r="G367" s="811" t="s">
        <v>1625</v>
      </c>
      <c r="H367" s="811" t="s">
        <v>1626</v>
      </c>
      <c r="I367" s="811" t="s">
        <v>1627</v>
      </c>
      <c r="J367" s="813">
        <v>64900000</v>
      </c>
      <c r="K367" s="811" t="s">
        <v>1628</v>
      </c>
      <c r="L367" s="811" t="s">
        <v>1210</v>
      </c>
      <c r="M367" s="811" t="s">
        <v>1608</v>
      </c>
      <c r="N367" s="811" t="s">
        <v>1608</v>
      </c>
      <c r="O367" s="811" t="s">
        <v>1659</v>
      </c>
      <c r="P367" s="811" t="s">
        <v>1630</v>
      </c>
      <c r="Q367" s="811" t="s">
        <v>1631</v>
      </c>
    </row>
    <row r="368" spans="1:17" x14ac:dyDescent="0.35">
      <c r="A368" s="811" t="s">
        <v>1622</v>
      </c>
      <c r="B368" s="811" t="s">
        <v>2065</v>
      </c>
      <c r="C368" s="812">
        <v>50150000</v>
      </c>
      <c r="D368" s="811" t="s">
        <v>1515</v>
      </c>
      <c r="E368" s="811" t="s">
        <v>1515</v>
      </c>
      <c r="F368" s="811" t="s">
        <v>1624</v>
      </c>
      <c r="G368" s="811" t="s">
        <v>1625</v>
      </c>
      <c r="H368" s="811" t="s">
        <v>1626</v>
      </c>
      <c r="I368" s="811" t="s">
        <v>1627</v>
      </c>
      <c r="J368" s="813">
        <v>50150000</v>
      </c>
      <c r="K368" s="811" t="s">
        <v>1628</v>
      </c>
      <c r="L368" s="811" t="s">
        <v>1210</v>
      </c>
      <c r="M368" s="811" t="s">
        <v>1608</v>
      </c>
      <c r="N368" s="811" t="s">
        <v>1608</v>
      </c>
      <c r="O368" s="811" t="s">
        <v>1659</v>
      </c>
      <c r="P368" s="811" t="s">
        <v>1630</v>
      </c>
      <c r="Q368" s="811" t="s">
        <v>1631</v>
      </c>
    </row>
    <row r="369" spans="1:17" x14ac:dyDescent="0.35">
      <c r="A369" s="811" t="s">
        <v>1622</v>
      </c>
      <c r="B369" s="811" t="s">
        <v>2066</v>
      </c>
      <c r="C369" s="812">
        <v>44000000</v>
      </c>
      <c r="D369" s="811" t="s">
        <v>1420</v>
      </c>
      <c r="E369" s="811" t="s">
        <v>1420</v>
      </c>
      <c r="F369" s="811" t="s">
        <v>1662</v>
      </c>
      <c r="G369" s="811" t="s">
        <v>1625</v>
      </c>
      <c r="H369" s="811" t="s">
        <v>1626</v>
      </c>
      <c r="I369" s="811" t="s">
        <v>1627</v>
      </c>
      <c r="J369" s="813">
        <v>44000000</v>
      </c>
      <c r="K369" s="811" t="s">
        <v>1628</v>
      </c>
      <c r="L369" s="811" t="s">
        <v>1210</v>
      </c>
      <c r="M369" s="811" t="s">
        <v>1608</v>
      </c>
      <c r="N369" s="811" t="s">
        <v>1608</v>
      </c>
      <c r="O369" s="811" t="s">
        <v>1659</v>
      </c>
      <c r="P369" s="811" t="s">
        <v>1630</v>
      </c>
      <c r="Q369" s="811" t="s">
        <v>1631</v>
      </c>
    </row>
    <row r="370" spans="1:17" x14ac:dyDescent="0.35">
      <c r="A370" s="811" t="s">
        <v>1622</v>
      </c>
      <c r="B370" s="811" t="s">
        <v>2067</v>
      </c>
      <c r="C370" s="812">
        <v>40700000</v>
      </c>
      <c r="D370" s="811" t="s">
        <v>1420</v>
      </c>
      <c r="E370" s="811" t="s">
        <v>1420</v>
      </c>
      <c r="F370" s="811" t="s">
        <v>1662</v>
      </c>
      <c r="G370" s="811" t="s">
        <v>1625</v>
      </c>
      <c r="H370" s="811" t="s">
        <v>1626</v>
      </c>
      <c r="I370" s="811" t="s">
        <v>1627</v>
      </c>
      <c r="J370" s="813">
        <v>40700000</v>
      </c>
      <c r="K370" s="811" t="s">
        <v>1628</v>
      </c>
      <c r="L370" s="811" t="s">
        <v>1210</v>
      </c>
      <c r="M370" s="811" t="s">
        <v>1608</v>
      </c>
      <c r="N370" s="811" t="s">
        <v>1608</v>
      </c>
      <c r="O370" s="811" t="s">
        <v>1659</v>
      </c>
      <c r="P370" s="811" t="s">
        <v>1630</v>
      </c>
      <c r="Q370" s="811" t="s">
        <v>1631</v>
      </c>
    </row>
    <row r="371" spans="1:17" x14ac:dyDescent="0.35">
      <c r="A371" s="811" t="s">
        <v>1622</v>
      </c>
      <c r="B371" s="811" t="s">
        <v>2068</v>
      </c>
      <c r="C371" s="812">
        <v>33000000</v>
      </c>
      <c r="D371" s="811" t="s">
        <v>1420</v>
      </c>
      <c r="E371" s="811" t="s">
        <v>1420</v>
      </c>
      <c r="F371" s="811" t="s">
        <v>1639</v>
      </c>
      <c r="G371" s="811" t="s">
        <v>1625</v>
      </c>
      <c r="H371" s="811" t="s">
        <v>1626</v>
      </c>
      <c r="I371" s="811" t="s">
        <v>1627</v>
      </c>
      <c r="J371" s="813">
        <v>33000000</v>
      </c>
      <c r="K371" s="811" t="s">
        <v>1628</v>
      </c>
      <c r="L371" s="811" t="s">
        <v>1210</v>
      </c>
      <c r="M371" s="811" t="s">
        <v>1608</v>
      </c>
      <c r="N371" s="811" t="s">
        <v>1608</v>
      </c>
      <c r="O371" s="811" t="s">
        <v>1659</v>
      </c>
      <c r="P371" s="811" t="s">
        <v>1630</v>
      </c>
      <c r="Q371" s="811" t="s">
        <v>1631</v>
      </c>
    </row>
    <row r="372" spans="1:17" x14ac:dyDescent="0.35">
      <c r="A372" s="811" t="s">
        <v>1622</v>
      </c>
      <c r="B372" s="811" t="s">
        <v>2069</v>
      </c>
      <c r="C372" s="812">
        <v>39600000</v>
      </c>
      <c r="D372" s="811" t="s">
        <v>1420</v>
      </c>
      <c r="E372" s="811" t="s">
        <v>1420</v>
      </c>
      <c r="F372" s="811" t="s">
        <v>1662</v>
      </c>
      <c r="G372" s="811" t="s">
        <v>1625</v>
      </c>
      <c r="H372" s="811" t="s">
        <v>1626</v>
      </c>
      <c r="I372" s="811" t="s">
        <v>1627</v>
      </c>
      <c r="J372" s="813">
        <v>39600000</v>
      </c>
      <c r="K372" s="811" t="s">
        <v>1628</v>
      </c>
      <c r="L372" s="811" t="s">
        <v>1210</v>
      </c>
      <c r="M372" s="811" t="s">
        <v>1608</v>
      </c>
      <c r="N372" s="811" t="s">
        <v>1608</v>
      </c>
      <c r="O372" s="811" t="s">
        <v>1659</v>
      </c>
      <c r="P372" s="811" t="s">
        <v>1630</v>
      </c>
      <c r="Q372" s="811" t="s">
        <v>1631</v>
      </c>
    </row>
    <row r="373" spans="1:17" x14ac:dyDescent="0.35">
      <c r="A373" s="811" t="s">
        <v>2070</v>
      </c>
      <c r="B373" s="811" t="s">
        <v>2071</v>
      </c>
      <c r="C373" s="812">
        <v>59000000</v>
      </c>
      <c r="D373" s="811" t="s">
        <v>1515</v>
      </c>
      <c r="E373" s="811" t="s">
        <v>1421</v>
      </c>
      <c r="F373" s="811" t="s">
        <v>1635</v>
      </c>
      <c r="G373" s="811" t="s">
        <v>1625</v>
      </c>
      <c r="H373" s="811" t="s">
        <v>1550</v>
      </c>
      <c r="I373" s="811" t="s">
        <v>1627</v>
      </c>
      <c r="J373" s="813">
        <v>59000000</v>
      </c>
      <c r="K373" s="811" t="s">
        <v>1628</v>
      </c>
      <c r="L373" s="811" t="s">
        <v>1210</v>
      </c>
      <c r="M373" s="811" t="s">
        <v>1608</v>
      </c>
      <c r="N373" s="811" t="s">
        <v>1608</v>
      </c>
      <c r="O373" s="811" t="s">
        <v>1659</v>
      </c>
      <c r="P373" s="811" t="s">
        <v>1630</v>
      </c>
      <c r="Q373" s="811" t="s">
        <v>1631</v>
      </c>
    </row>
    <row r="374" spans="1:17" x14ac:dyDescent="0.35">
      <c r="A374" s="811" t="s">
        <v>2072</v>
      </c>
      <c r="B374" s="811" t="s">
        <v>2073</v>
      </c>
      <c r="C374" s="812">
        <v>540000000</v>
      </c>
      <c r="D374" s="811" t="s">
        <v>1445</v>
      </c>
      <c r="E374" s="811" t="s">
        <v>1445</v>
      </c>
      <c r="F374" s="811" t="s">
        <v>1691</v>
      </c>
      <c r="G374" s="811" t="s">
        <v>1625</v>
      </c>
      <c r="H374" s="811" t="s">
        <v>1701</v>
      </c>
      <c r="I374" s="811" t="s">
        <v>1627</v>
      </c>
      <c r="J374" s="813">
        <v>540000000</v>
      </c>
      <c r="K374" s="811" t="s">
        <v>1628</v>
      </c>
      <c r="L374" s="811" t="s">
        <v>1210</v>
      </c>
      <c r="M374" s="811" t="s">
        <v>1608</v>
      </c>
      <c r="N374" s="811" t="s">
        <v>1608</v>
      </c>
      <c r="O374" s="811" t="s">
        <v>1659</v>
      </c>
      <c r="P374" s="811" t="s">
        <v>1630</v>
      </c>
      <c r="Q374" s="811" t="s">
        <v>1631</v>
      </c>
    </row>
    <row r="375" spans="1:17" x14ac:dyDescent="0.35">
      <c r="A375" s="811" t="s">
        <v>2074</v>
      </c>
      <c r="B375" s="811" t="s">
        <v>2075</v>
      </c>
      <c r="C375" s="812">
        <v>460700000</v>
      </c>
      <c r="D375" s="811" t="s">
        <v>1428</v>
      </c>
      <c r="E375" s="811" t="s">
        <v>1428</v>
      </c>
      <c r="F375" s="811" t="s">
        <v>1639</v>
      </c>
      <c r="G375" s="811" t="s">
        <v>1625</v>
      </c>
      <c r="H375" s="811" t="s">
        <v>1626</v>
      </c>
      <c r="I375" s="811" t="s">
        <v>1627</v>
      </c>
      <c r="J375" s="813">
        <v>460700000</v>
      </c>
      <c r="K375" s="811" t="s">
        <v>1628</v>
      </c>
      <c r="L375" s="811" t="s">
        <v>1210</v>
      </c>
      <c r="M375" s="811" t="s">
        <v>1608</v>
      </c>
      <c r="N375" s="811" t="s">
        <v>1608</v>
      </c>
      <c r="O375" s="811" t="s">
        <v>1659</v>
      </c>
      <c r="P375" s="811" t="s">
        <v>1630</v>
      </c>
      <c r="Q375" s="811" t="s">
        <v>1631</v>
      </c>
    </row>
    <row r="376" spans="1:17" x14ac:dyDescent="0.35">
      <c r="A376" s="811" t="s">
        <v>2076</v>
      </c>
      <c r="B376" s="811" t="s">
        <v>2077</v>
      </c>
      <c r="C376" s="812">
        <v>400000000</v>
      </c>
      <c r="D376" s="811" t="s">
        <v>1445</v>
      </c>
      <c r="E376" s="811" t="s">
        <v>1445</v>
      </c>
      <c r="F376" s="811" t="s">
        <v>1635</v>
      </c>
      <c r="G376" s="811" t="s">
        <v>1625</v>
      </c>
      <c r="H376" s="811" t="s">
        <v>1701</v>
      </c>
      <c r="I376" s="811" t="s">
        <v>1627</v>
      </c>
      <c r="J376" s="813">
        <v>400000000</v>
      </c>
      <c r="K376" s="811" t="s">
        <v>1628</v>
      </c>
      <c r="L376" s="811" t="s">
        <v>1210</v>
      </c>
      <c r="M376" s="811" t="s">
        <v>1608</v>
      </c>
      <c r="N376" s="811" t="s">
        <v>1608</v>
      </c>
      <c r="O376" s="811" t="s">
        <v>1659</v>
      </c>
      <c r="P376" s="811" t="s">
        <v>1630</v>
      </c>
      <c r="Q376" s="811" t="s">
        <v>1631</v>
      </c>
    </row>
    <row r="377" spans="1:17" x14ac:dyDescent="0.35">
      <c r="A377" s="811" t="s">
        <v>2078</v>
      </c>
      <c r="B377" s="811" t="s">
        <v>2079</v>
      </c>
      <c r="C377" s="812">
        <v>200000000</v>
      </c>
      <c r="D377" s="811" t="s">
        <v>1420</v>
      </c>
      <c r="E377" s="811" t="s">
        <v>1420</v>
      </c>
      <c r="F377" s="811" t="s">
        <v>1635</v>
      </c>
      <c r="G377" s="811" t="s">
        <v>1625</v>
      </c>
      <c r="H377" s="811" t="s">
        <v>1701</v>
      </c>
      <c r="I377" s="811" t="s">
        <v>1627</v>
      </c>
      <c r="J377" s="813">
        <v>200000000</v>
      </c>
      <c r="K377" s="811" t="s">
        <v>1628</v>
      </c>
      <c r="L377" s="811" t="s">
        <v>1210</v>
      </c>
      <c r="M377" s="811" t="s">
        <v>1608</v>
      </c>
      <c r="N377" s="811" t="s">
        <v>1608</v>
      </c>
      <c r="O377" s="811" t="s">
        <v>1659</v>
      </c>
      <c r="P377" s="811" t="s">
        <v>1630</v>
      </c>
      <c r="Q377" s="811" t="s">
        <v>1631</v>
      </c>
    </row>
    <row r="378" spans="1:17" x14ac:dyDescent="0.35">
      <c r="A378" s="811" t="s">
        <v>2080</v>
      </c>
      <c r="B378" s="811" t="s">
        <v>2081</v>
      </c>
      <c r="C378" s="812">
        <v>301405000</v>
      </c>
      <c r="D378" s="811" t="s">
        <v>1420</v>
      </c>
      <c r="E378" s="811" t="s">
        <v>1420</v>
      </c>
      <c r="F378" s="811" t="s">
        <v>1635</v>
      </c>
      <c r="G378" s="811" t="s">
        <v>1625</v>
      </c>
      <c r="H378" s="811" t="s">
        <v>1626</v>
      </c>
      <c r="I378" s="811" t="s">
        <v>1627</v>
      </c>
      <c r="J378" s="813">
        <v>301405000</v>
      </c>
      <c r="K378" s="811" t="s">
        <v>1628</v>
      </c>
      <c r="L378" s="811" t="s">
        <v>1210</v>
      </c>
      <c r="M378" s="811" t="s">
        <v>1608</v>
      </c>
      <c r="N378" s="811" t="s">
        <v>1608</v>
      </c>
      <c r="O378" s="811" t="s">
        <v>1659</v>
      </c>
      <c r="P378" s="811" t="s">
        <v>1630</v>
      </c>
      <c r="Q378" s="811" t="s">
        <v>1631</v>
      </c>
    </row>
    <row r="379" spans="1:17" x14ac:dyDescent="0.35">
      <c r="A379" s="811" t="s">
        <v>1622</v>
      </c>
      <c r="B379" s="811" t="s">
        <v>2082</v>
      </c>
      <c r="C379" s="812">
        <v>85500000</v>
      </c>
      <c r="D379" s="811" t="s">
        <v>1420</v>
      </c>
      <c r="E379" s="811" t="s">
        <v>1420</v>
      </c>
      <c r="F379" s="811" t="s">
        <v>1639</v>
      </c>
      <c r="G379" s="811" t="s">
        <v>1625</v>
      </c>
      <c r="H379" s="811" t="s">
        <v>1626</v>
      </c>
      <c r="I379" s="811" t="s">
        <v>1627</v>
      </c>
      <c r="J379" s="813">
        <v>85500000</v>
      </c>
      <c r="K379" s="811" t="s">
        <v>1628</v>
      </c>
      <c r="L379" s="811" t="s">
        <v>1210</v>
      </c>
      <c r="M379" s="811" t="s">
        <v>1608</v>
      </c>
      <c r="N379" s="811" t="s">
        <v>1608</v>
      </c>
      <c r="O379" s="811" t="s">
        <v>1654</v>
      </c>
      <c r="P379" s="811" t="s">
        <v>1630</v>
      </c>
      <c r="Q379" s="811" t="s">
        <v>1655</v>
      </c>
    </row>
    <row r="380" spans="1:17" x14ac:dyDescent="0.35">
      <c r="A380" s="811" t="s">
        <v>1622</v>
      </c>
      <c r="B380" s="811" t="s">
        <v>2083</v>
      </c>
      <c r="C380" s="812">
        <v>64900000</v>
      </c>
      <c r="D380" s="811" t="s">
        <v>1424</v>
      </c>
      <c r="E380" s="811" t="s">
        <v>1424</v>
      </c>
      <c r="F380" s="811" t="s">
        <v>1662</v>
      </c>
      <c r="G380" s="811" t="s">
        <v>1625</v>
      </c>
      <c r="H380" s="811" t="s">
        <v>1626</v>
      </c>
      <c r="I380" s="811" t="s">
        <v>1627</v>
      </c>
      <c r="J380" s="813">
        <v>64900000</v>
      </c>
      <c r="K380" s="811" t="s">
        <v>1628</v>
      </c>
      <c r="L380" s="811" t="s">
        <v>1210</v>
      </c>
      <c r="M380" s="811" t="s">
        <v>1608</v>
      </c>
      <c r="N380" s="811" t="s">
        <v>1608</v>
      </c>
      <c r="O380" s="811" t="s">
        <v>1659</v>
      </c>
      <c r="P380" s="811" t="s">
        <v>1630</v>
      </c>
      <c r="Q380" s="811" t="s">
        <v>1631</v>
      </c>
    </row>
    <row r="381" spans="1:17" x14ac:dyDescent="0.35">
      <c r="A381" s="811" t="s">
        <v>1622</v>
      </c>
      <c r="B381" s="811" t="s">
        <v>2084</v>
      </c>
      <c r="C381" s="812">
        <v>48144000</v>
      </c>
      <c r="D381" s="811" t="s">
        <v>1414</v>
      </c>
      <c r="E381" s="811" t="s">
        <v>1414</v>
      </c>
      <c r="F381" s="811" t="s">
        <v>1645</v>
      </c>
      <c r="G381" s="811" t="s">
        <v>1625</v>
      </c>
      <c r="H381" s="811" t="s">
        <v>1626</v>
      </c>
      <c r="I381" s="811" t="s">
        <v>1627</v>
      </c>
      <c r="J381" s="813">
        <v>48144000</v>
      </c>
      <c r="K381" s="811" t="s">
        <v>1628</v>
      </c>
      <c r="L381" s="811" t="s">
        <v>1210</v>
      </c>
      <c r="M381" s="811" t="s">
        <v>1608</v>
      </c>
      <c r="N381" s="811" t="s">
        <v>1608</v>
      </c>
      <c r="O381" s="811" t="s">
        <v>1640</v>
      </c>
      <c r="P381" s="811" t="s">
        <v>1630</v>
      </c>
      <c r="Q381" s="811" t="s">
        <v>1641</v>
      </c>
    </row>
    <row r="382" spans="1:17" x14ac:dyDescent="0.35">
      <c r="A382" s="811" t="s">
        <v>1622</v>
      </c>
      <c r="B382" s="811" t="s">
        <v>2085</v>
      </c>
      <c r="C382" s="812">
        <v>37311600</v>
      </c>
      <c r="D382" s="811" t="s">
        <v>1414</v>
      </c>
      <c r="E382" s="811" t="s">
        <v>1414</v>
      </c>
      <c r="F382" s="811" t="s">
        <v>1645</v>
      </c>
      <c r="G382" s="811" t="s">
        <v>1625</v>
      </c>
      <c r="H382" s="811" t="s">
        <v>1626</v>
      </c>
      <c r="I382" s="811" t="s">
        <v>1627</v>
      </c>
      <c r="J382" s="813">
        <v>37311600</v>
      </c>
      <c r="K382" s="811" t="s">
        <v>1628</v>
      </c>
      <c r="L382" s="811" t="s">
        <v>1210</v>
      </c>
      <c r="M382" s="811" t="s">
        <v>1608</v>
      </c>
      <c r="N382" s="811" t="s">
        <v>1608</v>
      </c>
      <c r="O382" s="811" t="s">
        <v>1640</v>
      </c>
      <c r="P382" s="811" t="s">
        <v>1630</v>
      </c>
      <c r="Q382" s="811" t="s">
        <v>1641</v>
      </c>
    </row>
    <row r="383" spans="1:17" x14ac:dyDescent="0.35">
      <c r="A383" s="811" t="s">
        <v>1622</v>
      </c>
      <c r="B383" s="811" t="s">
        <v>2086</v>
      </c>
      <c r="C383" s="812">
        <v>27255780</v>
      </c>
      <c r="D383" s="811" t="s">
        <v>1420</v>
      </c>
      <c r="E383" s="811" t="s">
        <v>1420</v>
      </c>
      <c r="F383" s="811" t="s">
        <v>1658</v>
      </c>
      <c r="G383" s="811" t="s">
        <v>1625</v>
      </c>
      <c r="H383" s="811" t="s">
        <v>1626</v>
      </c>
      <c r="I383" s="811" t="s">
        <v>1627</v>
      </c>
      <c r="J383" s="813">
        <v>27255780</v>
      </c>
      <c r="K383" s="811" t="s">
        <v>1628</v>
      </c>
      <c r="L383" s="811" t="s">
        <v>1210</v>
      </c>
      <c r="M383" s="811" t="s">
        <v>1608</v>
      </c>
      <c r="N383" s="811" t="s">
        <v>1608</v>
      </c>
      <c r="O383" s="811" t="s">
        <v>1818</v>
      </c>
      <c r="P383" s="811" t="s">
        <v>1630</v>
      </c>
      <c r="Q383" s="811" t="s">
        <v>1683</v>
      </c>
    </row>
    <row r="384" spans="1:17" x14ac:dyDescent="0.35">
      <c r="A384" s="811" t="s">
        <v>1622</v>
      </c>
      <c r="B384" s="811" t="s">
        <v>2087</v>
      </c>
      <c r="C384" s="812">
        <v>27255780</v>
      </c>
      <c r="D384" s="811" t="s">
        <v>1420</v>
      </c>
      <c r="E384" s="811" t="s">
        <v>1420</v>
      </c>
      <c r="F384" s="811" t="s">
        <v>1658</v>
      </c>
      <c r="G384" s="811" t="s">
        <v>1625</v>
      </c>
      <c r="H384" s="811" t="s">
        <v>1626</v>
      </c>
      <c r="I384" s="811" t="s">
        <v>1627</v>
      </c>
      <c r="J384" s="813">
        <v>27255780</v>
      </c>
      <c r="K384" s="811" t="s">
        <v>1628</v>
      </c>
      <c r="L384" s="811" t="s">
        <v>1210</v>
      </c>
      <c r="M384" s="811" t="s">
        <v>1608</v>
      </c>
      <c r="N384" s="811" t="s">
        <v>1608</v>
      </c>
      <c r="O384" s="811" t="s">
        <v>1818</v>
      </c>
      <c r="P384" s="811" t="s">
        <v>1630</v>
      </c>
      <c r="Q384" s="811" t="s">
        <v>1683</v>
      </c>
    </row>
    <row r="385" spans="1:17" x14ac:dyDescent="0.35">
      <c r="A385" s="811" t="s">
        <v>1622</v>
      </c>
      <c r="B385" s="811" t="s">
        <v>2088</v>
      </c>
      <c r="C385" s="812">
        <v>40000000</v>
      </c>
      <c r="D385" s="811" t="s">
        <v>1420</v>
      </c>
      <c r="E385" s="811" t="s">
        <v>1420</v>
      </c>
      <c r="F385" s="811" t="s">
        <v>1624</v>
      </c>
      <c r="G385" s="811" t="s">
        <v>1625</v>
      </c>
      <c r="H385" s="811" t="s">
        <v>1626</v>
      </c>
      <c r="I385" s="811" t="s">
        <v>1627</v>
      </c>
      <c r="J385" s="813">
        <v>40000000</v>
      </c>
      <c r="K385" s="811" t="s">
        <v>1628</v>
      </c>
      <c r="L385" s="811" t="s">
        <v>1210</v>
      </c>
      <c r="M385" s="811" t="s">
        <v>1608</v>
      </c>
      <c r="N385" s="811" t="s">
        <v>1608</v>
      </c>
      <c r="O385" s="811" t="s">
        <v>1702</v>
      </c>
      <c r="P385" s="811" t="s">
        <v>1630</v>
      </c>
      <c r="Q385" s="811" t="s">
        <v>1637</v>
      </c>
    </row>
    <row r="386" spans="1:17" x14ac:dyDescent="0.35">
      <c r="A386" s="811" t="s">
        <v>1622</v>
      </c>
      <c r="B386" s="811" t="s">
        <v>2089</v>
      </c>
      <c r="C386" s="812">
        <v>42000000</v>
      </c>
      <c r="D386" s="811" t="s">
        <v>1420</v>
      </c>
      <c r="E386" s="811" t="s">
        <v>1420</v>
      </c>
      <c r="F386" s="811" t="s">
        <v>1635</v>
      </c>
      <c r="G386" s="811" t="s">
        <v>1625</v>
      </c>
      <c r="H386" s="811" t="s">
        <v>1626</v>
      </c>
      <c r="I386" s="811" t="s">
        <v>1627</v>
      </c>
      <c r="J386" s="813">
        <v>42000000</v>
      </c>
      <c r="K386" s="811" t="s">
        <v>1628</v>
      </c>
      <c r="L386" s="811" t="s">
        <v>1210</v>
      </c>
      <c r="M386" s="811" t="s">
        <v>1608</v>
      </c>
      <c r="N386" s="811" t="s">
        <v>1608</v>
      </c>
      <c r="O386" s="811" t="s">
        <v>1702</v>
      </c>
      <c r="P386" s="811" t="s">
        <v>1630</v>
      </c>
      <c r="Q386" s="811" t="s">
        <v>1637</v>
      </c>
    </row>
    <row r="387" spans="1:17" x14ac:dyDescent="0.35">
      <c r="A387" s="811" t="s">
        <v>1622</v>
      </c>
      <c r="B387" s="811" t="s">
        <v>2090</v>
      </c>
      <c r="C387" s="812">
        <v>54162000</v>
      </c>
      <c r="D387" s="811" t="s">
        <v>1420</v>
      </c>
      <c r="E387" s="811" t="s">
        <v>1420</v>
      </c>
      <c r="F387" s="811" t="s">
        <v>1658</v>
      </c>
      <c r="G387" s="811" t="s">
        <v>1625</v>
      </c>
      <c r="H387" s="811" t="s">
        <v>1626</v>
      </c>
      <c r="I387" s="811" t="s">
        <v>1627</v>
      </c>
      <c r="J387" s="813">
        <v>54162000</v>
      </c>
      <c r="K387" s="811" t="s">
        <v>1628</v>
      </c>
      <c r="L387" s="811" t="s">
        <v>1210</v>
      </c>
      <c r="M387" s="811" t="s">
        <v>1608</v>
      </c>
      <c r="N387" s="811" t="s">
        <v>1608</v>
      </c>
      <c r="O387" s="811" t="s">
        <v>1640</v>
      </c>
      <c r="P387" s="811" t="s">
        <v>1630</v>
      </c>
      <c r="Q387" s="811" t="s">
        <v>1641</v>
      </c>
    </row>
    <row r="388" spans="1:17" x14ac:dyDescent="0.35">
      <c r="A388" s="811" t="s">
        <v>1622</v>
      </c>
      <c r="B388" s="811" t="s">
        <v>2091</v>
      </c>
      <c r="C388" s="812">
        <v>22500000</v>
      </c>
      <c r="D388" s="811" t="s">
        <v>1414</v>
      </c>
      <c r="E388" s="811" t="s">
        <v>1414</v>
      </c>
      <c r="F388" s="811" t="s">
        <v>1972</v>
      </c>
      <c r="G388" s="811" t="s">
        <v>1625</v>
      </c>
      <c r="H388" s="811" t="s">
        <v>1626</v>
      </c>
      <c r="I388" s="811" t="s">
        <v>1627</v>
      </c>
      <c r="J388" s="813">
        <v>22500000</v>
      </c>
      <c r="K388" s="811" t="s">
        <v>1628</v>
      </c>
      <c r="L388" s="811" t="s">
        <v>1210</v>
      </c>
      <c r="M388" s="811" t="s">
        <v>1608</v>
      </c>
      <c r="N388" s="811" t="s">
        <v>1608</v>
      </c>
      <c r="O388" s="811" t="s">
        <v>2092</v>
      </c>
      <c r="P388" s="811" t="s">
        <v>2093</v>
      </c>
      <c r="Q388" s="811" t="s">
        <v>2094</v>
      </c>
    </row>
    <row r="389" spans="1:17" x14ac:dyDescent="0.35">
      <c r="A389" s="811" t="s">
        <v>1622</v>
      </c>
      <c r="B389" s="811" t="s">
        <v>2095</v>
      </c>
      <c r="C389" s="812">
        <v>16500000</v>
      </c>
      <c r="D389" s="811" t="s">
        <v>1414</v>
      </c>
      <c r="E389" s="811" t="s">
        <v>1414</v>
      </c>
      <c r="F389" s="811" t="s">
        <v>1972</v>
      </c>
      <c r="G389" s="811" t="s">
        <v>1625</v>
      </c>
      <c r="H389" s="811" t="s">
        <v>1626</v>
      </c>
      <c r="I389" s="811" t="s">
        <v>1627</v>
      </c>
      <c r="J389" s="813">
        <v>16500000</v>
      </c>
      <c r="K389" s="811" t="s">
        <v>1628</v>
      </c>
      <c r="L389" s="811" t="s">
        <v>1210</v>
      </c>
      <c r="M389" s="811" t="s">
        <v>1608</v>
      </c>
      <c r="N389" s="811" t="s">
        <v>1608</v>
      </c>
      <c r="O389" s="811" t="s">
        <v>2092</v>
      </c>
      <c r="P389" s="811" t="s">
        <v>2093</v>
      </c>
      <c r="Q389" s="811" t="s">
        <v>2094</v>
      </c>
    </row>
    <row r="390" spans="1:17" x14ac:dyDescent="0.35">
      <c r="A390" s="811" t="s">
        <v>1622</v>
      </c>
      <c r="B390" s="811" t="s">
        <v>2096</v>
      </c>
      <c r="C390" s="812">
        <v>12000000</v>
      </c>
      <c r="D390" s="811" t="s">
        <v>1420</v>
      </c>
      <c r="E390" s="811" t="s">
        <v>1420</v>
      </c>
      <c r="F390" s="811" t="s">
        <v>1691</v>
      </c>
      <c r="G390" s="811" t="s">
        <v>1625</v>
      </c>
      <c r="H390" s="811" t="s">
        <v>1626</v>
      </c>
      <c r="I390" s="811" t="s">
        <v>1627</v>
      </c>
      <c r="J390" s="813">
        <v>12000000</v>
      </c>
      <c r="K390" s="811" t="s">
        <v>1628</v>
      </c>
      <c r="L390" s="811" t="s">
        <v>1210</v>
      </c>
      <c r="M390" s="811" t="s">
        <v>1608</v>
      </c>
      <c r="N390" s="811" t="s">
        <v>1608</v>
      </c>
      <c r="O390" s="811" t="s">
        <v>2092</v>
      </c>
      <c r="P390" s="811" t="s">
        <v>2093</v>
      </c>
      <c r="Q390" s="811" t="s">
        <v>2094</v>
      </c>
    </row>
    <row r="391" spans="1:17" x14ac:dyDescent="0.35">
      <c r="A391" s="811" t="s">
        <v>1622</v>
      </c>
      <c r="B391" s="811" t="s">
        <v>2097</v>
      </c>
      <c r="C391" s="812">
        <v>40000000</v>
      </c>
      <c r="D391" s="811" t="s">
        <v>1424</v>
      </c>
      <c r="E391" s="811" t="s">
        <v>1424</v>
      </c>
      <c r="F391" s="811" t="s">
        <v>1658</v>
      </c>
      <c r="G391" s="811" t="s">
        <v>1625</v>
      </c>
      <c r="H391" s="811" t="s">
        <v>1626</v>
      </c>
      <c r="I391" s="811" t="s">
        <v>1627</v>
      </c>
      <c r="J391" s="813">
        <v>40000000</v>
      </c>
      <c r="K391" s="811" t="s">
        <v>1628</v>
      </c>
      <c r="L391" s="811" t="s">
        <v>1210</v>
      </c>
      <c r="M391" s="811" t="s">
        <v>1608</v>
      </c>
      <c r="N391" s="811" t="s">
        <v>1608</v>
      </c>
      <c r="O391" s="811" t="s">
        <v>2092</v>
      </c>
      <c r="P391" s="811" t="s">
        <v>2093</v>
      </c>
      <c r="Q391" s="811" t="s">
        <v>2094</v>
      </c>
    </row>
    <row r="392" spans="1:17" x14ac:dyDescent="0.35">
      <c r="A392" s="811" t="s">
        <v>2098</v>
      </c>
      <c r="B392" s="811" t="s">
        <v>2099</v>
      </c>
      <c r="C392" s="812">
        <v>34000000</v>
      </c>
      <c r="D392" s="811" t="s">
        <v>1428</v>
      </c>
      <c r="E392" s="811" t="s">
        <v>1428</v>
      </c>
      <c r="F392" s="811" t="s">
        <v>1635</v>
      </c>
      <c r="G392" s="811" t="s">
        <v>1625</v>
      </c>
      <c r="H392" s="811" t="s">
        <v>1550</v>
      </c>
      <c r="I392" s="811" t="s">
        <v>1627</v>
      </c>
      <c r="J392" s="813">
        <v>34000000</v>
      </c>
      <c r="K392" s="811" t="s">
        <v>1628</v>
      </c>
      <c r="L392" s="811" t="s">
        <v>1210</v>
      </c>
      <c r="M392" s="811" t="s">
        <v>1608</v>
      </c>
      <c r="N392" s="811" t="s">
        <v>1608</v>
      </c>
      <c r="O392" s="811" t="s">
        <v>2092</v>
      </c>
      <c r="P392" s="811" t="s">
        <v>2093</v>
      </c>
      <c r="Q392" s="811" t="s">
        <v>2094</v>
      </c>
    </row>
    <row r="393" spans="1:17" x14ac:dyDescent="0.35">
      <c r="A393" s="811" t="s">
        <v>1622</v>
      </c>
      <c r="B393" s="811" t="s">
        <v>2100</v>
      </c>
      <c r="C393" s="812">
        <v>54000000</v>
      </c>
      <c r="D393" s="811" t="s">
        <v>1420</v>
      </c>
      <c r="E393" s="811" t="s">
        <v>1420</v>
      </c>
      <c r="F393" s="811" t="s">
        <v>1639</v>
      </c>
      <c r="G393" s="811" t="s">
        <v>1625</v>
      </c>
      <c r="H393" s="811" t="s">
        <v>1626</v>
      </c>
      <c r="I393" s="811" t="s">
        <v>1627</v>
      </c>
      <c r="J393" s="813">
        <v>54000000</v>
      </c>
      <c r="K393" s="811" t="s">
        <v>1628</v>
      </c>
      <c r="L393" s="811" t="s">
        <v>1210</v>
      </c>
      <c r="M393" s="811" t="s">
        <v>1608</v>
      </c>
      <c r="N393" s="811" t="s">
        <v>1608</v>
      </c>
      <c r="O393" s="811" t="s">
        <v>2092</v>
      </c>
      <c r="P393" s="811" t="s">
        <v>2093</v>
      </c>
      <c r="Q393" s="811" t="s">
        <v>2094</v>
      </c>
    </row>
    <row r="394" spans="1:17" x14ac:dyDescent="0.35">
      <c r="A394" s="811" t="s">
        <v>1622</v>
      </c>
      <c r="B394" s="811" t="s">
        <v>2101</v>
      </c>
      <c r="C394" s="812">
        <v>40000000</v>
      </c>
      <c r="D394" s="811" t="s">
        <v>1421</v>
      </c>
      <c r="E394" s="811" t="s">
        <v>1421</v>
      </c>
      <c r="F394" s="811" t="s">
        <v>1671</v>
      </c>
      <c r="G394" s="811" t="s">
        <v>1625</v>
      </c>
      <c r="H394" s="811" t="s">
        <v>1626</v>
      </c>
      <c r="I394" s="811" t="s">
        <v>1627</v>
      </c>
      <c r="J394" s="813">
        <v>40000000</v>
      </c>
      <c r="K394" s="811" t="s">
        <v>1628</v>
      </c>
      <c r="L394" s="811" t="s">
        <v>1210</v>
      </c>
      <c r="M394" s="811" t="s">
        <v>1608</v>
      </c>
      <c r="N394" s="811" t="s">
        <v>1608</v>
      </c>
      <c r="O394" s="811" t="s">
        <v>2092</v>
      </c>
      <c r="P394" s="811" t="s">
        <v>2093</v>
      </c>
      <c r="Q394" s="811" t="s">
        <v>2094</v>
      </c>
    </row>
    <row r="395" spans="1:17" x14ac:dyDescent="0.35">
      <c r="A395" s="811" t="s">
        <v>1622</v>
      </c>
      <c r="B395" s="811" t="s">
        <v>2102</v>
      </c>
      <c r="C395" s="812">
        <v>58500000</v>
      </c>
      <c r="D395" s="811" t="s">
        <v>1420</v>
      </c>
      <c r="E395" s="811" t="s">
        <v>1420</v>
      </c>
      <c r="F395" s="811" t="s">
        <v>1639</v>
      </c>
      <c r="G395" s="811" t="s">
        <v>1625</v>
      </c>
      <c r="H395" s="811" t="s">
        <v>1626</v>
      </c>
      <c r="I395" s="811" t="s">
        <v>1627</v>
      </c>
      <c r="J395" s="813">
        <v>58500000</v>
      </c>
      <c r="K395" s="811" t="s">
        <v>1628</v>
      </c>
      <c r="L395" s="811" t="s">
        <v>1210</v>
      </c>
      <c r="M395" s="811" t="s">
        <v>1608</v>
      </c>
      <c r="N395" s="811" t="s">
        <v>1608</v>
      </c>
      <c r="O395" s="811" t="s">
        <v>2092</v>
      </c>
      <c r="P395" s="811" t="s">
        <v>2093</v>
      </c>
      <c r="Q395" s="811" t="s">
        <v>2094</v>
      </c>
    </row>
    <row r="396" spans="1:17" x14ac:dyDescent="0.35">
      <c r="A396" s="811" t="s">
        <v>1622</v>
      </c>
      <c r="B396" s="811" t="s">
        <v>2103</v>
      </c>
      <c r="C396" s="812">
        <v>60000000</v>
      </c>
      <c r="D396" s="811" t="s">
        <v>1515</v>
      </c>
      <c r="E396" s="811" t="s">
        <v>1515</v>
      </c>
      <c r="F396" s="811" t="s">
        <v>1624</v>
      </c>
      <c r="G396" s="811" t="s">
        <v>1625</v>
      </c>
      <c r="H396" s="811" t="s">
        <v>1626</v>
      </c>
      <c r="I396" s="811" t="s">
        <v>1627</v>
      </c>
      <c r="J396" s="813">
        <v>60000000</v>
      </c>
      <c r="K396" s="811" t="s">
        <v>1628</v>
      </c>
      <c r="L396" s="811" t="s">
        <v>1210</v>
      </c>
      <c r="M396" s="811" t="s">
        <v>1608</v>
      </c>
      <c r="N396" s="811" t="s">
        <v>1608</v>
      </c>
      <c r="O396" s="811" t="s">
        <v>2092</v>
      </c>
      <c r="P396" s="811" t="s">
        <v>2093</v>
      </c>
      <c r="Q396" s="811" t="s">
        <v>2094</v>
      </c>
    </row>
    <row r="397" spans="1:17" x14ac:dyDescent="0.35">
      <c r="A397" s="811" t="s">
        <v>2104</v>
      </c>
      <c r="B397" s="811" t="s">
        <v>2105</v>
      </c>
      <c r="C397" s="812">
        <v>650000000</v>
      </c>
      <c r="D397" s="811" t="s">
        <v>1429</v>
      </c>
      <c r="E397" s="811" t="s">
        <v>1429</v>
      </c>
      <c r="F397" s="811" t="s">
        <v>1712</v>
      </c>
      <c r="G397" s="811" t="s">
        <v>1625</v>
      </c>
      <c r="H397" s="811" t="s">
        <v>1626</v>
      </c>
      <c r="I397" s="811" t="s">
        <v>1627</v>
      </c>
      <c r="J397" s="813">
        <v>650000000</v>
      </c>
      <c r="K397" s="811" t="s">
        <v>1628</v>
      </c>
      <c r="L397" s="811" t="s">
        <v>1210</v>
      </c>
      <c r="M397" s="811" t="s">
        <v>1608</v>
      </c>
      <c r="N397" s="811" t="s">
        <v>1608</v>
      </c>
      <c r="O397" s="811" t="s">
        <v>2092</v>
      </c>
      <c r="P397" s="811" t="s">
        <v>2093</v>
      </c>
      <c r="Q397" s="811" t="s">
        <v>2094</v>
      </c>
    </row>
    <row r="398" spans="1:17" x14ac:dyDescent="0.35">
      <c r="A398" s="811" t="s">
        <v>1622</v>
      </c>
      <c r="B398" s="811" t="s">
        <v>2106</v>
      </c>
      <c r="C398" s="812">
        <v>28619969</v>
      </c>
      <c r="D398" s="811" t="s">
        <v>1420</v>
      </c>
      <c r="E398" s="811" t="s">
        <v>1420</v>
      </c>
      <c r="F398" s="811" t="s">
        <v>1671</v>
      </c>
      <c r="G398" s="811" t="s">
        <v>1625</v>
      </c>
      <c r="H398" s="811" t="s">
        <v>1626</v>
      </c>
      <c r="I398" s="811" t="s">
        <v>1627</v>
      </c>
      <c r="J398" s="813">
        <v>28619969</v>
      </c>
      <c r="K398" s="811" t="s">
        <v>1628</v>
      </c>
      <c r="L398" s="811" t="s">
        <v>1210</v>
      </c>
      <c r="M398" s="811" t="s">
        <v>1608</v>
      </c>
      <c r="N398" s="811" t="s">
        <v>1608</v>
      </c>
      <c r="O398" s="811" t="s">
        <v>2107</v>
      </c>
      <c r="P398" s="811" t="s">
        <v>1630</v>
      </c>
      <c r="Q398" s="811" t="s">
        <v>1697</v>
      </c>
    </row>
    <row r="399" spans="1:17" x14ac:dyDescent="0.35">
      <c r="A399" s="811" t="s">
        <v>2108</v>
      </c>
      <c r="B399" s="811" t="s">
        <v>2109</v>
      </c>
      <c r="C399" s="812">
        <v>41337934</v>
      </c>
      <c r="D399" s="811" t="s">
        <v>1515</v>
      </c>
      <c r="E399" s="811" t="s">
        <v>1515</v>
      </c>
      <c r="F399" s="811" t="s">
        <v>1671</v>
      </c>
      <c r="G399" s="811" t="s">
        <v>1625</v>
      </c>
      <c r="H399" s="811" t="s">
        <v>1626</v>
      </c>
      <c r="I399" s="811" t="s">
        <v>1627</v>
      </c>
      <c r="J399" s="813">
        <v>41337934</v>
      </c>
      <c r="K399" s="811" t="s">
        <v>1628</v>
      </c>
      <c r="L399" s="811" t="s">
        <v>1210</v>
      </c>
      <c r="M399" s="811" t="s">
        <v>1608</v>
      </c>
      <c r="N399" s="811" t="s">
        <v>1608</v>
      </c>
      <c r="O399" s="811" t="s">
        <v>2107</v>
      </c>
      <c r="P399" s="811" t="s">
        <v>1630</v>
      </c>
      <c r="Q399" s="811" t="s">
        <v>1697</v>
      </c>
    </row>
    <row r="400" spans="1:17" x14ac:dyDescent="0.35">
      <c r="A400" s="811" t="s">
        <v>1622</v>
      </c>
      <c r="B400" s="811" t="s">
        <v>2110</v>
      </c>
      <c r="C400" s="812">
        <v>28619969</v>
      </c>
      <c r="D400" s="811" t="s">
        <v>1424</v>
      </c>
      <c r="E400" s="811" t="s">
        <v>1424</v>
      </c>
      <c r="F400" s="811" t="s">
        <v>1671</v>
      </c>
      <c r="G400" s="811" t="s">
        <v>1625</v>
      </c>
      <c r="H400" s="811" t="s">
        <v>1626</v>
      </c>
      <c r="I400" s="811" t="s">
        <v>1627</v>
      </c>
      <c r="J400" s="813">
        <v>28619969</v>
      </c>
      <c r="K400" s="811" t="s">
        <v>1628</v>
      </c>
      <c r="L400" s="811" t="s">
        <v>1210</v>
      </c>
      <c r="M400" s="811" t="s">
        <v>1608</v>
      </c>
      <c r="N400" s="811" t="s">
        <v>1608</v>
      </c>
      <c r="O400" s="811" t="s">
        <v>2107</v>
      </c>
      <c r="P400" s="811" t="s">
        <v>1630</v>
      </c>
      <c r="Q400" s="811" t="s">
        <v>1697</v>
      </c>
    </row>
    <row r="401" spans="1:17" x14ac:dyDescent="0.35">
      <c r="A401" s="811" t="s">
        <v>1622</v>
      </c>
      <c r="B401" s="811" t="s">
        <v>2111</v>
      </c>
      <c r="C401" s="812">
        <v>41337934</v>
      </c>
      <c r="D401" s="811" t="s">
        <v>1515</v>
      </c>
      <c r="E401" s="811" t="s">
        <v>1515</v>
      </c>
      <c r="F401" s="811" t="s">
        <v>1671</v>
      </c>
      <c r="G401" s="811" t="s">
        <v>1625</v>
      </c>
      <c r="H401" s="811" t="s">
        <v>1626</v>
      </c>
      <c r="I401" s="811" t="s">
        <v>1627</v>
      </c>
      <c r="J401" s="813">
        <v>41337934</v>
      </c>
      <c r="K401" s="811" t="s">
        <v>1628</v>
      </c>
      <c r="L401" s="811" t="s">
        <v>1210</v>
      </c>
      <c r="M401" s="811" t="s">
        <v>1608</v>
      </c>
      <c r="N401" s="811" t="s">
        <v>1608</v>
      </c>
      <c r="O401" s="811" t="s">
        <v>2107</v>
      </c>
      <c r="P401" s="811" t="s">
        <v>1630</v>
      </c>
      <c r="Q401" s="811" t="s">
        <v>1697</v>
      </c>
    </row>
    <row r="402" spans="1:17" x14ac:dyDescent="0.35">
      <c r="A402" s="811" t="s">
        <v>1622</v>
      </c>
      <c r="B402" s="811" t="s">
        <v>2112</v>
      </c>
      <c r="C402" s="812">
        <v>41337934</v>
      </c>
      <c r="D402" s="811" t="s">
        <v>1515</v>
      </c>
      <c r="E402" s="811" t="s">
        <v>1515</v>
      </c>
      <c r="F402" s="811" t="s">
        <v>1671</v>
      </c>
      <c r="G402" s="811" t="s">
        <v>1625</v>
      </c>
      <c r="H402" s="811" t="s">
        <v>1626</v>
      </c>
      <c r="I402" s="811" t="s">
        <v>1627</v>
      </c>
      <c r="J402" s="813">
        <v>41337934</v>
      </c>
      <c r="K402" s="811" t="s">
        <v>1628</v>
      </c>
      <c r="L402" s="811" t="s">
        <v>1210</v>
      </c>
      <c r="M402" s="811" t="s">
        <v>1608</v>
      </c>
      <c r="N402" s="811" t="s">
        <v>1608</v>
      </c>
      <c r="O402" s="811" t="s">
        <v>2107</v>
      </c>
      <c r="P402" s="811" t="s">
        <v>1630</v>
      </c>
      <c r="Q402" s="811" t="s">
        <v>1697</v>
      </c>
    </row>
    <row r="403" spans="1:17" x14ac:dyDescent="0.35">
      <c r="A403" s="811" t="s">
        <v>1622</v>
      </c>
      <c r="B403" s="811" t="s">
        <v>2113</v>
      </c>
      <c r="C403" s="812">
        <v>41337934</v>
      </c>
      <c r="D403" s="811" t="s">
        <v>1420</v>
      </c>
      <c r="E403" s="811" t="s">
        <v>1420</v>
      </c>
      <c r="F403" s="811" t="s">
        <v>1671</v>
      </c>
      <c r="G403" s="811" t="s">
        <v>1625</v>
      </c>
      <c r="H403" s="811" t="s">
        <v>1626</v>
      </c>
      <c r="I403" s="811" t="s">
        <v>1627</v>
      </c>
      <c r="J403" s="813">
        <v>41337934</v>
      </c>
      <c r="K403" s="811" t="s">
        <v>1628</v>
      </c>
      <c r="L403" s="811" t="s">
        <v>1210</v>
      </c>
      <c r="M403" s="811" t="s">
        <v>1608</v>
      </c>
      <c r="N403" s="811" t="s">
        <v>1608</v>
      </c>
      <c r="O403" s="811" t="s">
        <v>2107</v>
      </c>
      <c r="P403" s="811" t="s">
        <v>1630</v>
      </c>
      <c r="Q403" s="811" t="s">
        <v>1697</v>
      </c>
    </row>
    <row r="404" spans="1:17" x14ac:dyDescent="0.35">
      <c r="A404" s="811" t="s">
        <v>1622</v>
      </c>
      <c r="B404" s="811" t="s">
        <v>2114</v>
      </c>
      <c r="C404" s="812">
        <v>29072832</v>
      </c>
      <c r="D404" s="811" t="s">
        <v>1515</v>
      </c>
      <c r="E404" s="811" t="s">
        <v>1515</v>
      </c>
      <c r="F404" s="811" t="s">
        <v>1691</v>
      </c>
      <c r="G404" s="811" t="s">
        <v>1625</v>
      </c>
      <c r="H404" s="811" t="s">
        <v>1626</v>
      </c>
      <c r="I404" s="811" t="s">
        <v>1627</v>
      </c>
      <c r="J404" s="813">
        <v>29072832</v>
      </c>
      <c r="K404" s="811" t="s">
        <v>1628</v>
      </c>
      <c r="L404" s="811" t="s">
        <v>1210</v>
      </c>
      <c r="M404" s="811" t="s">
        <v>1608</v>
      </c>
      <c r="N404" s="811" t="s">
        <v>1608</v>
      </c>
      <c r="O404" s="811" t="s">
        <v>2107</v>
      </c>
      <c r="P404" s="811" t="s">
        <v>1630</v>
      </c>
      <c r="Q404" s="811" t="s">
        <v>1697</v>
      </c>
    </row>
    <row r="405" spans="1:17" x14ac:dyDescent="0.35">
      <c r="A405" s="811" t="s">
        <v>1622</v>
      </c>
      <c r="B405" s="811" t="s">
        <v>2115</v>
      </c>
      <c r="C405" s="812">
        <v>56838880</v>
      </c>
      <c r="D405" s="811" t="s">
        <v>1424</v>
      </c>
      <c r="E405" s="811" t="s">
        <v>1424</v>
      </c>
      <c r="F405" s="811" t="s">
        <v>1671</v>
      </c>
      <c r="G405" s="811" t="s">
        <v>1625</v>
      </c>
      <c r="H405" s="811" t="s">
        <v>1626</v>
      </c>
      <c r="I405" s="811" t="s">
        <v>1627</v>
      </c>
      <c r="J405" s="813">
        <v>56838880</v>
      </c>
      <c r="K405" s="811" t="s">
        <v>1628</v>
      </c>
      <c r="L405" s="811" t="s">
        <v>1210</v>
      </c>
      <c r="M405" s="811" t="s">
        <v>1608</v>
      </c>
      <c r="N405" s="811" t="s">
        <v>1608</v>
      </c>
      <c r="O405" s="811" t="s">
        <v>2107</v>
      </c>
      <c r="P405" s="811" t="s">
        <v>1630</v>
      </c>
      <c r="Q405" s="811" t="s">
        <v>1697</v>
      </c>
    </row>
    <row r="406" spans="1:17" x14ac:dyDescent="0.35">
      <c r="A406" s="811" t="s">
        <v>1622</v>
      </c>
      <c r="B406" s="811" t="s">
        <v>2116</v>
      </c>
      <c r="C406" s="812">
        <v>24530202</v>
      </c>
      <c r="D406" s="811" t="s">
        <v>1420</v>
      </c>
      <c r="E406" s="811" t="s">
        <v>1420</v>
      </c>
      <c r="F406" s="811" t="s">
        <v>1635</v>
      </c>
      <c r="G406" s="811" t="s">
        <v>1625</v>
      </c>
      <c r="H406" s="811" t="s">
        <v>1626</v>
      </c>
      <c r="I406" s="811" t="s">
        <v>1627</v>
      </c>
      <c r="J406" s="813">
        <v>24530202</v>
      </c>
      <c r="K406" s="811" t="s">
        <v>1628</v>
      </c>
      <c r="L406" s="811" t="s">
        <v>1210</v>
      </c>
      <c r="M406" s="811" t="s">
        <v>1608</v>
      </c>
      <c r="N406" s="811" t="s">
        <v>1608</v>
      </c>
      <c r="O406" s="811" t="s">
        <v>2107</v>
      </c>
      <c r="P406" s="811" t="s">
        <v>1630</v>
      </c>
      <c r="Q406" s="811" t="s">
        <v>1697</v>
      </c>
    </row>
    <row r="407" spans="1:17" x14ac:dyDescent="0.35">
      <c r="A407" s="811" t="s">
        <v>1622</v>
      </c>
      <c r="B407" s="811" t="s">
        <v>2117</v>
      </c>
      <c r="C407" s="812">
        <v>32704000</v>
      </c>
      <c r="D407" s="811" t="s">
        <v>1421</v>
      </c>
      <c r="E407" s="811" t="s">
        <v>1421</v>
      </c>
      <c r="F407" s="811" t="s">
        <v>1624</v>
      </c>
      <c r="G407" s="811" t="s">
        <v>1625</v>
      </c>
      <c r="H407" s="811" t="s">
        <v>1626</v>
      </c>
      <c r="I407" s="811" t="s">
        <v>1627</v>
      </c>
      <c r="J407" s="813">
        <v>32704000</v>
      </c>
      <c r="K407" s="811" t="s">
        <v>1628</v>
      </c>
      <c r="L407" s="811" t="s">
        <v>1210</v>
      </c>
      <c r="M407" s="811" t="s">
        <v>1608</v>
      </c>
      <c r="N407" s="811" t="s">
        <v>1608</v>
      </c>
      <c r="O407" s="811" t="s">
        <v>1742</v>
      </c>
      <c r="P407" s="811" t="s">
        <v>1630</v>
      </c>
      <c r="Q407" s="811" t="s">
        <v>1678</v>
      </c>
    </row>
    <row r="408" spans="1:17" x14ac:dyDescent="0.35">
      <c r="A408" s="811" t="s">
        <v>1622</v>
      </c>
      <c r="B408" s="811" t="s">
        <v>2118</v>
      </c>
      <c r="C408" s="812">
        <v>30000000</v>
      </c>
      <c r="D408" s="811" t="s">
        <v>1429</v>
      </c>
      <c r="E408" s="811" t="s">
        <v>1429</v>
      </c>
      <c r="F408" s="811" t="s">
        <v>1712</v>
      </c>
      <c r="G408" s="811" t="s">
        <v>1625</v>
      </c>
      <c r="H408" s="811" t="s">
        <v>1626</v>
      </c>
      <c r="I408" s="811" t="s">
        <v>1627</v>
      </c>
      <c r="J408" s="813">
        <v>30000000</v>
      </c>
      <c r="K408" s="811" t="s">
        <v>1628</v>
      </c>
      <c r="L408" s="811" t="s">
        <v>1210</v>
      </c>
      <c r="M408" s="811" t="s">
        <v>1608</v>
      </c>
      <c r="N408" s="811" t="s">
        <v>1608</v>
      </c>
      <c r="O408" s="811" t="s">
        <v>1742</v>
      </c>
      <c r="P408" s="811" t="s">
        <v>1630</v>
      </c>
      <c r="Q408" s="811" t="s">
        <v>1678</v>
      </c>
    </row>
    <row r="409" spans="1:17" x14ac:dyDescent="0.35">
      <c r="A409" s="811" t="s">
        <v>1622</v>
      </c>
      <c r="B409" s="811" t="s">
        <v>2119</v>
      </c>
      <c r="C409" s="812">
        <v>8000000</v>
      </c>
      <c r="D409" s="811" t="s">
        <v>1424</v>
      </c>
      <c r="E409" s="811" t="s">
        <v>1424</v>
      </c>
      <c r="F409" s="811" t="s">
        <v>1658</v>
      </c>
      <c r="G409" s="811" t="s">
        <v>1625</v>
      </c>
      <c r="H409" s="811" t="s">
        <v>1626</v>
      </c>
      <c r="I409" s="811" t="s">
        <v>1627</v>
      </c>
      <c r="J409" s="813">
        <v>8000000</v>
      </c>
      <c r="K409" s="811" t="s">
        <v>1628</v>
      </c>
      <c r="L409" s="811" t="s">
        <v>1210</v>
      </c>
      <c r="M409" s="811" t="s">
        <v>1608</v>
      </c>
      <c r="N409" s="811" t="s">
        <v>1608</v>
      </c>
      <c r="O409" s="811" t="s">
        <v>1677</v>
      </c>
      <c r="P409" s="811" t="s">
        <v>1630</v>
      </c>
      <c r="Q409" s="811" t="s">
        <v>1678</v>
      </c>
    </row>
    <row r="410" spans="1:17" x14ac:dyDescent="0.35">
      <c r="A410" s="811" t="s">
        <v>1622</v>
      </c>
      <c r="B410" s="811" t="s">
        <v>2120</v>
      </c>
      <c r="C410" s="812">
        <v>5940000</v>
      </c>
      <c r="D410" s="811" t="s">
        <v>1424</v>
      </c>
      <c r="E410" s="811" t="s">
        <v>1424</v>
      </c>
      <c r="F410" s="811" t="s">
        <v>1662</v>
      </c>
      <c r="G410" s="811" t="s">
        <v>1625</v>
      </c>
      <c r="H410" s="811" t="s">
        <v>1626</v>
      </c>
      <c r="I410" s="811" t="s">
        <v>1627</v>
      </c>
      <c r="J410" s="813">
        <v>5940000</v>
      </c>
      <c r="K410" s="811" t="s">
        <v>1628</v>
      </c>
      <c r="L410" s="811" t="s">
        <v>1210</v>
      </c>
      <c r="M410" s="811" t="s">
        <v>1608</v>
      </c>
      <c r="N410" s="811" t="s">
        <v>1608</v>
      </c>
      <c r="O410" s="811" t="s">
        <v>1677</v>
      </c>
      <c r="P410" s="811" t="s">
        <v>1630</v>
      </c>
      <c r="Q410" s="811" t="s">
        <v>1678</v>
      </c>
    </row>
    <row r="411" spans="1:17" x14ac:dyDescent="0.35">
      <c r="A411" s="811" t="s">
        <v>1622</v>
      </c>
      <c r="B411" s="811" t="s">
        <v>2121</v>
      </c>
      <c r="C411" s="812">
        <v>42000000</v>
      </c>
      <c r="D411" s="811" t="s">
        <v>1428</v>
      </c>
      <c r="E411" s="811" t="s">
        <v>1428</v>
      </c>
      <c r="F411" s="811" t="s">
        <v>1671</v>
      </c>
      <c r="G411" s="811" t="s">
        <v>1625</v>
      </c>
      <c r="H411" s="811" t="s">
        <v>1626</v>
      </c>
      <c r="I411" s="811" t="s">
        <v>1627</v>
      </c>
      <c r="J411" s="813">
        <v>42000000</v>
      </c>
      <c r="K411" s="811" t="s">
        <v>1628</v>
      </c>
      <c r="L411" s="811" t="s">
        <v>1210</v>
      </c>
      <c r="M411" s="811" t="s">
        <v>1608</v>
      </c>
      <c r="N411" s="811" t="s">
        <v>1608</v>
      </c>
      <c r="O411" s="811" t="s">
        <v>1677</v>
      </c>
      <c r="P411" s="811" t="s">
        <v>1630</v>
      </c>
      <c r="Q411" s="811" t="s">
        <v>1678</v>
      </c>
    </row>
    <row r="412" spans="1:17" x14ac:dyDescent="0.35">
      <c r="A412" s="811" t="s">
        <v>1622</v>
      </c>
      <c r="B412" s="811" t="s">
        <v>2122</v>
      </c>
      <c r="C412" s="812">
        <v>35000000</v>
      </c>
      <c r="D412" s="811" t="s">
        <v>1428</v>
      </c>
      <c r="E412" s="811" t="s">
        <v>1428</v>
      </c>
      <c r="F412" s="811" t="s">
        <v>1671</v>
      </c>
      <c r="G412" s="811" t="s">
        <v>1625</v>
      </c>
      <c r="H412" s="811" t="s">
        <v>1626</v>
      </c>
      <c r="I412" s="811" t="s">
        <v>1627</v>
      </c>
      <c r="J412" s="813">
        <v>35000000</v>
      </c>
      <c r="K412" s="811" t="s">
        <v>1628</v>
      </c>
      <c r="L412" s="811" t="s">
        <v>1210</v>
      </c>
      <c r="M412" s="811" t="s">
        <v>1608</v>
      </c>
      <c r="N412" s="811" t="s">
        <v>1608</v>
      </c>
      <c r="O412" s="811" t="s">
        <v>1677</v>
      </c>
      <c r="P412" s="811" t="s">
        <v>1630</v>
      </c>
      <c r="Q412" s="811" t="s">
        <v>1678</v>
      </c>
    </row>
    <row r="413" spans="1:17" x14ac:dyDescent="0.35">
      <c r="A413" s="811" t="s">
        <v>1622</v>
      </c>
      <c r="B413" s="811" t="s">
        <v>2123</v>
      </c>
      <c r="C413" s="812">
        <v>20440000</v>
      </c>
      <c r="D413" s="811" t="s">
        <v>1428</v>
      </c>
      <c r="E413" s="811" t="s">
        <v>1428</v>
      </c>
      <c r="F413" s="811" t="s">
        <v>1712</v>
      </c>
      <c r="G413" s="811" t="s">
        <v>1625</v>
      </c>
      <c r="H413" s="811" t="s">
        <v>1626</v>
      </c>
      <c r="I413" s="811" t="s">
        <v>1627</v>
      </c>
      <c r="J413" s="813">
        <v>20440000</v>
      </c>
      <c r="K413" s="811" t="s">
        <v>1628</v>
      </c>
      <c r="L413" s="811" t="s">
        <v>1210</v>
      </c>
      <c r="M413" s="811" t="s">
        <v>1608</v>
      </c>
      <c r="N413" s="811" t="s">
        <v>1608</v>
      </c>
      <c r="O413" s="811" t="s">
        <v>1677</v>
      </c>
      <c r="P413" s="811" t="s">
        <v>1630</v>
      </c>
      <c r="Q413" s="811" t="s">
        <v>1678</v>
      </c>
    </row>
    <row r="414" spans="1:17" x14ac:dyDescent="0.35">
      <c r="A414" s="811" t="s">
        <v>1622</v>
      </c>
      <c r="B414" s="811" t="s">
        <v>2124</v>
      </c>
      <c r="C414" s="812">
        <v>21000000</v>
      </c>
      <c r="D414" s="811" t="s">
        <v>1428</v>
      </c>
      <c r="E414" s="811" t="s">
        <v>1428</v>
      </c>
      <c r="F414" s="811" t="s">
        <v>1671</v>
      </c>
      <c r="G414" s="811" t="s">
        <v>1625</v>
      </c>
      <c r="H414" s="811" t="s">
        <v>1626</v>
      </c>
      <c r="I414" s="811" t="s">
        <v>1627</v>
      </c>
      <c r="J414" s="813">
        <v>21000000</v>
      </c>
      <c r="K414" s="811" t="s">
        <v>1628</v>
      </c>
      <c r="L414" s="811" t="s">
        <v>1210</v>
      </c>
      <c r="M414" s="811" t="s">
        <v>1608</v>
      </c>
      <c r="N414" s="811" t="s">
        <v>1608</v>
      </c>
      <c r="O414" s="811" t="s">
        <v>1677</v>
      </c>
      <c r="P414" s="811" t="s">
        <v>1630</v>
      </c>
      <c r="Q414" s="811" t="s">
        <v>1678</v>
      </c>
    </row>
    <row r="415" spans="1:17" x14ac:dyDescent="0.35">
      <c r="A415" s="811" t="s">
        <v>2125</v>
      </c>
      <c r="B415" s="811" t="s">
        <v>2126</v>
      </c>
      <c r="C415" s="812">
        <v>281078765</v>
      </c>
      <c r="D415" s="811" t="s">
        <v>1420</v>
      </c>
      <c r="E415" s="811" t="s">
        <v>1420</v>
      </c>
      <c r="F415" s="811" t="s">
        <v>1691</v>
      </c>
      <c r="G415" s="811" t="s">
        <v>1625</v>
      </c>
      <c r="H415" s="811" t="s">
        <v>1802</v>
      </c>
      <c r="I415" s="811" t="s">
        <v>1627</v>
      </c>
      <c r="J415" s="813">
        <v>281078765</v>
      </c>
      <c r="K415" s="811" t="s">
        <v>1628</v>
      </c>
      <c r="L415" s="811" t="s">
        <v>1210</v>
      </c>
      <c r="M415" s="811" t="s">
        <v>1608</v>
      </c>
      <c r="N415" s="811" t="s">
        <v>1608</v>
      </c>
      <c r="O415" s="811" t="s">
        <v>1677</v>
      </c>
      <c r="P415" s="811" t="s">
        <v>1630</v>
      </c>
      <c r="Q415" s="811" t="s">
        <v>1678</v>
      </c>
    </row>
    <row r="416" spans="1:17" x14ac:dyDescent="0.35">
      <c r="A416" s="811" t="s">
        <v>2127</v>
      </c>
      <c r="B416" s="811" t="s">
        <v>2128</v>
      </c>
      <c r="C416" s="812">
        <v>351000000</v>
      </c>
      <c r="D416" s="811" t="s">
        <v>1515</v>
      </c>
      <c r="E416" s="811" t="s">
        <v>1421</v>
      </c>
      <c r="F416" s="811" t="s">
        <v>1972</v>
      </c>
      <c r="G416" s="811" t="s">
        <v>1625</v>
      </c>
      <c r="H416" s="811" t="s">
        <v>1763</v>
      </c>
      <c r="I416" s="811" t="s">
        <v>1627</v>
      </c>
      <c r="J416" s="813">
        <v>351000000</v>
      </c>
      <c r="K416" s="811" t="s">
        <v>1628</v>
      </c>
      <c r="L416" s="811" t="s">
        <v>1210</v>
      </c>
      <c r="M416" s="811" t="s">
        <v>1608</v>
      </c>
      <c r="N416" s="811" t="s">
        <v>1608</v>
      </c>
      <c r="O416" s="811" t="s">
        <v>1677</v>
      </c>
      <c r="P416" s="811" t="s">
        <v>1630</v>
      </c>
      <c r="Q416" s="811" t="s">
        <v>1678</v>
      </c>
    </row>
    <row r="417" spans="1:17" x14ac:dyDescent="0.35">
      <c r="A417" s="811" t="s">
        <v>2129</v>
      </c>
      <c r="B417" s="811" t="s">
        <v>2130</v>
      </c>
      <c r="C417" s="812">
        <v>365849462</v>
      </c>
      <c r="D417" s="811" t="s">
        <v>1421</v>
      </c>
      <c r="E417" s="811" t="s">
        <v>1421</v>
      </c>
      <c r="F417" s="811" t="s">
        <v>1635</v>
      </c>
      <c r="G417" s="811" t="s">
        <v>1625</v>
      </c>
      <c r="H417" s="811" t="s">
        <v>1701</v>
      </c>
      <c r="I417" s="811" t="s">
        <v>1627</v>
      </c>
      <c r="J417" s="813">
        <v>368824461</v>
      </c>
      <c r="K417" s="811" t="s">
        <v>1628</v>
      </c>
      <c r="L417" s="811" t="s">
        <v>1210</v>
      </c>
      <c r="M417" s="811" t="s">
        <v>1608</v>
      </c>
      <c r="N417" s="811" t="s">
        <v>1608</v>
      </c>
      <c r="O417" s="811" t="s">
        <v>1677</v>
      </c>
      <c r="P417" s="811" t="s">
        <v>1630</v>
      </c>
      <c r="Q417" s="811" t="s">
        <v>1678</v>
      </c>
    </row>
    <row r="418" spans="1:17" x14ac:dyDescent="0.35">
      <c r="A418" s="811" t="s">
        <v>2127</v>
      </c>
      <c r="B418" s="811" t="s">
        <v>2131</v>
      </c>
      <c r="C418" s="812">
        <v>2425072235</v>
      </c>
      <c r="D418" s="811" t="s">
        <v>1445</v>
      </c>
      <c r="E418" s="811" t="s">
        <v>1434</v>
      </c>
      <c r="F418" s="811" t="s">
        <v>1635</v>
      </c>
      <c r="G418" s="811" t="s">
        <v>1625</v>
      </c>
      <c r="H418" s="811" t="s">
        <v>1757</v>
      </c>
      <c r="I418" s="811" t="s">
        <v>1627</v>
      </c>
      <c r="J418" s="813">
        <v>2425072235</v>
      </c>
      <c r="K418" s="811" t="s">
        <v>1628</v>
      </c>
      <c r="L418" s="811" t="s">
        <v>1210</v>
      </c>
      <c r="M418" s="811" t="s">
        <v>1608</v>
      </c>
      <c r="N418" s="811" t="s">
        <v>1608</v>
      </c>
      <c r="O418" s="811" t="s">
        <v>1677</v>
      </c>
      <c r="P418" s="811" t="s">
        <v>1630</v>
      </c>
      <c r="Q418" s="811" t="s">
        <v>1678</v>
      </c>
    </row>
    <row r="419" spans="1:17" x14ac:dyDescent="0.35">
      <c r="A419" s="811" t="s">
        <v>2132</v>
      </c>
      <c r="B419" s="811" t="s">
        <v>2133</v>
      </c>
      <c r="C419" s="812">
        <v>100000000</v>
      </c>
      <c r="D419" s="811" t="s">
        <v>2134</v>
      </c>
      <c r="E419" s="811" t="s">
        <v>2134</v>
      </c>
      <c r="F419" s="811" t="s">
        <v>1972</v>
      </c>
      <c r="G419" s="811" t="s">
        <v>1625</v>
      </c>
      <c r="H419" s="811" t="s">
        <v>1763</v>
      </c>
      <c r="I419" s="811" t="s">
        <v>1627</v>
      </c>
      <c r="J419" s="813">
        <v>100000000</v>
      </c>
      <c r="K419" s="811" t="s">
        <v>1628</v>
      </c>
      <c r="L419" s="811" t="s">
        <v>1210</v>
      </c>
      <c r="M419" s="811" t="s">
        <v>1608</v>
      </c>
      <c r="N419" s="811" t="s">
        <v>1608</v>
      </c>
      <c r="O419" s="811" t="s">
        <v>1677</v>
      </c>
      <c r="P419" s="811" t="s">
        <v>1630</v>
      </c>
      <c r="Q419" s="811" t="s">
        <v>1678</v>
      </c>
    </row>
    <row r="420" spans="1:17" x14ac:dyDescent="0.35">
      <c r="A420" s="811" t="s">
        <v>1803</v>
      </c>
      <c r="B420" s="811" t="s">
        <v>2135</v>
      </c>
      <c r="C420" s="812">
        <v>5000000000</v>
      </c>
      <c r="D420" s="811" t="s">
        <v>1424</v>
      </c>
      <c r="E420" s="811" t="s">
        <v>1420</v>
      </c>
      <c r="F420" s="811" t="s">
        <v>1658</v>
      </c>
      <c r="G420" s="811" t="s">
        <v>1625</v>
      </c>
      <c r="H420" s="811" t="s">
        <v>1713</v>
      </c>
      <c r="I420" s="811" t="s">
        <v>1627</v>
      </c>
      <c r="J420" s="813">
        <v>5000000000</v>
      </c>
      <c r="K420" s="811" t="s">
        <v>1628</v>
      </c>
      <c r="L420" s="811" t="s">
        <v>1210</v>
      </c>
      <c r="M420" s="811" t="s">
        <v>1608</v>
      </c>
      <c r="N420" s="811" t="s">
        <v>1608</v>
      </c>
      <c r="O420" s="811" t="s">
        <v>1742</v>
      </c>
      <c r="P420" s="811" t="s">
        <v>1630</v>
      </c>
      <c r="Q420" s="811" t="s">
        <v>1678</v>
      </c>
    </row>
    <row r="421" spans="1:17" x14ac:dyDescent="0.35">
      <c r="A421" s="811" t="s">
        <v>1622</v>
      </c>
      <c r="B421" s="811" t="s">
        <v>2136</v>
      </c>
      <c r="C421" s="812">
        <v>73039148</v>
      </c>
      <c r="D421" s="811" t="s">
        <v>1420</v>
      </c>
      <c r="E421" s="811" t="s">
        <v>1420</v>
      </c>
      <c r="F421" s="811" t="s">
        <v>1639</v>
      </c>
      <c r="G421" s="811" t="s">
        <v>1625</v>
      </c>
      <c r="H421" s="811" t="s">
        <v>1626</v>
      </c>
      <c r="I421" s="811" t="s">
        <v>1627</v>
      </c>
      <c r="J421" s="813">
        <v>73039148</v>
      </c>
      <c r="K421" s="811" t="s">
        <v>1628</v>
      </c>
      <c r="L421" s="811" t="s">
        <v>1210</v>
      </c>
      <c r="M421" s="811" t="s">
        <v>1608</v>
      </c>
      <c r="N421" s="811" t="s">
        <v>1608</v>
      </c>
      <c r="O421" s="811" t="s">
        <v>1742</v>
      </c>
      <c r="P421" s="811" t="s">
        <v>1630</v>
      </c>
      <c r="Q421" s="811" t="s">
        <v>1678</v>
      </c>
    </row>
    <row r="422" spans="1:17" x14ac:dyDescent="0.35">
      <c r="A422" s="811" t="s">
        <v>1622</v>
      </c>
      <c r="B422" s="811" t="s">
        <v>2137</v>
      </c>
      <c r="C422" s="812">
        <v>39000000</v>
      </c>
      <c r="D422" s="811" t="s">
        <v>1429</v>
      </c>
      <c r="E422" s="811" t="s">
        <v>1429</v>
      </c>
      <c r="F422" s="811" t="s">
        <v>1635</v>
      </c>
      <c r="G422" s="811" t="s">
        <v>1625</v>
      </c>
      <c r="H422" s="811" t="s">
        <v>1626</v>
      </c>
      <c r="I422" s="811" t="s">
        <v>1627</v>
      </c>
      <c r="J422" s="813">
        <v>39000000</v>
      </c>
      <c r="K422" s="811" t="s">
        <v>1628</v>
      </c>
      <c r="L422" s="811" t="s">
        <v>1210</v>
      </c>
      <c r="M422" s="811" t="s">
        <v>1608</v>
      </c>
      <c r="N422" s="811" t="s">
        <v>1608</v>
      </c>
      <c r="O422" s="811" t="s">
        <v>1742</v>
      </c>
      <c r="P422" s="811" t="s">
        <v>1630</v>
      </c>
      <c r="Q422" s="811" t="s">
        <v>1678</v>
      </c>
    </row>
    <row r="423" spans="1:17" x14ac:dyDescent="0.35">
      <c r="A423" s="811" t="s">
        <v>1622</v>
      </c>
      <c r="B423" s="811" t="s">
        <v>2138</v>
      </c>
      <c r="C423" s="812">
        <v>39900000</v>
      </c>
      <c r="D423" s="811" t="s">
        <v>1428</v>
      </c>
      <c r="E423" s="811" t="s">
        <v>1428</v>
      </c>
      <c r="F423" s="811" t="s">
        <v>1671</v>
      </c>
      <c r="G423" s="811" t="s">
        <v>1625</v>
      </c>
      <c r="H423" s="811" t="s">
        <v>1626</v>
      </c>
      <c r="I423" s="811" t="s">
        <v>1627</v>
      </c>
      <c r="J423" s="813">
        <v>39900000</v>
      </c>
      <c r="K423" s="811" t="s">
        <v>1628</v>
      </c>
      <c r="L423" s="811" t="s">
        <v>1210</v>
      </c>
      <c r="M423" s="811" t="s">
        <v>1608</v>
      </c>
      <c r="N423" s="811" t="s">
        <v>1608</v>
      </c>
      <c r="O423" s="811" t="s">
        <v>1742</v>
      </c>
      <c r="P423" s="811" t="s">
        <v>1630</v>
      </c>
      <c r="Q423" s="811" t="s">
        <v>1678</v>
      </c>
    </row>
    <row r="424" spans="1:17" x14ac:dyDescent="0.35">
      <c r="A424" s="811" t="s">
        <v>1622</v>
      </c>
      <c r="B424" s="811" t="s">
        <v>2139</v>
      </c>
      <c r="C424" s="812">
        <v>35550000</v>
      </c>
      <c r="D424" s="811" t="s">
        <v>1420</v>
      </c>
      <c r="E424" s="811" t="s">
        <v>1420</v>
      </c>
      <c r="F424" s="811" t="s">
        <v>1639</v>
      </c>
      <c r="G424" s="811" t="s">
        <v>1625</v>
      </c>
      <c r="H424" s="811" t="s">
        <v>1626</v>
      </c>
      <c r="I424" s="811" t="s">
        <v>1627</v>
      </c>
      <c r="J424" s="813">
        <v>35550000</v>
      </c>
      <c r="K424" s="811" t="s">
        <v>1628</v>
      </c>
      <c r="L424" s="811" t="s">
        <v>1210</v>
      </c>
      <c r="M424" s="811" t="s">
        <v>1608</v>
      </c>
      <c r="N424" s="811" t="s">
        <v>1608</v>
      </c>
      <c r="O424" s="811" t="s">
        <v>1742</v>
      </c>
      <c r="P424" s="811" t="s">
        <v>1630</v>
      </c>
      <c r="Q424" s="811" t="s">
        <v>1678</v>
      </c>
    </row>
    <row r="425" spans="1:17" x14ac:dyDescent="0.35">
      <c r="A425" s="811" t="s">
        <v>2140</v>
      </c>
      <c r="B425" s="811" t="s">
        <v>2141</v>
      </c>
      <c r="C425" s="812">
        <v>43000000000</v>
      </c>
      <c r="D425" s="811" t="s">
        <v>1424</v>
      </c>
      <c r="E425" s="811" t="s">
        <v>1420</v>
      </c>
      <c r="F425" s="811" t="s">
        <v>2142</v>
      </c>
      <c r="G425" s="811" t="s">
        <v>1625</v>
      </c>
      <c r="H425" s="811" t="s">
        <v>2143</v>
      </c>
      <c r="I425" s="811" t="s">
        <v>2144</v>
      </c>
      <c r="J425" s="813">
        <v>43000000000</v>
      </c>
      <c r="K425" s="811" t="s">
        <v>1628</v>
      </c>
      <c r="L425" s="811" t="s">
        <v>1210</v>
      </c>
      <c r="M425" s="811" t="s">
        <v>1608</v>
      </c>
      <c r="N425" s="811" t="s">
        <v>1608</v>
      </c>
      <c r="O425" s="811" t="s">
        <v>1677</v>
      </c>
      <c r="P425" s="811" t="s">
        <v>1630</v>
      </c>
      <c r="Q425" s="811" t="s">
        <v>1678</v>
      </c>
    </row>
    <row r="426" spans="1:17" x14ac:dyDescent="0.35">
      <c r="A426" s="811" t="s">
        <v>1803</v>
      </c>
      <c r="B426" s="811" t="s">
        <v>2145</v>
      </c>
      <c r="C426" s="812">
        <v>6474000000</v>
      </c>
      <c r="D426" s="811" t="s">
        <v>1424</v>
      </c>
      <c r="E426" s="811" t="s">
        <v>1420</v>
      </c>
      <c r="F426" s="811" t="s">
        <v>2142</v>
      </c>
      <c r="G426" s="811" t="s">
        <v>1625</v>
      </c>
      <c r="H426" s="811" t="s">
        <v>1802</v>
      </c>
      <c r="I426" s="811" t="s">
        <v>1627</v>
      </c>
      <c r="J426" s="813">
        <v>6474000000</v>
      </c>
      <c r="K426" s="811" t="s">
        <v>1628</v>
      </c>
      <c r="L426" s="811" t="s">
        <v>1210</v>
      </c>
      <c r="M426" s="811" t="s">
        <v>1608</v>
      </c>
      <c r="N426" s="811" t="s">
        <v>1608</v>
      </c>
      <c r="O426" s="811" t="s">
        <v>1677</v>
      </c>
      <c r="P426" s="811" t="s">
        <v>1630</v>
      </c>
      <c r="Q426" s="811" t="s">
        <v>1678</v>
      </c>
    </row>
    <row r="427" spans="1:17" x14ac:dyDescent="0.35">
      <c r="A427" s="811" t="s">
        <v>1622</v>
      </c>
      <c r="B427" s="811" t="s">
        <v>2146</v>
      </c>
      <c r="C427" s="812">
        <v>27000000</v>
      </c>
      <c r="D427" s="811" t="s">
        <v>1420</v>
      </c>
      <c r="E427" s="811" t="s">
        <v>1420</v>
      </c>
      <c r="F427" s="811" t="s">
        <v>1639</v>
      </c>
      <c r="G427" s="811" t="s">
        <v>1625</v>
      </c>
      <c r="H427" s="811" t="s">
        <v>1626</v>
      </c>
      <c r="I427" s="811" t="s">
        <v>1627</v>
      </c>
      <c r="J427" s="813">
        <v>27000000</v>
      </c>
      <c r="K427" s="811" t="s">
        <v>1628</v>
      </c>
      <c r="L427" s="811" t="s">
        <v>1210</v>
      </c>
      <c r="M427" s="811" t="s">
        <v>1608</v>
      </c>
      <c r="N427" s="811"/>
      <c r="O427" s="811" t="s">
        <v>1742</v>
      </c>
      <c r="P427" s="811" t="s">
        <v>1630</v>
      </c>
      <c r="Q427" s="811" t="s">
        <v>1678</v>
      </c>
    </row>
    <row r="428" spans="1:17" x14ac:dyDescent="0.35">
      <c r="A428" s="811" t="s">
        <v>1622</v>
      </c>
      <c r="B428" s="811" t="s">
        <v>2147</v>
      </c>
      <c r="C428" s="812">
        <v>39900000</v>
      </c>
      <c r="D428" s="811" t="s">
        <v>1428</v>
      </c>
      <c r="E428" s="811" t="s">
        <v>1428</v>
      </c>
      <c r="F428" s="811" t="s">
        <v>1671</v>
      </c>
      <c r="G428" s="811" t="s">
        <v>1625</v>
      </c>
      <c r="H428" s="811" t="s">
        <v>1626</v>
      </c>
      <c r="I428" s="811" t="s">
        <v>1627</v>
      </c>
      <c r="J428" s="813">
        <v>39900000</v>
      </c>
      <c r="K428" s="811" t="s">
        <v>1628</v>
      </c>
      <c r="L428" s="811" t="s">
        <v>1210</v>
      </c>
      <c r="M428" s="811" t="s">
        <v>1608</v>
      </c>
      <c r="N428" s="811" t="s">
        <v>1608</v>
      </c>
      <c r="O428" s="811" t="s">
        <v>1742</v>
      </c>
      <c r="P428" s="811" t="s">
        <v>1630</v>
      </c>
      <c r="Q428" s="811" t="s">
        <v>1678</v>
      </c>
    </row>
    <row r="429" spans="1:17" x14ac:dyDescent="0.35">
      <c r="A429" s="811" t="s">
        <v>1622</v>
      </c>
      <c r="B429" s="811" t="s">
        <v>2148</v>
      </c>
      <c r="C429" s="812">
        <v>58128384</v>
      </c>
      <c r="D429" s="811" t="s">
        <v>1424</v>
      </c>
      <c r="E429" s="811" t="s">
        <v>1424</v>
      </c>
      <c r="F429" s="811" t="s">
        <v>1624</v>
      </c>
      <c r="G429" s="811" t="s">
        <v>1625</v>
      </c>
      <c r="H429" s="811" t="s">
        <v>1626</v>
      </c>
      <c r="I429" s="811" t="s">
        <v>1627</v>
      </c>
      <c r="J429" s="813">
        <v>58128384</v>
      </c>
      <c r="K429" s="811" t="s">
        <v>1628</v>
      </c>
      <c r="L429" s="811" t="s">
        <v>1210</v>
      </c>
      <c r="M429" s="811" t="s">
        <v>1608</v>
      </c>
      <c r="N429" s="811" t="s">
        <v>1608</v>
      </c>
      <c r="O429" s="811" t="s">
        <v>1818</v>
      </c>
      <c r="P429" s="811" t="s">
        <v>1630</v>
      </c>
      <c r="Q429" s="811" t="s">
        <v>1683</v>
      </c>
    </row>
    <row r="430" spans="1:17" x14ac:dyDescent="0.35">
      <c r="A430" s="811" t="s">
        <v>1622</v>
      </c>
      <c r="B430" s="811" t="s">
        <v>2149</v>
      </c>
      <c r="C430" s="812">
        <v>55000000</v>
      </c>
      <c r="D430" s="811" t="s">
        <v>1420</v>
      </c>
      <c r="E430" s="811" t="s">
        <v>1420</v>
      </c>
      <c r="F430" s="811" t="s">
        <v>1658</v>
      </c>
      <c r="G430" s="811" t="s">
        <v>1625</v>
      </c>
      <c r="H430" s="811" t="s">
        <v>1626</v>
      </c>
      <c r="I430" s="811" t="s">
        <v>1627</v>
      </c>
      <c r="J430" s="813">
        <v>55000000</v>
      </c>
      <c r="K430" s="811" t="s">
        <v>1628</v>
      </c>
      <c r="L430" s="811" t="s">
        <v>1210</v>
      </c>
      <c r="M430" s="811" t="s">
        <v>1608</v>
      </c>
      <c r="N430" s="811" t="s">
        <v>1608</v>
      </c>
      <c r="O430" s="811" t="s">
        <v>1818</v>
      </c>
      <c r="P430" s="811" t="s">
        <v>1630</v>
      </c>
      <c r="Q430" s="811" t="s">
        <v>1683</v>
      </c>
    </row>
    <row r="431" spans="1:17" x14ac:dyDescent="0.35">
      <c r="A431" s="811" t="s">
        <v>1622</v>
      </c>
      <c r="B431" s="811" t="s">
        <v>2150</v>
      </c>
      <c r="C431" s="812">
        <v>59054190</v>
      </c>
      <c r="D431" s="811" t="s">
        <v>1420</v>
      </c>
      <c r="E431" s="811" t="s">
        <v>1420</v>
      </c>
      <c r="F431" s="811" t="s">
        <v>1658</v>
      </c>
      <c r="G431" s="811" t="s">
        <v>1625</v>
      </c>
      <c r="H431" s="811" t="s">
        <v>1626</v>
      </c>
      <c r="I431" s="811" t="s">
        <v>1627</v>
      </c>
      <c r="J431" s="813">
        <v>59054190</v>
      </c>
      <c r="K431" s="811" t="s">
        <v>1628</v>
      </c>
      <c r="L431" s="811" t="s">
        <v>1210</v>
      </c>
      <c r="M431" s="811" t="s">
        <v>1608</v>
      </c>
      <c r="N431" s="811" t="s">
        <v>1608</v>
      </c>
      <c r="O431" s="811" t="s">
        <v>1818</v>
      </c>
      <c r="P431" s="811" t="s">
        <v>1630</v>
      </c>
      <c r="Q431" s="811" t="s">
        <v>1683</v>
      </c>
    </row>
    <row r="432" spans="1:17" x14ac:dyDescent="0.35">
      <c r="A432" s="811" t="s">
        <v>1622</v>
      </c>
      <c r="B432" s="811" t="s">
        <v>2151</v>
      </c>
      <c r="C432" s="812">
        <v>32979493</v>
      </c>
      <c r="D432" s="811" t="s">
        <v>1515</v>
      </c>
      <c r="E432" s="811" t="s">
        <v>1515</v>
      </c>
      <c r="F432" s="811" t="s">
        <v>1639</v>
      </c>
      <c r="G432" s="811" t="s">
        <v>1625</v>
      </c>
      <c r="H432" s="811" t="s">
        <v>1626</v>
      </c>
      <c r="I432" s="811" t="s">
        <v>1627</v>
      </c>
      <c r="J432" s="813">
        <v>32979493</v>
      </c>
      <c r="K432" s="811" t="s">
        <v>1628</v>
      </c>
      <c r="L432" s="811" t="s">
        <v>1210</v>
      </c>
      <c r="M432" s="811" t="s">
        <v>1608</v>
      </c>
      <c r="N432" s="811" t="s">
        <v>1608</v>
      </c>
      <c r="O432" s="811" t="s">
        <v>1818</v>
      </c>
      <c r="P432" s="811" t="s">
        <v>1630</v>
      </c>
      <c r="Q432" s="811" t="s">
        <v>1683</v>
      </c>
    </row>
    <row r="433" spans="1:17" x14ac:dyDescent="0.35">
      <c r="A433" s="811" t="s">
        <v>1622</v>
      </c>
      <c r="B433" s="811" t="s">
        <v>2152</v>
      </c>
      <c r="C433" s="812">
        <v>29972448</v>
      </c>
      <c r="D433" s="811" t="s">
        <v>1420</v>
      </c>
      <c r="E433" s="811" t="s">
        <v>1420</v>
      </c>
      <c r="F433" s="811" t="s">
        <v>1658</v>
      </c>
      <c r="G433" s="811" t="s">
        <v>1625</v>
      </c>
      <c r="H433" s="811" t="s">
        <v>1626</v>
      </c>
      <c r="I433" s="811" t="s">
        <v>1627</v>
      </c>
      <c r="J433" s="813">
        <v>29972448</v>
      </c>
      <c r="K433" s="811" t="s">
        <v>1628</v>
      </c>
      <c r="L433" s="811" t="s">
        <v>1210</v>
      </c>
      <c r="M433" s="811" t="s">
        <v>1608</v>
      </c>
      <c r="N433" s="811" t="s">
        <v>1608</v>
      </c>
      <c r="O433" s="811" t="s">
        <v>1818</v>
      </c>
      <c r="P433" s="811" t="s">
        <v>1630</v>
      </c>
      <c r="Q433" s="811" t="s">
        <v>1683</v>
      </c>
    </row>
    <row r="434" spans="1:17" x14ac:dyDescent="0.35">
      <c r="A434" s="811" t="s">
        <v>1622</v>
      </c>
      <c r="B434" s="811" t="s">
        <v>2153</v>
      </c>
      <c r="C434" s="812">
        <v>34967856</v>
      </c>
      <c r="D434" s="811" t="s">
        <v>1424</v>
      </c>
      <c r="E434" s="811" t="s">
        <v>1424</v>
      </c>
      <c r="F434" s="811" t="s">
        <v>1662</v>
      </c>
      <c r="G434" s="811" t="s">
        <v>1625</v>
      </c>
      <c r="H434" s="811" t="s">
        <v>1626</v>
      </c>
      <c r="I434" s="811" t="s">
        <v>1627</v>
      </c>
      <c r="J434" s="813">
        <v>34967856</v>
      </c>
      <c r="K434" s="811" t="s">
        <v>1628</v>
      </c>
      <c r="L434" s="811" t="s">
        <v>1210</v>
      </c>
      <c r="M434" s="811" t="s">
        <v>1608</v>
      </c>
      <c r="N434" s="811" t="s">
        <v>1608</v>
      </c>
      <c r="O434" s="811" t="s">
        <v>1818</v>
      </c>
      <c r="P434" s="811" t="s">
        <v>1630</v>
      </c>
      <c r="Q434" s="811" t="s">
        <v>1683</v>
      </c>
    </row>
    <row r="435" spans="1:17" x14ac:dyDescent="0.35">
      <c r="A435" s="811" t="s">
        <v>1622</v>
      </c>
      <c r="B435" s="811" t="s">
        <v>2154</v>
      </c>
      <c r="C435" s="812">
        <v>29972448</v>
      </c>
      <c r="D435" s="811" t="s">
        <v>1424</v>
      </c>
      <c r="E435" s="811" t="s">
        <v>1424</v>
      </c>
      <c r="F435" s="811" t="s">
        <v>1662</v>
      </c>
      <c r="G435" s="811" t="s">
        <v>1625</v>
      </c>
      <c r="H435" s="811" t="s">
        <v>1626</v>
      </c>
      <c r="I435" s="811" t="s">
        <v>1627</v>
      </c>
      <c r="J435" s="813">
        <v>29972448</v>
      </c>
      <c r="K435" s="811" t="s">
        <v>1628</v>
      </c>
      <c r="L435" s="811" t="s">
        <v>1210</v>
      </c>
      <c r="M435" s="811" t="s">
        <v>1608</v>
      </c>
      <c r="N435" s="811" t="s">
        <v>1608</v>
      </c>
      <c r="O435" s="811" t="s">
        <v>1818</v>
      </c>
      <c r="P435" s="811" t="s">
        <v>1630</v>
      </c>
      <c r="Q435" s="811" t="s">
        <v>1683</v>
      </c>
    </row>
    <row r="436" spans="1:17" x14ac:dyDescent="0.35">
      <c r="A436" s="811" t="s">
        <v>1622</v>
      </c>
      <c r="B436" s="811" t="s">
        <v>2155</v>
      </c>
      <c r="C436" s="812">
        <v>60000000</v>
      </c>
      <c r="D436" s="811" t="s">
        <v>1424</v>
      </c>
      <c r="E436" s="811" t="s">
        <v>1424</v>
      </c>
      <c r="F436" s="811" t="s">
        <v>1639</v>
      </c>
      <c r="G436" s="811" t="s">
        <v>1625</v>
      </c>
      <c r="H436" s="811" t="s">
        <v>1626</v>
      </c>
      <c r="I436" s="811" t="s">
        <v>1627</v>
      </c>
      <c r="J436" s="813">
        <v>60000000</v>
      </c>
      <c r="K436" s="811" t="s">
        <v>1628</v>
      </c>
      <c r="L436" s="811" t="s">
        <v>1210</v>
      </c>
      <c r="M436" s="811" t="s">
        <v>1608</v>
      </c>
      <c r="N436" s="811" t="s">
        <v>1608</v>
      </c>
      <c r="O436" s="811" t="s">
        <v>1818</v>
      </c>
      <c r="P436" s="811" t="s">
        <v>1630</v>
      </c>
      <c r="Q436" s="811" t="s">
        <v>1683</v>
      </c>
    </row>
    <row r="437" spans="1:17" x14ac:dyDescent="0.35">
      <c r="A437" s="811" t="s">
        <v>2156</v>
      </c>
      <c r="B437" s="811" t="s">
        <v>2157</v>
      </c>
      <c r="C437" s="812">
        <v>350000000</v>
      </c>
      <c r="D437" s="811" t="s">
        <v>1429</v>
      </c>
      <c r="E437" s="811" t="s">
        <v>1429</v>
      </c>
      <c r="F437" s="811" t="s">
        <v>1635</v>
      </c>
      <c r="G437" s="811" t="s">
        <v>1625</v>
      </c>
      <c r="H437" s="811" t="s">
        <v>1626</v>
      </c>
      <c r="I437" s="811" t="s">
        <v>1627</v>
      </c>
      <c r="J437" s="813">
        <v>350000000</v>
      </c>
      <c r="K437" s="811" t="s">
        <v>1628</v>
      </c>
      <c r="L437" s="811" t="s">
        <v>1210</v>
      </c>
      <c r="M437" s="811" t="s">
        <v>1608</v>
      </c>
      <c r="N437" s="811" t="s">
        <v>1608</v>
      </c>
      <c r="O437" s="811" t="s">
        <v>1659</v>
      </c>
      <c r="P437" s="811" t="s">
        <v>1630</v>
      </c>
      <c r="Q437" s="811" t="s">
        <v>1631</v>
      </c>
    </row>
    <row r="438" spans="1:17" x14ac:dyDescent="0.35">
      <c r="A438" s="811" t="s">
        <v>2158</v>
      </c>
      <c r="B438" s="811" t="s">
        <v>2159</v>
      </c>
      <c r="C438" s="812">
        <v>150000000</v>
      </c>
      <c r="D438" s="811" t="s">
        <v>1429</v>
      </c>
      <c r="E438" s="811" t="s">
        <v>1429</v>
      </c>
      <c r="F438" s="811" t="s">
        <v>1635</v>
      </c>
      <c r="G438" s="811" t="s">
        <v>1625</v>
      </c>
      <c r="H438" s="811" t="s">
        <v>1626</v>
      </c>
      <c r="I438" s="811" t="s">
        <v>1627</v>
      </c>
      <c r="J438" s="813">
        <v>150000000</v>
      </c>
      <c r="K438" s="811" t="s">
        <v>1628</v>
      </c>
      <c r="L438" s="811" t="s">
        <v>1210</v>
      </c>
      <c r="M438" s="811" t="s">
        <v>1608</v>
      </c>
      <c r="N438" s="811" t="s">
        <v>1608</v>
      </c>
      <c r="O438" s="811" t="s">
        <v>1659</v>
      </c>
      <c r="P438" s="811" t="s">
        <v>1630</v>
      </c>
      <c r="Q438" s="811" t="s">
        <v>1631</v>
      </c>
    </row>
    <row r="439" spans="1:17" x14ac:dyDescent="0.35">
      <c r="A439" s="811" t="s">
        <v>1665</v>
      </c>
      <c r="B439" s="811" t="s">
        <v>2160</v>
      </c>
      <c r="C439" s="812">
        <v>1200000000</v>
      </c>
      <c r="D439" s="811" t="s">
        <v>1421</v>
      </c>
      <c r="E439" s="811" t="s">
        <v>1421</v>
      </c>
      <c r="F439" s="811" t="s">
        <v>1635</v>
      </c>
      <c r="G439" s="811" t="s">
        <v>1625</v>
      </c>
      <c r="H439" s="811" t="s">
        <v>1626</v>
      </c>
      <c r="I439" s="811" t="s">
        <v>1627</v>
      </c>
      <c r="J439" s="813">
        <v>1200000000</v>
      </c>
      <c r="K439" s="811" t="s">
        <v>1628</v>
      </c>
      <c r="L439" s="811" t="s">
        <v>1210</v>
      </c>
      <c r="M439" s="811" t="s">
        <v>1608</v>
      </c>
      <c r="N439" s="811" t="s">
        <v>1608</v>
      </c>
      <c r="O439" s="811" t="s">
        <v>1659</v>
      </c>
      <c r="P439" s="811" t="s">
        <v>1630</v>
      </c>
      <c r="Q439" s="811" t="s">
        <v>1631</v>
      </c>
    </row>
    <row r="440" spans="1:17" x14ac:dyDescent="0.35">
      <c r="A440" s="811" t="s">
        <v>1940</v>
      </c>
      <c r="B440" s="811" t="s">
        <v>2161</v>
      </c>
      <c r="C440" s="812">
        <v>1400000000</v>
      </c>
      <c r="D440" s="811" t="s">
        <v>1428</v>
      </c>
      <c r="E440" s="811" t="s">
        <v>1429</v>
      </c>
      <c r="F440" s="811" t="s">
        <v>1635</v>
      </c>
      <c r="G440" s="811" t="s">
        <v>1625</v>
      </c>
      <c r="H440" s="811" t="s">
        <v>1757</v>
      </c>
      <c r="I440" s="811" t="s">
        <v>1627</v>
      </c>
      <c r="J440" s="813">
        <v>1400000000</v>
      </c>
      <c r="K440" s="811" t="s">
        <v>1628</v>
      </c>
      <c r="L440" s="811" t="s">
        <v>1210</v>
      </c>
      <c r="M440" s="811" t="s">
        <v>1608</v>
      </c>
      <c r="N440" s="811" t="s">
        <v>1608</v>
      </c>
      <c r="O440" s="811" t="s">
        <v>1659</v>
      </c>
      <c r="P440" s="811" t="s">
        <v>1630</v>
      </c>
      <c r="Q440" s="811" t="s">
        <v>1631</v>
      </c>
    </row>
    <row r="441" spans="1:17" x14ac:dyDescent="0.35">
      <c r="A441" s="811" t="s">
        <v>2162</v>
      </c>
      <c r="B441" s="811" t="s">
        <v>2163</v>
      </c>
      <c r="C441" s="812">
        <v>1400000000</v>
      </c>
      <c r="D441" s="811" t="s">
        <v>1429</v>
      </c>
      <c r="E441" s="811" t="s">
        <v>1445</v>
      </c>
      <c r="F441" s="811" t="s">
        <v>1691</v>
      </c>
      <c r="G441" s="811" t="s">
        <v>1625</v>
      </c>
      <c r="H441" s="811" t="s">
        <v>1757</v>
      </c>
      <c r="I441" s="811" t="s">
        <v>1627</v>
      </c>
      <c r="J441" s="813">
        <v>1400000000</v>
      </c>
      <c r="K441" s="811" t="s">
        <v>1628</v>
      </c>
      <c r="L441" s="811" t="s">
        <v>1210</v>
      </c>
      <c r="M441" s="811" t="s">
        <v>1608</v>
      </c>
      <c r="N441" s="811" t="s">
        <v>1608</v>
      </c>
      <c r="O441" s="811" t="s">
        <v>1659</v>
      </c>
      <c r="P441" s="811" t="s">
        <v>1630</v>
      </c>
      <c r="Q441" s="811" t="s">
        <v>1631</v>
      </c>
    </row>
    <row r="442" spans="1:17" x14ac:dyDescent="0.35">
      <c r="A442" s="811" t="s">
        <v>2162</v>
      </c>
      <c r="B442" s="811" t="s">
        <v>2164</v>
      </c>
      <c r="C442" s="812">
        <v>3500000000</v>
      </c>
      <c r="D442" s="811" t="s">
        <v>1429</v>
      </c>
      <c r="E442" s="811" t="s">
        <v>1445</v>
      </c>
      <c r="F442" s="811" t="s">
        <v>1691</v>
      </c>
      <c r="G442" s="811" t="s">
        <v>1625</v>
      </c>
      <c r="H442" s="811" t="s">
        <v>1757</v>
      </c>
      <c r="I442" s="811" t="s">
        <v>1627</v>
      </c>
      <c r="J442" s="813">
        <v>3500000000</v>
      </c>
      <c r="K442" s="811" t="s">
        <v>1628</v>
      </c>
      <c r="L442" s="811" t="s">
        <v>1210</v>
      </c>
      <c r="M442" s="811" t="s">
        <v>1608</v>
      </c>
      <c r="N442" s="811" t="s">
        <v>1608</v>
      </c>
      <c r="O442" s="811" t="s">
        <v>1659</v>
      </c>
      <c r="P442" s="811" t="s">
        <v>1630</v>
      </c>
      <c r="Q442" s="811" t="s">
        <v>1631</v>
      </c>
    </row>
    <row r="443" spans="1:17" x14ac:dyDescent="0.35">
      <c r="A443" s="811" t="s">
        <v>2165</v>
      </c>
      <c r="B443" s="811" t="s">
        <v>2166</v>
      </c>
      <c r="C443" s="812">
        <v>590000000</v>
      </c>
      <c r="D443" s="811" t="s">
        <v>1445</v>
      </c>
      <c r="E443" s="811" t="s">
        <v>1445</v>
      </c>
      <c r="F443" s="811" t="s">
        <v>1635</v>
      </c>
      <c r="G443" s="811" t="s">
        <v>1625</v>
      </c>
      <c r="H443" s="811" t="s">
        <v>1701</v>
      </c>
      <c r="I443" s="811" t="s">
        <v>1627</v>
      </c>
      <c r="J443" s="813">
        <v>590000000</v>
      </c>
      <c r="K443" s="811" t="s">
        <v>1628</v>
      </c>
      <c r="L443" s="811" t="s">
        <v>1210</v>
      </c>
      <c r="M443" s="811" t="s">
        <v>1608</v>
      </c>
      <c r="N443" s="811" t="s">
        <v>1608</v>
      </c>
      <c r="O443" s="811" t="s">
        <v>1659</v>
      </c>
      <c r="P443" s="811" t="s">
        <v>1630</v>
      </c>
      <c r="Q443" s="811" t="s">
        <v>1631</v>
      </c>
    </row>
    <row r="444" spans="1:17" x14ac:dyDescent="0.35">
      <c r="A444" s="811" t="s">
        <v>2167</v>
      </c>
      <c r="B444" s="811" t="s">
        <v>2168</v>
      </c>
      <c r="C444" s="812">
        <v>2500000000</v>
      </c>
      <c r="D444" s="811" t="s">
        <v>1429</v>
      </c>
      <c r="E444" s="811" t="s">
        <v>1429</v>
      </c>
      <c r="F444" s="811" t="s">
        <v>1645</v>
      </c>
      <c r="G444" s="811" t="s">
        <v>1625</v>
      </c>
      <c r="H444" s="811" t="s">
        <v>1713</v>
      </c>
      <c r="I444" s="811" t="s">
        <v>1627</v>
      </c>
      <c r="J444" s="813">
        <v>2500000000</v>
      </c>
      <c r="K444" s="811" t="s">
        <v>1628</v>
      </c>
      <c r="L444" s="811" t="s">
        <v>1210</v>
      </c>
      <c r="M444" s="811" t="s">
        <v>1608</v>
      </c>
      <c r="N444" s="811" t="s">
        <v>1608</v>
      </c>
      <c r="O444" s="811" t="s">
        <v>1659</v>
      </c>
      <c r="P444" s="811" t="s">
        <v>1630</v>
      </c>
      <c r="Q444" s="811" t="s">
        <v>1631</v>
      </c>
    </row>
    <row r="445" spans="1:17" x14ac:dyDescent="0.35">
      <c r="A445" s="811" t="s">
        <v>2080</v>
      </c>
      <c r="B445" s="811" t="s">
        <v>2169</v>
      </c>
      <c r="C445" s="812">
        <v>100000000</v>
      </c>
      <c r="D445" s="811" t="s">
        <v>1420</v>
      </c>
      <c r="E445" s="811" t="s">
        <v>1420</v>
      </c>
      <c r="F445" s="811" t="s">
        <v>1658</v>
      </c>
      <c r="G445" s="811" t="s">
        <v>1625</v>
      </c>
      <c r="H445" s="811" t="s">
        <v>1626</v>
      </c>
      <c r="I445" s="811" t="s">
        <v>1627</v>
      </c>
      <c r="J445" s="813">
        <v>100000000</v>
      </c>
      <c r="K445" s="811" t="s">
        <v>1628</v>
      </c>
      <c r="L445" s="811" t="s">
        <v>1210</v>
      </c>
      <c r="M445" s="811" t="s">
        <v>1608</v>
      </c>
      <c r="N445" s="811" t="s">
        <v>1608</v>
      </c>
      <c r="O445" s="811" t="s">
        <v>1659</v>
      </c>
      <c r="P445" s="811" t="s">
        <v>1630</v>
      </c>
      <c r="Q445" s="811" t="s">
        <v>1631</v>
      </c>
    </row>
    <row r="446" spans="1:17" x14ac:dyDescent="0.35">
      <c r="A446" s="811" t="s">
        <v>2170</v>
      </c>
      <c r="B446" s="811" t="s">
        <v>2171</v>
      </c>
      <c r="C446" s="812">
        <v>50000000</v>
      </c>
      <c r="D446" s="811" t="s">
        <v>1428</v>
      </c>
      <c r="E446" s="811" t="s">
        <v>1429</v>
      </c>
      <c r="F446" s="811" t="s">
        <v>1972</v>
      </c>
      <c r="G446" s="811" t="s">
        <v>1625</v>
      </c>
      <c r="H446" s="811" t="s">
        <v>1550</v>
      </c>
      <c r="I446" s="811" t="s">
        <v>1627</v>
      </c>
      <c r="J446" s="813">
        <v>50000000</v>
      </c>
      <c r="K446" s="811" t="s">
        <v>1628</v>
      </c>
      <c r="L446" s="811" t="s">
        <v>1210</v>
      </c>
      <c r="M446" s="811" t="s">
        <v>1608</v>
      </c>
      <c r="N446" s="811" t="s">
        <v>1608</v>
      </c>
      <c r="O446" s="811" t="s">
        <v>1702</v>
      </c>
      <c r="P446" s="811" t="s">
        <v>1630</v>
      </c>
      <c r="Q446" s="811" t="s">
        <v>1637</v>
      </c>
    </row>
    <row r="447" spans="1:17" x14ac:dyDescent="0.35">
      <c r="A447" s="811" t="s">
        <v>2172</v>
      </c>
      <c r="B447" s="811" t="s">
        <v>2173</v>
      </c>
      <c r="C447" s="812">
        <v>100000000</v>
      </c>
      <c r="D447" s="811" t="s">
        <v>1428</v>
      </c>
      <c r="E447" s="811" t="s">
        <v>1428</v>
      </c>
      <c r="F447" s="811" t="s">
        <v>1691</v>
      </c>
      <c r="G447" s="811" t="s">
        <v>1625</v>
      </c>
      <c r="H447" s="811" t="s">
        <v>1763</v>
      </c>
      <c r="I447" s="811" t="s">
        <v>1627</v>
      </c>
      <c r="J447" s="813">
        <v>100000000</v>
      </c>
      <c r="K447" s="811" t="s">
        <v>1628</v>
      </c>
      <c r="L447" s="811" t="s">
        <v>1210</v>
      </c>
      <c r="M447" s="811" t="s">
        <v>1608</v>
      </c>
      <c r="N447" s="811" t="s">
        <v>1608</v>
      </c>
      <c r="O447" s="811" t="s">
        <v>1702</v>
      </c>
      <c r="P447" s="811" t="s">
        <v>1630</v>
      </c>
      <c r="Q447" s="811" t="s">
        <v>1637</v>
      </c>
    </row>
    <row r="448" spans="1:17" x14ac:dyDescent="0.35">
      <c r="A448" s="811" t="s">
        <v>2174</v>
      </c>
      <c r="B448" s="811" t="s">
        <v>2175</v>
      </c>
      <c r="C448" s="812">
        <v>20000000</v>
      </c>
      <c r="D448" s="811" t="s">
        <v>1429</v>
      </c>
      <c r="E448" s="811" t="s">
        <v>1445</v>
      </c>
      <c r="F448" s="811" t="s">
        <v>1689</v>
      </c>
      <c r="G448" s="811" t="s">
        <v>1625</v>
      </c>
      <c r="H448" s="811" t="s">
        <v>1550</v>
      </c>
      <c r="I448" s="811" t="s">
        <v>1627</v>
      </c>
      <c r="J448" s="813">
        <v>20000000</v>
      </c>
      <c r="K448" s="811" t="s">
        <v>1628</v>
      </c>
      <c r="L448" s="811" t="s">
        <v>1210</v>
      </c>
      <c r="M448" s="811" t="s">
        <v>1608</v>
      </c>
      <c r="N448" s="811" t="s">
        <v>1608</v>
      </c>
      <c r="O448" s="811" t="s">
        <v>1702</v>
      </c>
      <c r="P448" s="811" t="s">
        <v>1630</v>
      </c>
      <c r="Q448" s="811" t="s">
        <v>1637</v>
      </c>
    </row>
    <row r="449" spans="1:17" x14ac:dyDescent="0.35">
      <c r="A449" s="811" t="s">
        <v>2176</v>
      </c>
      <c r="B449" s="811" t="s">
        <v>2177</v>
      </c>
      <c r="C449" s="812">
        <v>50000000</v>
      </c>
      <c r="D449" s="811" t="s">
        <v>1421</v>
      </c>
      <c r="E449" s="811" t="s">
        <v>1428</v>
      </c>
      <c r="F449" s="811" t="s">
        <v>1689</v>
      </c>
      <c r="G449" s="811" t="s">
        <v>1625</v>
      </c>
      <c r="H449" s="811" t="s">
        <v>1550</v>
      </c>
      <c r="I449" s="811" t="s">
        <v>1627</v>
      </c>
      <c r="J449" s="813">
        <v>50000000</v>
      </c>
      <c r="K449" s="811" t="s">
        <v>1628</v>
      </c>
      <c r="L449" s="811" t="s">
        <v>1210</v>
      </c>
      <c r="M449" s="811" t="s">
        <v>1608</v>
      </c>
      <c r="N449" s="811" t="s">
        <v>1608</v>
      </c>
      <c r="O449" s="811" t="s">
        <v>1702</v>
      </c>
      <c r="P449" s="811" t="s">
        <v>1630</v>
      </c>
      <c r="Q449" s="811" t="s">
        <v>1637</v>
      </c>
    </row>
    <row r="450" spans="1:17" x14ac:dyDescent="0.35">
      <c r="A450" s="811" t="s">
        <v>2178</v>
      </c>
      <c r="B450" s="811" t="s">
        <v>2179</v>
      </c>
      <c r="C450" s="812">
        <v>563008205</v>
      </c>
      <c r="D450" s="811" t="s">
        <v>1414</v>
      </c>
      <c r="E450" s="811" t="s">
        <v>1414</v>
      </c>
      <c r="F450" s="811" t="s">
        <v>1972</v>
      </c>
      <c r="G450" s="811" t="s">
        <v>1625</v>
      </c>
      <c r="H450" s="811" t="s">
        <v>1763</v>
      </c>
      <c r="I450" s="811" t="s">
        <v>1627</v>
      </c>
      <c r="J450" s="813">
        <v>563008205</v>
      </c>
      <c r="K450" s="811" t="s">
        <v>1628</v>
      </c>
      <c r="L450" s="811" t="s">
        <v>1210</v>
      </c>
      <c r="M450" s="811" t="s">
        <v>1608</v>
      </c>
      <c r="N450" s="811" t="s">
        <v>1608</v>
      </c>
      <c r="O450" s="811" t="s">
        <v>1702</v>
      </c>
      <c r="P450" s="811" t="s">
        <v>1630</v>
      </c>
      <c r="Q450" s="811" t="s">
        <v>1637</v>
      </c>
    </row>
    <row r="451" spans="1:17" x14ac:dyDescent="0.35">
      <c r="A451" s="811" t="s">
        <v>2180</v>
      </c>
      <c r="B451" s="811" t="s">
        <v>2181</v>
      </c>
      <c r="C451" s="812">
        <v>125000000</v>
      </c>
      <c r="D451" s="811" t="s">
        <v>1428</v>
      </c>
      <c r="E451" s="811" t="s">
        <v>1429</v>
      </c>
      <c r="F451" s="811" t="s">
        <v>1691</v>
      </c>
      <c r="G451" s="811" t="s">
        <v>1625</v>
      </c>
      <c r="H451" s="811" t="s">
        <v>1626</v>
      </c>
      <c r="I451" s="811" t="s">
        <v>1627</v>
      </c>
      <c r="J451" s="813">
        <v>125000000</v>
      </c>
      <c r="K451" s="811" t="s">
        <v>1628</v>
      </c>
      <c r="L451" s="811" t="s">
        <v>1210</v>
      </c>
      <c r="M451" s="811" t="s">
        <v>1608</v>
      </c>
      <c r="N451" s="811" t="s">
        <v>1608</v>
      </c>
      <c r="O451" s="811" t="s">
        <v>1702</v>
      </c>
      <c r="P451" s="811" t="s">
        <v>1630</v>
      </c>
      <c r="Q451" s="811" t="s">
        <v>1637</v>
      </c>
    </row>
    <row r="452" spans="1:17" x14ac:dyDescent="0.35">
      <c r="A452" s="811" t="s">
        <v>2180</v>
      </c>
      <c r="B452" s="811" t="s">
        <v>2182</v>
      </c>
      <c r="C452" s="812">
        <v>125000000</v>
      </c>
      <c r="D452" s="811" t="s">
        <v>1428</v>
      </c>
      <c r="E452" s="811" t="s">
        <v>1429</v>
      </c>
      <c r="F452" s="811" t="s">
        <v>1691</v>
      </c>
      <c r="G452" s="811" t="s">
        <v>1625</v>
      </c>
      <c r="H452" s="811" t="s">
        <v>1626</v>
      </c>
      <c r="I452" s="811" t="s">
        <v>1627</v>
      </c>
      <c r="J452" s="813">
        <v>125000000</v>
      </c>
      <c r="K452" s="811" t="s">
        <v>1628</v>
      </c>
      <c r="L452" s="811" t="s">
        <v>1210</v>
      </c>
      <c r="M452" s="811" t="s">
        <v>1608</v>
      </c>
      <c r="N452" s="811" t="s">
        <v>1608</v>
      </c>
      <c r="O452" s="811" t="s">
        <v>1702</v>
      </c>
      <c r="P452" s="811" t="s">
        <v>1630</v>
      </c>
      <c r="Q452" s="811" t="s">
        <v>1637</v>
      </c>
    </row>
    <row r="453" spans="1:17" x14ac:dyDescent="0.35">
      <c r="A453" s="811" t="s">
        <v>1622</v>
      </c>
      <c r="B453" s="811" t="s">
        <v>2183</v>
      </c>
      <c r="C453" s="812">
        <v>51408000</v>
      </c>
      <c r="D453" s="811" t="s">
        <v>1420</v>
      </c>
      <c r="E453" s="811" t="s">
        <v>1420</v>
      </c>
      <c r="F453" s="811" t="s">
        <v>1658</v>
      </c>
      <c r="G453" s="811" t="s">
        <v>1625</v>
      </c>
      <c r="H453" s="811" t="s">
        <v>1626</v>
      </c>
      <c r="I453" s="811" t="s">
        <v>1627</v>
      </c>
      <c r="J453" s="813">
        <v>51408000</v>
      </c>
      <c r="K453" s="811" t="s">
        <v>1628</v>
      </c>
      <c r="L453" s="811" t="s">
        <v>1210</v>
      </c>
      <c r="M453" s="811" t="s">
        <v>1608</v>
      </c>
      <c r="N453" s="811" t="s">
        <v>1608</v>
      </c>
      <c r="O453" s="811" t="s">
        <v>1640</v>
      </c>
      <c r="P453" s="811" t="s">
        <v>1630</v>
      </c>
      <c r="Q453" s="811" t="s">
        <v>1641</v>
      </c>
    </row>
    <row r="454" spans="1:17" x14ac:dyDescent="0.35">
      <c r="A454" s="811" t="s">
        <v>1622</v>
      </c>
      <c r="B454" s="811" t="s">
        <v>2184</v>
      </c>
      <c r="C454" s="812">
        <v>62832000</v>
      </c>
      <c r="D454" s="811" t="s">
        <v>1420</v>
      </c>
      <c r="E454" s="811" t="s">
        <v>1420</v>
      </c>
      <c r="F454" s="811" t="s">
        <v>1658</v>
      </c>
      <c r="G454" s="811" t="s">
        <v>1625</v>
      </c>
      <c r="H454" s="811" t="s">
        <v>1626</v>
      </c>
      <c r="I454" s="811" t="s">
        <v>1627</v>
      </c>
      <c r="J454" s="813">
        <v>62832000</v>
      </c>
      <c r="K454" s="811" t="s">
        <v>1628</v>
      </c>
      <c r="L454" s="811" t="s">
        <v>1210</v>
      </c>
      <c r="M454" s="811" t="s">
        <v>1608</v>
      </c>
      <c r="N454" s="811" t="s">
        <v>1608</v>
      </c>
      <c r="O454" s="811" t="s">
        <v>1640</v>
      </c>
      <c r="P454" s="811" t="s">
        <v>1630</v>
      </c>
      <c r="Q454" s="811" t="s">
        <v>1641</v>
      </c>
    </row>
    <row r="455" spans="1:17" x14ac:dyDescent="0.35">
      <c r="A455" s="811" t="s">
        <v>1622</v>
      </c>
      <c r="B455" s="811" t="s">
        <v>2185</v>
      </c>
      <c r="C455" s="812">
        <v>29981361</v>
      </c>
      <c r="D455" s="811" t="s">
        <v>1420</v>
      </c>
      <c r="E455" s="811" t="s">
        <v>1420</v>
      </c>
      <c r="F455" s="811" t="s">
        <v>1635</v>
      </c>
      <c r="G455" s="811" t="s">
        <v>1625</v>
      </c>
      <c r="H455" s="811" t="s">
        <v>1626</v>
      </c>
      <c r="I455" s="811" t="s">
        <v>1627</v>
      </c>
      <c r="J455" s="813">
        <v>29981361</v>
      </c>
      <c r="K455" s="811" t="s">
        <v>1628</v>
      </c>
      <c r="L455" s="811" t="s">
        <v>1210</v>
      </c>
      <c r="M455" s="811" t="s">
        <v>1608</v>
      </c>
      <c r="N455" s="811" t="s">
        <v>1608</v>
      </c>
      <c r="O455" s="811" t="s">
        <v>2107</v>
      </c>
      <c r="P455" s="811" t="s">
        <v>1630</v>
      </c>
      <c r="Q455" s="811" t="s">
        <v>1697</v>
      </c>
    </row>
    <row r="456" spans="1:17" x14ac:dyDescent="0.35">
      <c r="A456" s="811" t="s">
        <v>1622</v>
      </c>
      <c r="B456" s="811" t="s">
        <v>2186</v>
      </c>
      <c r="C456" s="812">
        <v>23621677</v>
      </c>
      <c r="D456" s="811" t="s">
        <v>1414</v>
      </c>
      <c r="E456" s="811" t="s">
        <v>1414</v>
      </c>
      <c r="F456" s="811" t="s">
        <v>1691</v>
      </c>
      <c r="G456" s="811" t="s">
        <v>1625</v>
      </c>
      <c r="H456" s="811" t="s">
        <v>1626</v>
      </c>
      <c r="I456" s="811" t="s">
        <v>1627</v>
      </c>
      <c r="J456" s="813">
        <v>23621677</v>
      </c>
      <c r="K456" s="811" t="s">
        <v>1628</v>
      </c>
      <c r="L456" s="811" t="s">
        <v>1210</v>
      </c>
      <c r="M456" s="811" t="s">
        <v>1608</v>
      </c>
      <c r="N456" s="811" t="s">
        <v>1608</v>
      </c>
      <c r="O456" s="811" t="s">
        <v>2107</v>
      </c>
      <c r="P456" s="811" t="s">
        <v>1630</v>
      </c>
      <c r="Q456" s="811" t="s">
        <v>1697</v>
      </c>
    </row>
    <row r="457" spans="1:17" x14ac:dyDescent="0.35">
      <c r="A457" s="811" t="s">
        <v>1622</v>
      </c>
      <c r="B457" s="811" t="s">
        <v>2187</v>
      </c>
      <c r="C457" s="812">
        <v>29072832</v>
      </c>
      <c r="D457" s="811" t="s">
        <v>1414</v>
      </c>
      <c r="E457" s="811" t="s">
        <v>1414</v>
      </c>
      <c r="F457" s="811" t="s">
        <v>1691</v>
      </c>
      <c r="G457" s="811" t="s">
        <v>1625</v>
      </c>
      <c r="H457" s="811" t="s">
        <v>1626</v>
      </c>
      <c r="I457" s="811" t="s">
        <v>1627</v>
      </c>
      <c r="J457" s="813">
        <v>29072832</v>
      </c>
      <c r="K457" s="811" t="s">
        <v>1628</v>
      </c>
      <c r="L457" s="811" t="s">
        <v>1210</v>
      </c>
      <c r="M457" s="811" t="s">
        <v>1608</v>
      </c>
      <c r="N457" s="811" t="s">
        <v>1608</v>
      </c>
      <c r="O457" s="811" t="s">
        <v>2107</v>
      </c>
      <c r="P457" s="811" t="s">
        <v>1630</v>
      </c>
      <c r="Q457" s="811" t="s">
        <v>1697</v>
      </c>
    </row>
    <row r="458" spans="1:17" x14ac:dyDescent="0.35">
      <c r="A458" s="811" t="s">
        <v>2188</v>
      </c>
      <c r="B458" s="811" t="s">
        <v>2189</v>
      </c>
      <c r="C458" s="812">
        <v>8000000</v>
      </c>
      <c r="D458" s="811" t="s">
        <v>1414</v>
      </c>
      <c r="E458" s="811" t="s">
        <v>1414</v>
      </c>
      <c r="F458" s="811" t="s">
        <v>1635</v>
      </c>
      <c r="G458" s="811" t="s">
        <v>1625</v>
      </c>
      <c r="H458" s="811" t="s">
        <v>1626</v>
      </c>
      <c r="I458" s="811" t="s">
        <v>1627</v>
      </c>
      <c r="J458" s="813">
        <v>8000000</v>
      </c>
      <c r="K458" s="811" t="s">
        <v>1628</v>
      </c>
      <c r="L458" s="811" t="s">
        <v>1210</v>
      </c>
      <c r="M458" s="811" t="s">
        <v>1608</v>
      </c>
      <c r="N458" s="811" t="s">
        <v>1608</v>
      </c>
      <c r="O458" s="811" t="s">
        <v>2107</v>
      </c>
      <c r="P458" s="811" t="s">
        <v>1630</v>
      </c>
      <c r="Q458" s="811" t="s">
        <v>1697</v>
      </c>
    </row>
    <row r="459" spans="1:17" x14ac:dyDescent="0.35">
      <c r="A459" s="811" t="s">
        <v>1622</v>
      </c>
      <c r="B459" s="811" t="s">
        <v>2190</v>
      </c>
      <c r="C459" s="812">
        <v>73590615</v>
      </c>
      <c r="D459" s="811" t="s">
        <v>1420</v>
      </c>
      <c r="E459" s="811" t="s">
        <v>1420</v>
      </c>
      <c r="F459" s="811" t="s">
        <v>1639</v>
      </c>
      <c r="G459" s="811" t="s">
        <v>1625</v>
      </c>
      <c r="H459" s="811" t="s">
        <v>1626</v>
      </c>
      <c r="I459" s="811" t="s">
        <v>1627</v>
      </c>
      <c r="J459" s="813">
        <v>73590615</v>
      </c>
      <c r="K459" s="811" t="s">
        <v>1628</v>
      </c>
      <c r="L459" s="811" t="s">
        <v>1210</v>
      </c>
      <c r="M459" s="811" t="s">
        <v>1608</v>
      </c>
      <c r="N459" s="811" t="s">
        <v>1608</v>
      </c>
      <c r="O459" s="811" t="s">
        <v>2107</v>
      </c>
      <c r="P459" s="811" t="s">
        <v>1630</v>
      </c>
      <c r="Q459" s="811" t="s">
        <v>1697</v>
      </c>
    </row>
    <row r="460" spans="1:17" x14ac:dyDescent="0.35">
      <c r="A460" s="811" t="s">
        <v>1622</v>
      </c>
      <c r="B460" s="811" t="s">
        <v>2191</v>
      </c>
      <c r="C460" s="812">
        <v>32500000</v>
      </c>
      <c r="D460" s="811" t="s">
        <v>1421</v>
      </c>
      <c r="E460" s="811" t="s">
        <v>1421</v>
      </c>
      <c r="F460" s="811" t="s">
        <v>1712</v>
      </c>
      <c r="G460" s="811" t="s">
        <v>1625</v>
      </c>
      <c r="H460" s="811" t="s">
        <v>1626</v>
      </c>
      <c r="I460" s="811" t="s">
        <v>1627</v>
      </c>
      <c r="J460" s="813">
        <v>32500000</v>
      </c>
      <c r="K460" s="811" t="s">
        <v>1628</v>
      </c>
      <c r="L460" s="811" t="s">
        <v>1210</v>
      </c>
      <c r="M460" s="811" t="s">
        <v>1608</v>
      </c>
      <c r="N460" s="811" t="s">
        <v>1608</v>
      </c>
      <c r="O460" s="811" t="s">
        <v>2192</v>
      </c>
      <c r="P460" s="811" t="s">
        <v>1630</v>
      </c>
      <c r="Q460" s="811" t="s">
        <v>2193</v>
      </c>
    </row>
    <row r="461" spans="1:17" x14ac:dyDescent="0.35">
      <c r="A461" s="811" t="s">
        <v>1622</v>
      </c>
      <c r="B461" s="811" t="s">
        <v>2194</v>
      </c>
      <c r="C461" s="812">
        <v>32500000</v>
      </c>
      <c r="D461" s="811" t="s">
        <v>1420</v>
      </c>
      <c r="E461" s="811" t="s">
        <v>1420</v>
      </c>
      <c r="F461" s="811" t="s">
        <v>1712</v>
      </c>
      <c r="G461" s="811" t="s">
        <v>1625</v>
      </c>
      <c r="H461" s="811" t="s">
        <v>1626</v>
      </c>
      <c r="I461" s="811" t="s">
        <v>1627</v>
      </c>
      <c r="J461" s="813">
        <v>32500000</v>
      </c>
      <c r="K461" s="811" t="s">
        <v>1628</v>
      </c>
      <c r="L461" s="811" t="s">
        <v>1210</v>
      </c>
      <c r="M461" s="811" t="s">
        <v>1608</v>
      </c>
      <c r="N461" s="811" t="s">
        <v>1608</v>
      </c>
      <c r="O461" s="811" t="s">
        <v>2192</v>
      </c>
      <c r="P461" s="811" t="s">
        <v>1630</v>
      </c>
      <c r="Q461" s="811" t="s">
        <v>2193</v>
      </c>
    </row>
    <row r="462" spans="1:17" x14ac:dyDescent="0.35">
      <c r="A462" s="811" t="s">
        <v>1622</v>
      </c>
      <c r="B462" s="811" t="s">
        <v>2195</v>
      </c>
      <c r="C462" s="812">
        <v>32500000</v>
      </c>
      <c r="D462" s="811" t="s">
        <v>1515</v>
      </c>
      <c r="E462" s="811" t="s">
        <v>1515</v>
      </c>
      <c r="F462" s="811" t="s">
        <v>1712</v>
      </c>
      <c r="G462" s="811" t="s">
        <v>1625</v>
      </c>
      <c r="H462" s="811" t="s">
        <v>1626</v>
      </c>
      <c r="I462" s="811" t="s">
        <v>1627</v>
      </c>
      <c r="J462" s="813">
        <v>32500000</v>
      </c>
      <c r="K462" s="811" t="s">
        <v>1628</v>
      </c>
      <c r="L462" s="811" t="s">
        <v>1210</v>
      </c>
      <c r="M462" s="811" t="s">
        <v>1608</v>
      </c>
      <c r="N462" s="811" t="s">
        <v>1608</v>
      </c>
      <c r="O462" s="811" t="s">
        <v>2192</v>
      </c>
      <c r="P462" s="811" t="s">
        <v>1630</v>
      </c>
      <c r="Q462" s="811" t="s">
        <v>2193</v>
      </c>
    </row>
    <row r="463" spans="1:17" x14ac:dyDescent="0.35">
      <c r="A463" s="811" t="s">
        <v>1622</v>
      </c>
      <c r="B463" s="811" t="s">
        <v>2196</v>
      </c>
      <c r="C463" s="812">
        <v>27500000</v>
      </c>
      <c r="D463" s="811" t="s">
        <v>1420</v>
      </c>
      <c r="E463" s="811" t="s">
        <v>1420</v>
      </c>
      <c r="F463" s="811" t="s">
        <v>1691</v>
      </c>
      <c r="G463" s="811" t="s">
        <v>1625</v>
      </c>
      <c r="H463" s="811" t="s">
        <v>1626</v>
      </c>
      <c r="I463" s="811" t="s">
        <v>1627</v>
      </c>
      <c r="J463" s="813">
        <v>27500000</v>
      </c>
      <c r="K463" s="811" t="s">
        <v>1628</v>
      </c>
      <c r="L463" s="811" t="s">
        <v>1210</v>
      </c>
      <c r="M463" s="811" t="s">
        <v>1608</v>
      </c>
      <c r="N463" s="811" t="s">
        <v>1608</v>
      </c>
      <c r="O463" s="811" t="s">
        <v>2192</v>
      </c>
      <c r="P463" s="811" t="s">
        <v>1630</v>
      </c>
      <c r="Q463" s="811" t="s">
        <v>2193</v>
      </c>
    </row>
    <row r="464" spans="1:17" x14ac:dyDescent="0.35">
      <c r="A464" s="811" t="s">
        <v>2197</v>
      </c>
      <c r="B464" s="811" t="s">
        <v>2198</v>
      </c>
      <c r="C464" s="812">
        <v>59000000</v>
      </c>
      <c r="D464" s="811" t="s">
        <v>1421</v>
      </c>
      <c r="E464" s="811" t="s">
        <v>1428</v>
      </c>
      <c r="F464" s="811" t="s">
        <v>1624</v>
      </c>
      <c r="G464" s="811" t="s">
        <v>1625</v>
      </c>
      <c r="H464" s="811" t="s">
        <v>1550</v>
      </c>
      <c r="I464" s="811" t="s">
        <v>1627</v>
      </c>
      <c r="J464" s="813">
        <v>59000000</v>
      </c>
      <c r="K464" s="811" t="s">
        <v>1628</v>
      </c>
      <c r="L464" s="811" t="s">
        <v>1210</v>
      </c>
      <c r="M464" s="811" t="s">
        <v>1608</v>
      </c>
      <c r="N464" s="811" t="s">
        <v>1608</v>
      </c>
      <c r="O464" s="811" t="s">
        <v>1672</v>
      </c>
      <c r="P464" s="811" t="s">
        <v>1630</v>
      </c>
      <c r="Q464" s="811" t="s">
        <v>1673</v>
      </c>
    </row>
    <row r="465" spans="1:17" x14ac:dyDescent="0.35">
      <c r="A465" s="811" t="s">
        <v>2199</v>
      </c>
      <c r="B465" s="811" t="s">
        <v>2200</v>
      </c>
      <c r="C465" s="812">
        <v>32697000</v>
      </c>
      <c r="D465" s="811" t="s">
        <v>1424</v>
      </c>
      <c r="E465" s="811" t="s">
        <v>1420</v>
      </c>
      <c r="F465" s="811" t="s">
        <v>1639</v>
      </c>
      <c r="G465" s="811" t="s">
        <v>1625</v>
      </c>
      <c r="H465" s="811" t="s">
        <v>1550</v>
      </c>
      <c r="I465" s="811" t="s">
        <v>1627</v>
      </c>
      <c r="J465" s="813">
        <v>32697000</v>
      </c>
      <c r="K465" s="811" t="s">
        <v>1628</v>
      </c>
      <c r="L465" s="811" t="s">
        <v>1210</v>
      </c>
      <c r="M465" s="811" t="s">
        <v>1608</v>
      </c>
      <c r="N465" s="811" t="s">
        <v>1608</v>
      </c>
      <c r="O465" s="811" t="s">
        <v>1672</v>
      </c>
      <c r="P465" s="811" t="s">
        <v>1630</v>
      </c>
      <c r="Q465" s="811" t="s">
        <v>1673</v>
      </c>
    </row>
    <row r="466" spans="1:17" x14ac:dyDescent="0.35">
      <c r="A466" s="811" t="s">
        <v>2201</v>
      </c>
      <c r="B466" s="811" t="s">
        <v>2202</v>
      </c>
      <c r="C466" s="812">
        <v>90825000</v>
      </c>
      <c r="D466" s="811" t="s">
        <v>1420</v>
      </c>
      <c r="E466" s="811" t="s">
        <v>1515</v>
      </c>
      <c r="F466" s="811" t="s">
        <v>1645</v>
      </c>
      <c r="G466" s="811" t="s">
        <v>1625</v>
      </c>
      <c r="H466" s="811" t="s">
        <v>1636</v>
      </c>
      <c r="I466" s="811" t="s">
        <v>1627</v>
      </c>
      <c r="J466" s="813">
        <v>90825000</v>
      </c>
      <c r="K466" s="811" t="s">
        <v>1628</v>
      </c>
      <c r="L466" s="811" t="s">
        <v>1210</v>
      </c>
      <c r="M466" s="811" t="s">
        <v>1608</v>
      </c>
      <c r="N466" s="811" t="s">
        <v>1608</v>
      </c>
      <c r="O466" s="811" t="s">
        <v>1672</v>
      </c>
      <c r="P466" s="811" t="s">
        <v>1630</v>
      </c>
      <c r="Q466" s="811" t="s">
        <v>1673</v>
      </c>
    </row>
    <row r="467" spans="1:17" x14ac:dyDescent="0.35">
      <c r="A467" s="811" t="s">
        <v>2203</v>
      </c>
      <c r="B467" s="811" t="s">
        <v>2204</v>
      </c>
      <c r="C467" s="812">
        <v>12000000</v>
      </c>
      <c r="D467" s="811" t="s">
        <v>2134</v>
      </c>
      <c r="E467" s="811" t="s">
        <v>1440</v>
      </c>
      <c r="F467" s="811" t="s">
        <v>1645</v>
      </c>
      <c r="G467" s="811" t="s">
        <v>1625</v>
      </c>
      <c r="H467" s="811" t="s">
        <v>1636</v>
      </c>
      <c r="I467" s="811" t="s">
        <v>1627</v>
      </c>
      <c r="J467" s="813">
        <v>12000000</v>
      </c>
      <c r="K467" s="811" t="s">
        <v>1628</v>
      </c>
      <c r="L467" s="811" t="s">
        <v>1210</v>
      </c>
      <c r="M467" s="811" t="s">
        <v>1608</v>
      </c>
      <c r="N467" s="811" t="s">
        <v>1608</v>
      </c>
      <c r="O467" s="811" t="s">
        <v>1672</v>
      </c>
      <c r="P467" s="811" t="s">
        <v>1630</v>
      </c>
      <c r="Q467" s="811" t="s">
        <v>1673</v>
      </c>
    </row>
    <row r="468" spans="1:17" x14ac:dyDescent="0.35">
      <c r="A468" s="811" t="s">
        <v>2205</v>
      </c>
      <c r="B468" s="811" t="s">
        <v>2206</v>
      </c>
      <c r="C468" s="812">
        <v>250000000</v>
      </c>
      <c r="D468" s="811" t="s">
        <v>1424</v>
      </c>
      <c r="E468" s="811" t="s">
        <v>1420</v>
      </c>
      <c r="F468" s="811" t="s">
        <v>1645</v>
      </c>
      <c r="G468" s="811" t="s">
        <v>1625</v>
      </c>
      <c r="H468" s="811" t="s">
        <v>1626</v>
      </c>
      <c r="I468" s="811" t="s">
        <v>1627</v>
      </c>
      <c r="J468" s="813">
        <v>250000000</v>
      </c>
      <c r="K468" s="811" t="s">
        <v>1628</v>
      </c>
      <c r="L468" s="811" t="s">
        <v>1210</v>
      </c>
      <c r="M468" s="811" t="s">
        <v>1608</v>
      </c>
      <c r="N468" s="811" t="s">
        <v>1608</v>
      </c>
      <c r="O468" s="811" t="s">
        <v>1672</v>
      </c>
      <c r="P468" s="811" t="s">
        <v>1630</v>
      </c>
      <c r="Q468" s="811" t="s">
        <v>1673</v>
      </c>
    </row>
    <row r="469" spans="1:17" x14ac:dyDescent="0.35">
      <c r="A469" s="811" t="s">
        <v>2207</v>
      </c>
      <c r="B469" s="811" t="s">
        <v>2208</v>
      </c>
      <c r="C469" s="812">
        <v>170000000</v>
      </c>
      <c r="D469" s="811" t="s">
        <v>1434</v>
      </c>
      <c r="E469" s="811" t="s">
        <v>2134</v>
      </c>
      <c r="F469" s="811" t="s">
        <v>1645</v>
      </c>
      <c r="G469" s="811" t="s">
        <v>1625</v>
      </c>
      <c r="H469" s="811" t="s">
        <v>1636</v>
      </c>
      <c r="I469" s="811" t="s">
        <v>1627</v>
      </c>
      <c r="J469" s="813">
        <v>170000000</v>
      </c>
      <c r="K469" s="811" t="s">
        <v>1628</v>
      </c>
      <c r="L469" s="811" t="s">
        <v>1210</v>
      </c>
      <c r="M469" s="811" t="s">
        <v>1608</v>
      </c>
      <c r="N469" s="811" t="s">
        <v>1608</v>
      </c>
      <c r="O469" s="811" t="s">
        <v>1672</v>
      </c>
      <c r="P469" s="811" t="s">
        <v>1630</v>
      </c>
      <c r="Q469" s="811" t="s">
        <v>1673</v>
      </c>
    </row>
    <row r="470" spans="1:17" x14ac:dyDescent="0.35">
      <c r="A470" s="811" t="s">
        <v>2209</v>
      </c>
      <c r="B470" s="811" t="s">
        <v>2210</v>
      </c>
      <c r="C470" s="812">
        <v>59000000</v>
      </c>
      <c r="D470" s="811" t="s">
        <v>1445</v>
      </c>
      <c r="E470" s="811" t="s">
        <v>1434</v>
      </c>
      <c r="F470" s="811" t="s">
        <v>1689</v>
      </c>
      <c r="G470" s="811" t="s">
        <v>1625</v>
      </c>
      <c r="H470" s="811" t="s">
        <v>1550</v>
      </c>
      <c r="I470" s="811" t="s">
        <v>1627</v>
      </c>
      <c r="J470" s="813">
        <v>59000000</v>
      </c>
      <c r="K470" s="811" t="s">
        <v>1628</v>
      </c>
      <c r="L470" s="811" t="s">
        <v>1210</v>
      </c>
      <c r="M470" s="811" t="s">
        <v>1608</v>
      </c>
      <c r="N470" s="811" t="s">
        <v>1608</v>
      </c>
      <c r="O470" s="811" t="s">
        <v>1672</v>
      </c>
      <c r="P470" s="811" t="s">
        <v>1630</v>
      </c>
      <c r="Q470" s="811" t="s">
        <v>1673</v>
      </c>
    </row>
    <row r="471" spans="1:17" x14ac:dyDescent="0.35">
      <c r="A471" s="811" t="s">
        <v>2207</v>
      </c>
      <c r="B471" s="811" t="s">
        <v>2211</v>
      </c>
      <c r="C471" s="812">
        <v>650000000</v>
      </c>
      <c r="D471" s="811" t="s">
        <v>1429</v>
      </c>
      <c r="E471" s="811" t="s">
        <v>1429</v>
      </c>
      <c r="F471" s="811" t="s">
        <v>1645</v>
      </c>
      <c r="G471" s="811" t="s">
        <v>1625</v>
      </c>
      <c r="H471" s="811" t="s">
        <v>1636</v>
      </c>
      <c r="I471" s="811" t="s">
        <v>1627</v>
      </c>
      <c r="J471" s="813">
        <v>650000000</v>
      </c>
      <c r="K471" s="811" t="s">
        <v>1628</v>
      </c>
      <c r="L471" s="811" t="s">
        <v>1210</v>
      </c>
      <c r="M471" s="811" t="s">
        <v>1608</v>
      </c>
      <c r="N471" s="811" t="s">
        <v>1608</v>
      </c>
      <c r="O471" s="811" t="s">
        <v>1672</v>
      </c>
      <c r="P471" s="811" t="s">
        <v>1630</v>
      </c>
      <c r="Q471" s="811" t="s">
        <v>1673</v>
      </c>
    </row>
    <row r="472" spans="1:17" x14ac:dyDescent="0.35">
      <c r="A472" s="811" t="s">
        <v>2212</v>
      </c>
      <c r="B472" s="811" t="s">
        <v>2213</v>
      </c>
      <c r="C472" s="812">
        <v>54000000</v>
      </c>
      <c r="D472" s="811" t="s">
        <v>1440</v>
      </c>
      <c r="E472" s="811" t="s">
        <v>2214</v>
      </c>
      <c r="F472" s="811" t="s">
        <v>1645</v>
      </c>
      <c r="G472" s="811" t="s">
        <v>1625</v>
      </c>
      <c r="H472" s="811" t="s">
        <v>1636</v>
      </c>
      <c r="I472" s="811" t="s">
        <v>1627</v>
      </c>
      <c r="J472" s="813">
        <v>54000000</v>
      </c>
      <c r="K472" s="811" t="s">
        <v>1628</v>
      </c>
      <c r="L472" s="811" t="s">
        <v>1210</v>
      </c>
      <c r="M472" s="811" t="s">
        <v>1608</v>
      </c>
      <c r="N472" s="811" t="s">
        <v>1608</v>
      </c>
      <c r="O472" s="811" t="s">
        <v>1672</v>
      </c>
      <c r="P472" s="811" t="s">
        <v>1630</v>
      </c>
      <c r="Q472" s="811" t="s">
        <v>1673</v>
      </c>
    </row>
    <row r="473" spans="1:17" x14ac:dyDescent="0.35">
      <c r="A473" s="811" t="s">
        <v>2070</v>
      </c>
      <c r="B473" s="811" t="s">
        <v>2215</v>
      </c>
      <c r="C473" s="812">
        <v>70000000</v>
      </c>
      <c r="D473" s="811" t="s">
        <v>1428</v>
      </c>
      <c r="E473" s="811" t="s">
        <v>1429</v>
      </c>
      <c r="F473" s="811" t="s">
        <v>1972</v>
      </c>
      <c r="G473" s="811" t="s">
        <v>1625</v>
      </c>
      <c r="H473" s="811" t="s">
        <v>1636</v>
      </c>
      <c r="I473" s="811" t="s">
        <v>1627</v>
      </c>
      <c r="J473" s="813">
        <v>70000000</v>
      </c>
      <c r="K473" s="811" t="s">
        <v>1628</v>
      </c>
      <c r="L473" s="811" t="s">
        <v>1210</v>
      </c>
      <c r="M473" s="811" t="s">
        <v>1608</v>
      </c>
      <c r="N473" s="811" t="s">
        <v>1608</v>
      </c>
      <c r="O473" s="811" t="s">
        <v>1672</v>
      </c>
      <c r="P473" s="811" t="s">
        <v>1630</v>
      </c>
      <c r="Q473" s="811" t="s">
        <v>1673</v>
      </c>
    </row>
    <row r="474" spans="1:17" x14ac:dyDescent="0.35">
      <c r="A474" s="811" t="s">
        <v>2216</v>
      </c>
      <c r="B474" s="811" t="s">
        <v>2217</v>
      </c>
      <c r="C474" s="812">
        <v>245000000</v>
      </c>
      <c r="D474" s="811" t="s">
        <v>2134</v>
      </c>
      <c r="E474" s="811" t="s">
        <v>1440</v>
      </c>
      <c r="F474" s="811" t="s">
        <v>1645</v>
      </c>
      <c r="G474" s="811" t="s">
        <v>1625</v>
      </c>
      <c r="H474" s="811" t="s">
        <v>1701</v>
      </c>
      <c r="I474" s="811" t="s">
        <v>1627</v>
      </c>
      <c r="J474" s="813">
        <v>245000000</v>
      </c>
      <c r="K474" s="811" t="s">
        <v>1628</v>
      </c>
      <c r="L474" s="811" t="s">
        <v>1210</v>
      </c>
      <c r="M474" s="811" t="s">
        <v>1608</v>
      </c>
      <c r="N474" s="811" t="s">
        <v>1608</v>
      </c>
      <c r="O474" s="811" t="s">
        <v>1672</v>
      </c>
      <c r="P474" s="811" t="s">
        <v>1630</v>
      </c>
      <c r="Q474" s="811" t="s">
        <v>1673</v>
      </c>
    </row>
    <row r="475" spans="1:17" x14ac:dyDescent="0.35">
      <c r="A475" s="811" t="s">
        <v>2218</v>
      </c>
      <c r="B475" s="811" t="s">
        <v>2219</v>
      </c>
      <c r="C475" s="812">
        <v>78000000</v>
      </c>
      <c r="D475" s="811" t="s">
        <v>1434</v>
      </c>
      <c r="E475" s="811" t="s">
        <v>2134</v>
      </c>
      <c r="F475" s="811" t="s">
        <v>1645</v>
      </c>
      <c r="G475" s="811" t="s">
        <v>1625</v>
      </c>
      <c r="H475" s="811" t="s">
        <v>1701</v>
      </c>
      <c r="I475" s="811" t="s">
        <v>1627</v>
      </c>
      <c r="J475" s="813">
        <v>78000000</v>
      </c>
      <c r="K475" s="811" t="s">
        <v>1628</v>
      </c>
      <c r="L475" s="811" t="s">
        <v>1210</v>
      </c>
      <c r="M475" s="811" t="s">
        <v>1608</v>
      </c>
      <c r="N475" s="811" t="s">
        <v>1608</v>
      </c>
      <c r="O475" s="811" t="s">
        <v>1672</v>
      </c>
      <c r="P475" s="811" t="s">
        <v>1630</v>
      </c>
      <c r="Q475" s="811" t="s">
        <v>1673</v>
      </c>
    </row>
    <row r="476" spans="1:17" x14ac:dyDescent="0.35">
      <c r="A476" s="811" t="s">
        <v>2220</v>
      </c>
      <c r="B476" s="811" t="s">
        <v>2221</v>
      </c>
      <c r="C476" s="812">
        <v>35000000</v>
      </c>
      <c r="D476" s="811" t="s">
        <v>1428</v>
      </c>
      <c r="E476" s="811" t="s">
        <v>1429</v>
      </c>
      <c r="F476" s="811" t="s">
        <v>1645</v>
      </c>
      <c r="G476" s="811" t="s">
        <v>1625</v>
      </c>
      <c r="H476" s="811" t="s">
        <v>1626</v>
      </c>
      <c r="I476" s="811" t="s">
        <v>1627</v>
      </c>
      <c r="J476" s="813">
        <v>35000000</v>
      </c>
      <c r="K476" s="811" t="s">
        <v>1628</v>
      </c>
      <c r="L476" s="811" t="s">
        <v>1210</v>
      </c>
      <c r="M476" s="811" t="s">
        <v>1608</v>
      </c>
      <c r="N476" s="811" t="s">
        <v>1608</v>
      </c>
      <c r="O476" s="811" t="s">
        <v>1672</v>
      </c>
      <c r="P476" s="811" t="s">
        <v>1630</v>
      </c>
      <c r="Q476" s="811" t="s">
        <v>1673</v>
      </c>
    </row>
    <row r="477" spans="1:17" x14ac:dyDescent="0.35">
      <c r="A477" s="811" t="s">
        <v>2222</v>
      </c>
      <c r="B477" s="811" t="s">
        <v>2223</v>
      </c>
      <c r="C477" s="812">
        <v>31000000</v>
      </c>
      <c r="D477" s="811" t="s">
        <v>1429</v>
      </c>
      <c r="E477" s="811" t="s">
        <v>1445</v>
      </c>
      <c r="F477" s="811" t="s">
        <v>1972</v>
      </c>
      <c r="G477" s="811" t="s">
        <v>1625</v>
      </c>
      <c r="H477" s="811" t="s">
        <v>1550</v>
      </c>
      <c r="I477" s="811" t="s">
        <v>1627</v>
      </c>
      <c r="J477" s="813">
        <v>31000000</v>
      </c>
      <c r="K477" s="811" t="s">
        <v>1628</v>
      </c>
      <c r="L477" s="811" t="s">
        <v>1210</v>
      </c>
      <c r="M477" s="811" t="s">
        <v>1608</v>
      </c>
      <c r="N477" s="811" t="s">
        <v>1608</v>
      </c>
      <c r="O477" s="811" t="s">
        <v>1672</v>
      </c>
      <c r="P477" s="811" t="s">
        <v>1630</v>
      </c>
      <c r="Q477" s="811" t="s">
        <v>1673</v>
      </c>
    </row>
    <row r="478" spans="1:17" x14ac:dyDescent="0.35">
      <c r="A478" s="811" t="s">
        <v>1622</v>
      </c>
      <c r="B478" s="811" t="s">
        <v>2224</v>
      </c>
      <c r="C478" s="812">
        <v>42745500</v>
      </c>
      <c r="D478" s="811" t="s">
        <v>1424</v>
      </c>
      <c r="E478" s="811" t="s">
        <v>1424</v>
      </c>
      <c r="F478" s="811" t="s">
        <v>1671</v>
      </c>
      <c r="G478" s="811" t="s">
        <v>1625</v>
      </c>
      <c r="H478" s="811" t="s">
        <v>1626</v>
      </c>
      <c r="I478" s="811" t="s">
        <v>1627</v>
      </c>
      <c r="J478" s="813">
        <v>42745500</v>
      </c>
      <c r="K478" s="811" t="s">
        <v>1628</v>
      </c>
      <c r="L478" s="811" t="s">
        <v>1210</v>
      </c>
      <c r="M478" s="811" t="s">
        <v>1608</v>
      </c>
      <c r="N478" s="811" t="s">
        <v>1608</v>
      </c>
      <c r="O478" s="811" t="s">
        <v>1672</v>
      </c>
      <c r="P478" s="811" t="s">
        <v>1630</v>
      </c>
      <c r="Q478" s="811" t="s">
        <v>1673</v>
      </c>
    </row>
    <row r="479" spans="1:17" x14ac:dyDescent="0.35">
      <c r="A479" s="811" t="s">
        <v>1622</v>
      </c>
      <c r="B479" s="811" t="s">
        <v>2225</v>
      </c>
      <c r="C479" s="812">
        <v>26400000</v>
      </c>
      <c r="D479" s="811" t="s">
        <v>1424</v>
      </c>
      <c r="E479" s="811" t="s">
        <v>1424</v>
      </c>
      <c r="F479" s="811" t="s">
        <v>1624</v>
      </c>
      <c r="G479" s="811" t="s">
        <v>1625</v>
      </c>
      <c r="H479" s="811" t="s">
        <v>1626</v>
      </c>
      <c r="I479" s="811" t="s">
        <v>1627</v>
      </c>
      <c r="J479" s="813">
        <v>26400000</v>
      </c>
      <c r="K479" s="811" t="s">
        <v>1628</v>
      </c>
      <c r="L479" s="811" t="s">
        <v>1210</v>
      </c>
      <c r="M479" s="811" t="s">
        <v>1608</v>
      </c>
      <c r="N479" s="811" t="s">
        <v>1608</v>
      </c>
      <c r="O479" s="811" t="s">
        <v>1672</v>
      </c>
      <c r="P479" s="811" t="s">
        <v>1630</v>
      </c>
      <c r="Q479" s="811" t="s">
        <v>1673</v>
      </c>
    </row>
    <row r="480" spans="1:17" x14ac:dyDescent="0.35">
      <c r="A480" s="811" t="s">
        <v>1622</v>
      </c>
      <c r="B480" s="811" t="s">
        <v>2226</v>
      </c>
      <c r="C480" s="812">
        <v>37260000</v>
      </c>
      <c r="D480" s="811" t="s">
        <v>1420</v>
      </c>
      <c r="E480" s="811" t="s">
        <v>1420</v>
      </c>
      <c r="F480" s="811" t="s">
        <v>1624</v>
      </c>
      <c r="G480" s="811" t="s">
        <v>1625</v>
      </c>
      <c r="H480" s="811" t="s">
        <v>1626</v>
      </c>
      <c r="I480" s="811" t="s">
        <v>1627</v>
      </c>
      <c r="J480" s="813">
        <v>37260000</v>
      </c>
      <c r="K480" s="811" t="s">
        <v>1628</v>
      </c>
      <c r="L480" s="811" t="s">
        <v>1210</v>
      </c>
      <c r="M480" s="811" t="s">
        <v>1608</v>
      </c>
      <c r="N480" s="811" t="s">
        <v>1608</v>
      </c>
      <c r="O480" s="811" t="s">
        <v>1672</v>
      </c>
      <c r="P480" s="811" t="s">
        <v>1630</v>
      </c>
      <c r="Q480" s="811" t="s">
        <v>1673</v>
      </c>
    </row>
    <row r="481" spans="1:17" x14ac:dyDescent="0.35">
      <c r="A481" s="811" t="s">
        <v>1622</v>
      </c>
      <c r="B481" s="811" t="s">
        <v>2227</v>
      </c>
      <c r="C481" s="812">
        <v>23287500</v>
      </c>
      <c r="D481" s="811" t="s">
        <v>1414</v>
      </c>
      <c r="E481" s="811" t="s">
        <v>1414</v>
      </c>
      <c r="F481" s="811" t="s">
        <v>1639</v>
      </c>
      <c r="G481" s="811" t="s">
        <v>1625</v>
      </c>
      <c r="H481" s="811" t="s">
        <v>1626</v>
      </c>
      <c r="I481" s="811" t="s">
        <v>1627</v>
      </c>
      <c r="J481" s="813">
        <v>23287500</v>
      </c>
      <c r="K481" s="811" t="s">
        <v>1628</v>
      </c>
      <c r="L481" s="811" t="s">
        <v>1210</v>
      </c>
      <c r="M481" s="811" t="s">
        <v>1608</v>
      </c>
      <c r="N481" s="811" t="s">
        <v>1608</v>
      </c>
      <c r="O481" s="811" t="s">
        <v>1672</v>
      </c>
      <c r="P481" s="811" t="s">
        <v>1630</v>
      </c>
      <c r="Q481" s="811" t="s">
        <v>1673</v>
      </c>
    </row>
    <row r="482" spans="1:17" x14ac:dyDescent="0.35">
      <c r="A482" s="811" t="s">
        <v>1622</v>
      </c>
      <c r="B482" s="811" t="s">
        <v>2228</v>
      </c>
      <c r="C482" s="812">
        <v>72000000</v>
      </c>
      <c r="D482" s="811" t="s">
        <v>1420</v>
      </c>
      <c r="E482" s="811" t="s">
        <v>1420</v>
      </c>
      <c r="F482" s="811" t="s">
        <v>1639</v>
      </c>
      <c r="G482" s="811" t="s">
        <v>1625</v>
      </c>
      <c r="H482" s="811" t="s">
        <v>1626</v>
      </c>
      <c r="I482" s="811" t="s">
        <v>1627</v>
      </c>
      <c r="J482" s="813">
        <v>72000000</v>
      </c>
      <c r="K482" s="811" t="s">
        <v>1628</v>
      </c>
      <c r="L482" s="811" t="s">
        <v>1210</v>
      </c>
      <c r="M482" s="811" t="s">
        <v>1608</v>
      </c>
      <c r="N482" s="811" t="s">
        <v>1608</v>
      </c>
      <c r="O482" s="811" t="s">
        <v>1654</v>
      </c>
      <c r="P482" s="811" t="s">
        <v>1630</v>
      </c>
      <c r="Q482" s="811" t="s">
        <v>1655</v>
      </c>
    </row>
    <row r="483" spans="1:17" x14ac:dyDescent="0.35">
      <c r="A483" s="811" t="s">
        <v>1622</v>
      </c>
      <c r="B483" s="811" t="s">
        <v>2229</v>
      </c>
      <c r="C483" s="812">
        <v>78750000</v>
      </c>
      <c r="D483" s="811" t="s">
        <v>1420</v>
      </c>
      <c r="E483" s="811" t="s">
        <v>1420</v>
      </c>
      <c r="F483" s="811" t="s">
        <v>1639</v>
      </c>
      <c r="G483" s="811" t="s">
        <v>1625</v>
      </c>
      <c r="H483" s="811" t="s">
        <v>1626</v>
      </c>
      <c r="I483" s="811" t="s">
        <v>1627</v>
      </c>
      <c r="J483" s="813">
        <v>78750000</v>
      </c>
      <c r="K483" s="811" t="s">
        <v>1628</v>
      </c>
      <c r="L483" s="811" t="s">
        <v>1210</v>
      </c>
      <c r="M483" s="811" t="s">
        <v>1608</v>
      </c>
      <c r="N483" s="811" t="s">
        <v>1608</v>
      </c>
      <c r="O483" s="811" t="s">
        <v>1654</v>
      </c>
      <c r="P483" s="811" t="s">
        <v>1630</v>
      </c>
      <c r="Q483" s="811" t="s">
        <v>1655</v>
      </c>
    </row>
    <row r="484" spans="1:17" x14ac:dyDescent="0.35">
      <c r="A484" s="811" t="s">
        <v>1622</v>
      </c>
      <c r="B484" s="811" t="s">
        <v>2230</v>
      </c>
      <c r="C484" s="812">
        <v>36000000</v>
      </c>
      <c r="D484" s="811" t="s">
        <v>1420</v>
      </c>
      <c r="E484" s="811" t="s">
        <v>1420</v>
      </c>
      <c r="F484" s="811" t="s">
        <v>1639</v>
      </c>
      <c r="G484" s="811" t="s">
        <v>1625</v>
      </c>
      <c r="H484" s="811" t="s">
        <v>1626</v>
      </c>
      <c r="I484" s="811" t="s">
        <v>1627</v>
      </c>
      <c r="J484" s="813">
        <v>36000000</v>
      </c>
      <c r="K484" s="811" t="s">
        <v>1628</v>
      </c>
      <c r="L484" s="811" t="s">
        <v>1210</v>
      </c>
      <c r="M484" s="811" t="s">
        <v>1608</v>
      </c>
      <c r="N484" s="811" t="s">
        <v>1608</v>
      </c>
      <c r="O484" s="811" t="s">
        <v>1654</v>
      </c>
      <c r="P484" s="811" t="s">
        <v>1630</v>
      </c>
      <c r="Q484" s="811" t="s">
        <v>1655</v>
      </c>
    </row>
    <row r="485" spans="1:17" x14ac:dyDescent="0.35">
      <c r="A485" s="811" t="s">
        <v>1622</v>
      </c>
      <c r="B485" s="811" t="s">
        <v>2231</v>
      </c>
      <c r="C485" s="812">
        <v>31706748</v>
      </c>
      <c r="D485" s="811" t="s">
        <v>1420</v>
      </c>
      <c r="E485" s="811" t="s">
        <v>1420</v>
      </c>
      <c r="F485" s="811" t="s">
        <v>1639</v>
      </c>
      <c r="G485" s="811" t="s">
        <v>1625</v>
      </c>
      <c r="H485" s="811" t="s">
        <v>1626</v>
      </c>
      <c r="I485" s="811" t="s">
        <v>1627</v>
      </c>
      <c r="J485" s="813">
        <v>31706748</v>
      </c>
      <c r="K485" s="811" t="s">
        <v>1628</v>
      </c>
      <c r="L485" s="811" t="s">
        <v>1210</v>
      </c>
      <c r="M485" s="811" t="s">
        <v>1608</v>
      </c>
      <c r="N485" s="811" t="s">
        <v>1608</v>
      </c>
      <c r="O485" s="811" t="s">
        <v>1654</v>
      </c>
      <c r="P485" s="811" t="s">
        <v>1630</v>
      </c>
      <c r="Q485" s="811" t="s">
        <v>1655</v>
      </c>
    </row>
    <row r="486" spans="1:17" x14ac:dyDescent="0.35">
      <c r="A486" s="811" t="s">
        <v>1622</v>
      </c>
      <c r="B486" s="811" t="s">
        <v>2232</v>
      </c>
      <c r="C486" s="812">
        <v>45000000</v>
      </c>
      <c r="D486" s="811" t="s">
        <v>1420</v>
      </c>
      <c r="E486" s="811" t="s">
        <v>1420</v>
      </c>
      <c r="F486" s="811" t="s">
        <v>1639</v>
      </c>
      <c r="G486" s="811" t="s">
        <v>1625</v>
      </c>
      <c r="H486" s="811" t="s">
        <v>1626</v>
      </c>
      <c r="I486" s="811" t="s">
        <v>1627</v>
      </c>
      <c r="J486" s="813">
        <v>45000000</v>
      </c>
      <c r="K486" s="811" t="s">
        <v>1628</v>
      </c>
      <c r="L486" s="811" t="s">
        <v>1210</v>
      </c>
      <c r="M486" s="811" t="s">
        <v>1608</v>
      </c>
      <c r="N486" s="811" t="s">
        <v>1608</v>
      </c>
      <c r="O486" s="811" t="s">
        <v>1654</v>
      </c>
      <c r="P486" s="811" t="s">
        <v>1630</v>
      </c>
      <c r="Q486" s="811" t="s">
        <v>1655</v>
      </c>
    </row>
    <row r="487" spans="1:17" x14ac:dyDescent="0.35">
      <c r="A487" s="811" t="s">
        <v>1622</v>
      </c>
      <c r="B487" s="811" t="s">
        <v>2233</v>
      </c>
      <c r="C487" s="812">
        <v>55000000</v>
      </c>
      <c r="D487" s="811" t="s">
        <v>1414</v>
      </c>
      <c r="E487" s="811" t="s">
        <v>1414</v>
      </c>
      <c r="F487" s="811" t="s">
        <v>1662</v>
      </c>
      <c r="G487" s="811" t="s">
        <v>1625</v>
      </c>
      <c r="H487" s="811" t="s">
        <v>1626</v>
      </c>
      <c r="I487" s="811" t="s">
        <v>1627</v>
      </c>
      <c r="J487" s="813">
        <v>55000000</v>
      </c>
      <c r="K487" s="811" t="s">
        <v>1628</v>
      </c>
      <c r="L487" s="811" t="s">
        <v>1210</v>
      </c>
      <c r="M487" s="811" t="s">
        <v>1608</v>
      </c>
      <c r="N487" s="811" t="s">
        <v>1608</v>
      </c>
      <c r="O487" s="811" t="s">
        <v>1654</v>
      </c>
      <c r="P487" s="811" t="s">
        <v>1630</v>
      </c>
      <c r="Q487" s="811" t="s">
        <v>1655</v>
      </c>
    </row>
    <row r="488" spans="1:17" x14ac:dyDescent="0.35">
      <c r="A488" s="811" t="s">
        <v>1622</v>
      </c>
      <c r="B488" s="811" t="s">
        <v>2234</v>
      </c>
      <c r="C488" s="812">
        <v>36000000</v>
      </c>
      <c r="D488" s="811" t="s">
        <v>1420</v>
      </c>
      <c r="E488" s="811" t="s">
        <v>1420</v>
      </c>
      <c r="F488" s="811" t="s">
        <v>1639</v>
      </c>
      <c r="G488" s="811" t="s">
        <v>1625</v>
      </c>
      <c r="H488" s="811" t="s">
        <v>1626</v>
      </c>
      <c r="I488" s="811" t="s">
        <v>1627</v>
      </c>
      <c r="J488" s="813">
        <v>36000000</v>
      </c>
      <c r="K488" s="811" t="s">
        <v>1628</v>
      </c>
      <c r="L488" s="811" t="s">
        <v>1210</v>
      </c>
      <c r="M488" s="811" t="s">
        <v>1608</v>
      </c>
      <c r="N488" s="811" t="s">
        <v>1608</v>
      </c>
      <c r="O488" s="811" t="s">
        <v>1654</v>
      </c>
      <c r="P488" s="811" t="s">
        <v>1630</v>
      </c>
      <c r="Q488" s="811" t="s">
        <v>1655</v>
      </c>
    </row>
    <row r="489" spans="1:17" x14ac:dyDescent="0.35">
      <c r="A489" s="811" t="s">
        <v>1622</v>
      </c>
      <c r="B489" s="811" t="s">
        <v>2235</v>
      </c>
      <c r="C489" s="812">
        <v>55800000</v>
      </c>
      <c r="D489" s="811" t="s">
        <v>1420</v>
      </c>
      <c r="E489" s="811" t="s">
        <v>1420</v>
      </c>
      <c r="F489" s="811" t="s">
        <v>1639</v>
      </c>
      <c r="G489" s="811" t="s">
        <v>1625</v>
      </c>
      <c r="H489" s="811" t="s">
        <v>1626</v>
      </c>
      <c r="I489" s="811" t="s">
        <v>1627</v>
      </c>
      <c r="J489" s="813">
        <v>55800000</v>
      </c>
      <c r="K489" s="811" t="s">
        <v>1628</v>
      </c>
      <c r="L489" s="811" t="s">
        <v>1210</v>
      </c>
      <c r="M489" s="811" t="s">
        <v>1608</v>
      </c>
      <c r="N489" s="811" t="s">
        <v>1608</v>
      </c>
      <c r="O489" s="811" t="s">
        <v>1654</v>
      </c>
      <c r="P489" s="811" t="s">
        <v>1630</v>
      </c>
      <c r="Q489" s="811" t="s">
        <v>1655</v>
      </c>
    </row>
    <row r="490" spans="1:17" x14ac:dyDescent="0.35">
      <c r="A490" s="811" t="s">
        <v>1622</v>
      </c>
      <c r="B490" s="811" t="s">
        <v>2236</v>
      </c>
      <c r="C490" s="812">
        <v>82500000</v>
      </c>
      <c r="D490" s="811" t="s">
        <v>1414</v>
      </c>
      <c r="E490" s="811" t="s">
        <v>1414</v>
      </c>
      <c r="F490" s="811" t="s">
        <v>1662</v>
      </c>
      <c r="G490" s="811" t="s">
        <v>1625</v>
      </c>
      <c r="H490" s="811" t="s">
        <v>1626</v>
      </c>
      <c r="I490" s="811" t="s">
        <v>1627</v>
      </c>
      <c r="J490" s="813">
        <v>82500000</v>
      </c>
      <c r="K490" s="811" t="s">
        <v>1628</v>
      </c>
      <c r="L490" s="811" t="s">
        <v>1210</v>
      </c>
      <c r="M490" s="811" t="s">
        <v>1608</v>
      </c>
      <c r="N490" s="811" t="s">
        <v>1608</v>
      </c>
      <c r="O490" s="811" t="s">
        <v>1654</v>
      </c>
      <c r="P490" s="811" t="s">
        <v>1630</v>
      </c>
      <c r="Q490" s="811" t="s">
        <v>1655</v>
      </c>
    </row>
    <row r="491" spans="1:17" x14ac:dyDescent="0.35">
      <c r="A491" s="811" t="s">
        <v>1622</v>
      </c>
      <c r="B491" s="811" t="s">
        <v>2237</v>
      </c>
      <c r="C491" s="812">
        <v>85500000</v>
      </c>
      <c r="D491" s="811" t="s">
        <v>1420</v>
      </c>
      <c r="E491" s="811" t="s">
        <v>1420</v>
      </c>
      <c r="F491" s="811" t="s">
        <v>1639</v>
      </c>
      <c r="G491" s="811" t="s">
        <v>1625</v>
      </c>
      <c r="H491" s="811" t="s">
        <v>1626</v>
      </c>
      <c r="I491" s="811" t="s">
        <v>1627</v>
      </c>
      <c r="J491" s="813">
        <v>85500000</v>
      </c>
      <c r="K491" s="811" t="s">
        <v>1628</v>
      </c>
      <c r="L491" s="811" t="s">
        <v>1210</v>
      </c>
      <c r="M491" s="811" t="s">
        <v>1608</v>
      </c>
      <c r="N491" s="811" t="s">
        <v>1608</v>
      </c>
      <c r="O491" s="811" t="s">
        <v>1654</v>
      </c>
      <c r="P491" s="811" t="s">
        <v>1630</v>
      </c>
      <c r="Q491" s="811" t="s">
        <v>1655</v>
      </c>
    </row>
    <row r="492" spans="1:17" x14ac:dyDescent="0.35">
      <c r="A492" s="811" t="s">
        <v>1622</v>
      </c>
      <c r="B492" s="811" t="s">
        <v>2238</v>
      </c>
      <c r="C492" s="812">
        <v>24300000</v>
      </c>
      <c r="D492" s="811" t="s">
        <v>1420</v>
      </c>
      <c r="E492" s="811" t="s">
        <v>1420</v>
      </c>
      <c r="F492" s="811" t="s">
        <v>1639</v>
      </c>
      <c r="G492" s="811" t="s">
        <v>1625</v>
      </c>
      <c r="H492" s="811" t="s">
        <v>1626</v>
      </c>
      <c r="I492" s="811" t="s">
        <v>1627</v>
      </c>
      <c r="J492" s="813">
        <v>24300000</v>
      </c>
      <c r="K492" s="811" t="s">
        <v>1628</v>
      </c>
      <c r="L492" s="811" t="s">
        <v>1210</v>
      </c>
      <c r="M492" s="811" t="s">
        <v>1608</v>
      </c>
      <c r="N492" s="811" t="s">
        <v>1608</v>
      </c>
      <c r="O492" s="811" t="s">
        <v>1654</v>
      </c>
      <c r="P492" s="811" t="s">
        <v>1630</v>
      </c>
      <c r="Q492" s="811" t="s">
        <v>1655</v>
      </c>
    </row>
    <row r="493" spans="1:17" x14ac:dyDescent="0.35">
      <c r="A493" s="811" t="s">
        <v>1622</v>
      </c>
      <c r="B493" s="811" t="s">
        <v>2239</v>
      </c>
      <c r="C493" s="812">
        <v>73800000</v>
      </c>
      <c r="D493" s="811" t="s">
        <v>1420</v>
      </c>
      <c r="E493" s="811" t="s">
        <v>1420</v>
      </c>
      <c r="F493" s="811" t="s">
        <v>1639</v>
      </c>
      <c r="G493" s="811" t="s">
        <v>1625</v>
      </c>
      <c r="H493" s="811" t="s">
        <v>1626</v>
      </c>
      <c r="I493" s="811" t="s">
        <v>1627</v>
      </c>
      <c r="J493" s="813">
        <v>73800000</v>
      </c>
      <c r="K493" s="811" t="s">
        <v>1628</v>
      </c>
      <c r="L493" s="811" t="s">
        <v>1210</v>
      </c>
      <c r="M493" s="811" t="s">
        <v>1608</v>
      </c>
      <c r="N493" s="811" t="s">
        <v>1608</v>
      </c>
      <c r="O493" s="811" t="s">
        <v>1654</v>
      </c>
      <c r="P493" s="811" t="s">
        <v>1630</v>
      </c>
      <c r="Q493" s="811" t="s">
        <v>1655</v>
      </c>
    </row>
    <row r="494" spans="1:17" x14ac:dyDescent="0.35">
      <c r="A494" s="811" t="s">
        <v>1622</v>
      </c>
      <c r="B494" s="811" t="s">
        <v>2240</v>
      </c>
      <c r="C494" s="812">
        <v>81000000</v>
      </c>
      <c r="D494" s="811" t="s">
        <v>1420</v>
      </c>
      <c r="E494" s="811" t="s">
        <v>1420</v>
      </c>
      <c r="F494" s="811" t="s">
        <v>1639</v>
      </c>
      <c r="G494" s="811" t="s">
        <v>1625</v>
      </c>
      <c r="H494" s="811" t="s">
        <v>1626</v>
      </c>
      <c r="I494" s="811" t="s">
        <v>1627</v>
      </c>
      <c r="J494" s="813">
        <v>81000000</v>
      </c>
      <c r="K494" s="811" t="s">
        <v>1628</v>
      </c>
      <c r="L494" s="811" t="s">
        <v>1210</v>
      </c>
      <c r="M494" s="811" t="s">
        <v>1608</v>
      </c>
      <c r="N494" s="811" t="s">
        <v>1608</v>
      </c>
      <c r="O494" s="811" t="s">
        <v>1654</v>
      </c>
      <c r="P494" s="811" t="s">
        <v>1630</v>
      </c>
      <c r="Q494" s="811" t="s">
        <v>1655</v>
      </c>
    </row>
    <row r="495" spans="1:17" x14ac:dyDescent="0.35">
      <c r="A495" s="811" t="s">
        <v>1622</v>
      </c>
      <c r="B495" s="811" t="s">
        <v>2241</v>
      </c>
      <c r="C495" s="812">
        <v>64800000</v>
      </c>
      <c r="D495" s="811" t="s">
        <v>1420</v>
      </c>
      <c r="E495" s="811" t="s">
        <v>1420</v>
      </c>
      <c r="F495" s="811" t="s">
        <v>1639</v>
      </c>
      <c r="G495" s="811" t="s">
        <v>1625</v>
      </c>
      <c r="H495" s="811" t="s">
        <v>1626</v>
      </c>
      <c r="I495" s="811" t="s">
        <v>1627</v>
      </c>
      <c r="J495" s="813">
        <v>64800000</v>
      </c>
      <c r="K495" s="811" t="s">
        <v>1628</v>
      </c>
      <c r="L495" s="811" t="s">
        <v>1210</v>
      </c>
      <c r="M495" s="811" t="s">
        <v>1608</v>
      </c>
      <c r="N495" s="811" t="s">
        <v>1608</v>
      </c>
      <c r="O495" s="811" t="s">
        <v>1654</v>
      </c>
      <c r="P495" s="811" t="s">
        <v>1630</v>
      </c>
      <c r="Q495" s="811" t="s">
        <v>1655</v>
      </c>
    </row>
    <row r="496" spans="1:17" x14ac:dyDescent="0.35">
      <c r="A496" s="811" t="s">
        <v>1622</v>
      </c>
      <c r="B496" s="811" t="s">
        <v>2242</v>
      </c>
      <c r="C496" s="812">
        <v>46350000</v>
      </c>
      <c r="D496" s="811" t="s">
        <v>1420</v>
      </c>
      <c r="E496" s="811" t="s">
        <v>1420</v>
      </c>
      <c r="F496" s="811" t="s">
        <v>1639</v>
      </c>
      <c r="G496" s="811" t="s">
        <v>1625</v>
      </c>
      <c r="H496" s="811" t="s">
        <v>1626</v>
      </c>
      <c r="I496" s="811" t="s">
        <v>1627</v>
      </c>
      <c r="J496" s="813">
        <v>46350000</v>
      </c>
      <c r="K496" s="811" t="s">
        <v>1628</v>
      </c>
      <c r="L496" s="811" t="s">
        <v>1210</v>
      </c>
      <c r="M496" s="811" t="s">
        <v>1608</v>
      </c>
      <c r="N496" s="811" t="s">
        <v>1608</v>
      </c>
      <c r="O496" s="811" t="s">
        <v>1654</v>
      </c>
      <c r="P496" s="811" t="s">
        <v>1630</v>
      </c>
      <c r="Q496" s="811" t="s">
        <v>1655</v>
      </c>
    </row>
    <row r="497" spans="1:17" x14ac:dyDescent="0.35">
      <c r="A497" s="811" t="s">
        <v>1622</v>
      </c>
      <c r="B497" s="811" t="s">
        <v>2243</v>
      </c>
      <c r="C497" s="812">
        <v>64800000</v>
      </c>
      <c r="D497" s="811" t="s">
        <v>1420</v>
      </c>
      <c r="E497" s="811" t="s">
        <v>1420</v>
      </c>
      <c r="F497" s="811" t="s">
        <v>1639</v>
      </c>
      <c r="G497" s="811" t="s">
        <v>1625</v>
      </c>
      <c r="H497" s="811" t="s">
        <v>1626</v>
      </c>
      <c r="I497" s="811" t="s">
        <v>1627</v>
      </c>
      <c r="J497" s="813">
        <v>64800000</v>
      </c>
      <c r="K497" s="811" t="s">
        <v>1628</v>
      </c>
      <c r="L497" s="811" t="s">
        <v>1210</v>
      </c>
      <c r="M497" s="811" t="s">
        <v>1608</v>
      </c>
      <c r="N497" s="811" t="s">
        <v>1608</v>
      </c>
      <c r="O497" s="811" t="s">
        <v>1654</v>
      </c>
      <c r="P497" s="811" t="s">
        <v>1630</v>
      </c>
      <c r="Q497" s="811" t="s">
        <v>1655</v>
      </c>
    </row>
    <row r="498" spans="1:17" x14ac:dyDescent="0.35">
      <c r="A498" s="811" t="s">
        <v>1622</v>
      </c>
      <c r="B498" s="811" t="s">
        <v>2244</v>
      </c>
      <c r="C498" s="812">
        <v>96000000</v>
      </c>
      <c r="D498" s="811" t="s">
        <v>1515</v>
      </c>
      <c r="E498" s="811" t="s">
        <v>1515</v>
      </c>
      <c r="F498" s="811" t="s">
        <v>1624</v>
      </c>
      <c r="G498" s="811" t="s">
        <v>1625</v>
      </c>
      <c r="H498" s="811" t="s">
        <v>1626</v>
      </c>
      <c r="I498" s="811" t="s">
        <v>1627</v>
      </c>
      <c r="J498" s="813">
        <v>96000000</v>
      </c>
      <c r="K498" s="811" t="s">
        <v>1628</v>
      </c>
      <c r="L498" s="811" t="s">
        <v>1210</v>
      </c>
      <c r="M498" s="811" t="s">
        <v>1608</v>
      </c>
      <c r="N498" s="811" t="s">
        <v>1608</v>
      </c>
      <c r="O498" s="811" t="s">
        <v>1654</v>
      </c>
      <c r="P498" s="811" t="s">
        <v>1630</v>
      </c>
      <c r="Q498" s="811" t="s">
        <v>1655</v>
      </c>
    </row>
    <row r="499" spans="1:17" x14ac:dyDescent="0.35">
      <c r="A499" s="811" t="s">
        <v>1622</v>
      </c>
      <c r="B499" s="811" t="s">
        <v>2245</v>
      </c>
      <c r="C499" s="812">
        <v>36000000</v>
      </c>
      <c r="D499" s="811" t="s">
        <v>1420</v>
      </c>
      <c r="E499" s="811" t="s">
        <v>1420</v>
      </c>
      <c r="F499" s="811" t="s">
        <v>1639</v>
      </c>
      <c r="G499" s="811" t="s">
        <v>1625</v>
      </c>
      <c r="H499" s="811" t="s">
        <v>1626</v>
      </c>
      <c r="I499" s="811" t="s">
        <v>1627</v>
      </c>
      <c r="J499" s="813">
        <v>36000000</v>
      </c>
      <c r="K499" s="811" t="s">
        <v>1628</v>
      </c>
      <c r="L499" s="811" t="s">
        <v>1210</v>
      </c>
      <c r="M499" s="811" t="s">
        <v>1608</v>
      </c>
      <c r="N499" s="811" t="s">
        <v>1608</v>
      </c>
      <c r="O499" s="811" t="s">
        <v>1654</v>
      </c>
      <c r="P499" s="811" t="s">
        <v>1630</v>
      </c>
      <c r="Q499" s="811" t="s">
        <v>1655</v>
      </c>
    </row>
    <row r="500" spans="1:17" x14ac:dyDescent="0.35">
      <c r="A500" s="811" t="s">
        <v>2246</v>
      </c>
      <c r="B500" s="811" t="s">
        <v>2247</v>
      </c>
      <c r="C500" s="812">
        <v>100000000</v>
      </c>
      <c r="D500" s="811" t="s">
        <v>1428</v>
      </c>
      <c r="E500" s="811" t="s">
        <v>1428</v>
      </c>
      <c r="F500" s="811" t="s">
        <v>1635</v>
      </c>
      <c r="G500" s="811" t="s">
        <v>1625</v>
      </c>
      <c r="H500" s="811" t="s">
        <v>1713</v>
      </c>
      <c r="I500" s="811" t="s">
        <v>1627</v>
      </c>
      <c r="J500" s="813">
        <v>100000000</v>
      </c>
      <c r="K500" s="811" t="s">
        <v>1628</v>
      </c>
      <c r="L500" s="811" t="s">
        <v>1210</v>
      </c>
      <c r="M500" s="811" t="s">
        <v>1608</v>
      </c>
      <c r="N500" s="811" t="s">
        <v>1608</v>
      </c>
      <c r="O500" s="811" t="s">
        <v>432</v>
      </c>
      <c r="P500" s="811" t="s">
        <v>1630</v>
      </c>
      <c r="Q500" s="811" t="s">
        <v>1637</v>
      </c>
    </row>
    <row r="501" spans="1:17" x14ac:dyDescent="0.35">
      <c r="A501" s="811" t="s">
        <v>2248</v>
      </c>
      <c r="B501" s="811" t="s">
        <v>2249</v>
      </c>
      <c r="C501" s="812">
        <v>59000000</v>
      </c>
      <c r="D501" s="811" t="s">
        <v>1429</v>
      </c>
      <c r="E501" s="811" t="s">
        <v>1429</v>
      </c>
      <c r="F501" s="811" t="s">
        <v>1972</v>
      </c>
      <c r="G501" s="811" t="s">
        <v>1625</v>
      </c>
      <c r="H501" s="811" t="s">
        <v>1550</v>
      </c>
      <c r="I501" s="811" t="s">
        <v>1627</v>
      </c>
      <c r="J501" s="813">
        <v>59000000</v>
      </c>
      <c r="K501" s="811" t="s">
        <v>1628</v>
      </c>
      <c r="L501" s="811" t="s">
        <v>1210</v>
      </c>
      <c r="M501" s="811" t="s">
        <v>1608</v>
      </c>
      <c r="N501" s="811" t="s">
        <v>1608</v>
      </c>
      <c r="O501" s="811" t="s">
        <v>432</v>
      </c>
      <c r="P501" s="811" t="s">
        <v>1630</v>
      </c>
      <c r="Q501" s="811" t="s">
        <v>1637</v>
      </c>
    </row>
    <row r="502" spans="1:17" x14ac:dyDescent="0.35">
      <c r="A502" s="811" t="s">
        <v>1622</v>
      </c>
      <c r="B502" s="811" t="s">
        <v>2250</v>
      </c>
      <c r="C502" s="812">
        <v>15000000</v>
      </c>
      <c r="D502" s="811" t="s">
        <v>1445</v>
      </c>
      <c r="E502" s="811" t="s">
        <v>1445</v>
      </c>
      <c r="F502" s="811" t="s">
        <v>1712</v>
      </c>
      <c r="G502" s="811" t="s">
        <v>1625</v>
      </c>
      <c r="H502" s="811" t="s">
        <v>1626</v>
      </c>
      <c r="I502" s="811" t="s">
        <v>1627</v>
      </c>
      <c r="J502" s="813">
        <v>15000000</v>
      </c>
      <c r="K502" s="811" t="s">
        <v>1628</v>
      </c>
      <c r="L502" s="811" t="s">
        <v>1210</v>
      </c>
      <c r="M502" s="811" t="s">
        <v>1608</v>
      </c>
      <c r="N502" s="811" t="s">
        <v>1608</v>
      </c>
      <c r="O502" s="811" t="s">
        <v>2251</v>
      </c>
      <c r="P502" s="811" t="s">
        <v>1630</v>
      </c>
      <c r="Q502" s="811" t="s">
        <v>2094</v>
      </c>
    </row>
    <row r="503" spans="1:17" x14ac:dyDescent="0.35">
      <c r="A503" s="811" t="s">
        <v>1622</v>
      </c>
      <c r="B503" s="811" t="s">
        <v>2252</v>
      </c>
      <c r="C503" s="812">
        <v>22500000</v>
      </c>
      <c r="D503" s="811" t="s">
        <v>1429</v>
      </c>
      <c r="E503" s="811" t="s">
        <v>1429</v>
      </c>
      <c r="F503" s="811" t="s">
        <v>1712</v>
      </c>
      <c r="G503" s="811" t="s">
        <v>1625</v>
      </c>
      <c r="H503" s="811" t="s">
        <v>1626</v>
      </c>
      <c r="I503" s="811" t="s">
        <v>1627</v>
      </c>
      <c r="J503" s="813">
        <v>22500000</v>
      </c>
      <c r="K503" s="811" t="s">
        <v>1628</v>
      </c>
      <c r="L503" s="811" t="s">
        <v>1210</v>
      </c>
      <c r="M503" s="811" t="s">
        <v>1608</v>
      </c>
      <c r="N503" s="811" t="s">
        <v>1608</v>
      </c>
      <c r="O503" s="811" t="s">
        <v>2251</v>
      </c>
      <c r="P503" s="811" t="s">
        <v>1630</v>
      </c>
      <c r="Q503" s="811" t="s">
        <v>2094</v>
      </c>
    </row>
    <row r="504" spans="1:17" x14ac:dyDescent="0.35">
      <c r="A504" s="811" t="s">
        <v>2253</v>
      </c>
      <c r="B504" s="811" t="s">
        <v>2254</v>
      </c>
      <c r="C504" s="812">
        <v>400000000</v>
      </c>
      <c r="D504" s="811" t="s">
        <v>1445</v>
      </c>
      <c r="E504" s="811" t="s">
        <v>1445</v>
      </c>
      <c r="F504" s="811" t="s">
        <v>1972</v>
      </c>
      <c r="G504" s="811" t="s">
        <v>1625</v>
      </c>
      <c r="H504" s="811" t="s">
        <v>1701</v>
      </c>
      <c r="I504" s="811" t="s">
        <v>1627</v>
      </c>
      <c r="J504" s="813">
        <v>400000000</v>
      </c>
      <c r="K504" s="811" t="s">
        <v>1628</v>
      </c>
      <c r="L504" s="811" t="s">
        <v>1210</v>
      </c>
      <c r="M504" s="811" t="s">
        <v>1608</v>
      </c>
      <c r="N504" s="811" t="s">
        <v>1608</v>
      </c>
      <c r="O504" s="811" t="s">
        <v>1629</v>
      </c>
      <c r="P504" s="811" t="s">
        <v>1630</v>
      </c>
      <c r="Q504" s="811" t="s">
        <v>1631</v>
      </c>
    </row>
    <row r="505" spans="1:17" x14ac:dyDescent="0.35">
      <c r="A505" s="811" t="s">
        <v>1622</v>
      </c>
      <c r="B505" s="811" t="s">
        <v>2255</v>
      </c>
      <c r="C505" s="812">
        <v>45100000</v>
      </c>
      <c r="D505" s="811" t="s">
        <v>1429</v>
      </c>
      <c r="E505" s="811" t="s">
        <v>1429</v>
      </c>
      <c r="F505" s="811" t="s">
        <v>1635</v>
      </c>
      <c r="G505" s="811" t="s">
        <v>1625</v>
      </c>
      <c r="H505" s="811" t="s">
        <v>1626</v>
      </c>
      <c r="I505" s="811" t="s">
        <v>1627</v>
      </c>
      <c r="J505" s="813">
        <v>45100000</v>
      </c>
      <c r="K505" s="811" t="s">
        <v>1628</v>
      </c>
      <c r="L505" s="811" t="s">
        <v>1210</v>
      </c>
      <c r="M505" s="811" t="s">
        <v>1608</v>
      </c>
      <c r="N505" s="811" t="s">
        <v>1608</v>
      </c>
      <c r="O505" s="811" t="s">
        <v>1640</v>
      </c>
      <c r="P505" s="811" t="s">
        <v>1630</v>
      </c>
      <c r="Q505" s="811" t="s">
        <v>1641</v>
      </c>
    </row>
    <row r="506" spans="1:17" x14ac:dyDescent="0.35">
      <c r="A506" s="811" t="s">
        <v>1622</v>
      </c>
      <c r="B506" s="811" t="s">
        <v>2256</v>
      </c>
      <c r="C506" s="812">
        <v>27500000</v>
      </c>
      <c r="D506" s="811" t="s">
        <v>1429</v>
      </c>
      <c r="E506" s="811" t="s">
        <v>1429</v>
      </c>
      <c r="F506" s="811" t="s">
        <v>1635</v>
      </c>
      <c r="G506" s="811" t="s">
        <v>1625</v>
      </c>
      <c r="H506" s="811" t="s">
        <v>1626</v>
      </c>
      <c r="I506" s="811" t="s">
        <v>1627</v>
      </c>
      <c r="J506" s="813">
        <v>27500000</v>
      </c>
      <c r="K506" s="811" t="s">
        <v>1628</v>
      </c>
      <c r="L506" s="811" t="s">
        <v>1210</v>
      </c>
      <c r="M506" s="811" t="s">
        <v>1608</v>
      </c>
      <c r="N506" s="811" t="s">
        <v>1608</v>
      </c>
      <c r="O506" s="811" t="s">
        <v>1640</v>
      </c>
      <c r="P506" s="811" t="s">
        <v>1630</v>
      </c>
      <c r="Q506" s="811" t="s">
        <v>1641</v>
      </c>
    </row>
    <row r="507" spans="1:17" x14ac:dyDescent="0.35">
      <c r="A507" s="811" t="s">
        <v>1622</v>
      </c>
      <c r="B507" s="811" t="s">
        <v>2257</v>
      </c>
      <c r="C507" s="812">
        <v>23162500</v>
      </c>
      <c r="D507" s="811" t="s">
        <v>1429</v>
      </c>
      <c r="E507" s="811" t="s">
        <v>1429</v>
      </c>
      <c r="F507" s="811" t="s">
        <v>1635</v>
      </c>
      <c r="G507" s="811" t="s">
        <v>1625</v>
      </c>
      <c r="H507" s="811" t="s">
        <v>1626</v>
      </c>
      <c r="I507" s="811" t="s">
        <v>1627</v>
      </c>
      <c r="J507" s="813">
        <v>23162500</v>
      </c>
      <c r="K507" s="811" t="s">
        <v>1628</v>
      </c>
      <c r="L507" s="811" t="s">
        <v>1210</v>
      </c>
      <c r="M507" s="811" t="s">
        <v>1608</v>
      </c>
      <c r="N507" s="811" t="s">
        <v>1608</v>
      </c>
      <c r="O507" s="811" t="s">
        <v>1640</v>
      </c>
      <c r="P507" s="811" t="s">
        <v>1630</v>
      </c>
      <c r="Q507" s="811" t="s">
        <v>1641</v>
      </c>
    </row>
    <row r="508" spans="1:17" x14ac:dyDescent="0.35">
      <c r="A508" s="811" t="s">
        <v>1622</v>
      </c>
      <c r="B508" s="811" t="s">
        <v>2258</v>
      </c>
      <c r="C508" s="812">
        <v>23162500</v>
      </c>
      <c r="D508" s="811" t="s">
        <v>1429</v>
      </c>
      <c r="E508" s="811" t="s">
        <v>1429</v>
      </c>
      <c r="F508" s="811" t="s">
        <v>1635</v>
      </c>
      <c r="G508" s="811" t="s">
        <v>1625</v>
      </c>
      <c r="H508" s="811" t="s">
        <v>1626</v>
      </c>
      <c r="I508" s="811" t="s">
        <v>1627</v>
      </c>
      <c r="J508" s="813">
        <v>23162500</v>
      </c>
      <c r="K508" s="811" t="s">
        <v>1628</v>
      </c>
      <c r="L508" s="811" t="s">
        <v>1210</v>
      </c>
      <c r="M508" s="811" t="s">
        <v>1608</v>
      </c>
      <c r="N508" s="811" t="s">
        <v>1608</v>
      </c>
      <c r="O508" s="811" t="s">
        <v>1640</v>
      </c>
      <c r="P508" s="811" t="s">
        <v>1630</v>
      </c>
      <c r="Q508" s="811" t="s">
        <v>1641</v>
      </c>
    </row>
    <row r="509" spans="1:17" x14ac:dyDescent="0.35">
      <c r="A509" s="811" t="s">
        <v>1622</v>
      </c>
      <c r="B509" s="811" t="s">
        <v>2259</v>
      </c>
      <c r="C509" s="812">
        <v>32500000</v>
      </c>
      <c r="D509" s="811" t="s">
        <v>1429</v>
      </c>
      <c r="E509" s="811" t="s">
        <v>1429</v>
      </c>
      <c r="F509" s="811" t="s">
        <v>1712</v>
      </c>
      <c r="G509" s="811" t="s">
        <v>1625</v>
      </c>
      <c r="H509" s="811" t="s">
        <v>1626</v>
      </c>
      <c r="I509" s="811" t="s">
        <v>1627</v>
      </c>
      <c r="J509" s="813">
        <v>32500000</v>
      </c>
      <c r="K509" s="811" t="s">
        <v>1628</v>
      </c>
      <c r="L509" s="811" t="s">
        <v>1210</v>
      </c>
      <c r="M509" s="811" t="s">
        <v>1608</v>
      </c>
      <c r="N509" s="811" t="s">
        <v>1608</v>
      </c>
      <c r="O509" s="811" t="s">
        <v>1640</v>
      </c>
      <c r="P509" s="811" t="s">
        <v>1630</v>
      </c>
      <c r="Q509" s="811" t="s">
        <v>1641</v>
      </c>
    </row>
    <row r="510" spans="1:17" x14ac:dyDescent="0.35">
      <c r="A510" s="811" t="s">
        <v>1622</v>
      </c>
      <c r="B510" s="811" t="s">
        <v>2260</v>
      </c>
      <c r="C510" s="812">
        <v>22440000</v>
      </c>
      <c r="D510" s="811" t="s">
        <v>1434</v>
      </c>
      <c r="E510" s="811" t="s">
        <v>1434</v>
      </c>
      <c r="F510" s="811" t="s">
        <v>1691</v>
      </c>
      <c r="G510" s="811" t="s">
        <v>1625</v>
      </c>
      <c r="H510" s="811" t="s">
        <v>1626</v>
      </c>
      <c r="I510" s="811" t="s">
        <v>1627</v>
      </c>
      <c r="J510" s="813">
        <v>22440000</v>
      </c>
      <c r="K510" s="811" t="s">
        <v>1628</v>
      </c>
      <c r="L510" s="811" t="s">
        <v>1210</v>
      </c>
      <c r="M510" s="811" t="s">
        <v>1608</v>
      </c>
      <c r="N510" s="811" t="s">
        <v>1608</v>
      </c>
      <c r="O510" s="811" t="s">
        <v>1640</v>
      </c>
      <c r="P510" s="811" t="s">
        <v>1630</v>
      </c>
      <c r="Q510" s="811" t="s">
        <v>1641</v>
      </c>
    </row>
    <row r="511" spans="1:17" x14ac:dyDescent="0.35">
      <c r="A511" s="811" t="s">
        <v>1622</v>
      </c>
      <c r="B511" s="811" t="s">
        <v>2261</v>
      </c>
      <c r="C511" s="812">
        <v>53460000</v>
      </c>
      <c r="D511" s="811" t="s">
        <v>1424</v>
      </c>
      <c r="E511" s="811" t="s">
        <v>1424</v>
      </c>
      <c r="F511" s="811" t="s">
        <v>1662</v>
      </c>
      <c r="G511" s="811" t="s">
        <v>1625</v>
      </c>
      <c r="H511" s="811" t="s">
        <v>1626</v>
      </c>
      <c r="I511" s="811" t="s">
        <v>1627</v>
      </c>
      <c r="J511" s="813">
        <v>53460000</v>
      </c>
      <c r="K511" s="811" t="s">
        <v>1628</v>
      </c>
      <c r="L511" s="811" t="s">
        <v>1210</v>
      </c>
      <c r="M511" s="811" t="s">
        <v>1608</v>
      </c>
      <c r="N511" s="811" t="s">
        <v>1608</v>
      </c>
      <c r="O511" s="811" t="s">
        <v>1742</v>
      </c>
      <c r="P511" s="811" t="s">
        <v>1630</v>
      </c>
      <c r="Q511" s="811" t="s">
        <v>1678</v>
      </c>
    </row>
    <row r="512" spans="1:17" x14ac:dyDescent="0.35">
      <c r="A512" s="811" t="s">
        <v>1622</v>
      </c>
      <c r="B512" s="811" t="s">
        <v>2262</v>
      </c>
      <c r="C512" s="812">
        <v>31000000</v>
      </c>
      <c r="D512" s="811" t="s">
        <v>1424</v>
      </c>
      <c r="E512" s="811" t="s">
        <v>1424</v>
      </c>
      <c r="F512" s="811" t="s">
        <v>1662</v>
      </c>
      <c r="G512" s="811" t="s">
        <v>1625</v>
      </c>
      <c r="H512" s="811" t="s">
        <v>1626</v>
      </c>
      <c r="I512" s="811" t="s">
        <v>1627</v>
      </c>
      <c r="J512" s="813">
        <v>31000000</v>
      </c>
      <c r="K512" s="811" t="s">
        <v>1628</v>
      </c>
      <c r="L512" s="811" t="s">
        <v>1210</v>
      </c>
      <c r="M512" s="811" t="s">
        <v>1608</v>
      </c>
      <c r="N512" s="811" t="s">
        <v>1608</v>
      </c>
      <c r="O512" s="811" t="s">
        <v>1742</v>
      </c>
      <c r="P512" s="811" t="s">
        <v>1630</v>
      </c>
      <c r="Q512" s="811" t="s">
        <v>1678</v>
      </c>
    </row>
    <row r="513" spans="1:17" x14ac:dyDescent="0.35">
      <c r="A513" s="811" t="s">
        <v>1622</v>
      </c>
      <c r="B513" s="811" t="s">
        <v>2263</v>
      </c>
      <c r="C513" s="812">
        <v>12000000</v>
      </c>
      <c r="D513" s="811" t="s">
        <v>1424</v>
      </c>
      <c r="E513" s="811" t="s">
        <v>1424</v>
      </c>
      <c r="F513" s="811" t="s">
        <v>1691</v>
      </c>
      <c r="G513" s="811" t="s">
        <v>1625</v>
      </c>
      <c r="H513" s="811" t="s">
        <v>1626</v>
      </c>
      <c r="I513" s="811" t="s">
        <v>1627</v>
      </c>
      <c r="J513" s="813">
        <v>12000000</v>
      </c>
      <c r="K513" s="811" t="s">
        <v>1628</v>
      </c>
      <c r="L513" s="811" t="s">
        <v>1210</v>
      </c>
      <c r="M513" s="811" t="s">
        <v>1608</v>
      </c>
      <c r="N513" s="811" t="s">
        <v>1608</v>
      </c>
      <c r="O513" s="811" t="s">
        <v>1742</v>
      </c>
      <c r="P513" s="811" t="s">
        <v>1630</v>
      </c>
      <c r="Q513" s="811" t="s">
        <v>1678</v>
      </c>
    </row>
    <row r="514" spans="1:17" x14ac:dyDescent="0.35">
      <c r="A514" s="811" t="s">
        <v>1622</v>
      </c>
      <c r="B514" s="811" t="s">
        <v>2264</v>
      </c>
      <c r="C514" s="812">
        <v>27000000</v>
      </c>
      <c r="D514" s="811" t="s">
        <v>1420</v>
      </c>
      <c r="E514" s="811" t="s">
        <v>1420</v>
      </c>
      <c r="F514" s="811" t="s">
        <v>1639</v>
      </c>
      <c r="G514" s="811" t="s">
        <v>1625</v>
      </c>
      <c r="H514" s="811" t="s">
        <v>1626</v>
      </c>
      <c r="I514" s="811" t="s">
        <v>1627</v>
      </c>
      <c r="J514" s="813">
        <v>27000000</v>
      </c>
      <c r="K514" s="811" t="s">
        <v>1628</v>
      </c>
      <c r="L514" s="811" t="s">
        <v>1210</v>
      </c>
      <c r="M514" s="811" t="s">
        <v>1608</v>
      </c>
      <c r="N514" s="811" t="s">
        <v>1608</v>
      </c>
      <c r="O514" s="811" t="s">
        <v>1742</v>
      </c>
      <c r="P514" s="811" t="s">
        <v>1630</v>
      </c>
      <c r="Q514" s="811" t="s">
        <v>1678</v>
      </c>
    </row>
    <row r="515" spans="1:17" x14ac:dyDescent="0.35">
      <c r="A515" s="811" t="s">
        <v>1622</v>
      </c>
      <c r="B515" s="811" t="s">
        <v>2265</v>
      </c>
      <c r="C515" s="812">
        <v>45500000</v>
      </c>
      <c r="D515" s="811" t="s">
        <v>1428</v>
      </c>
      <c r="E515" s="811" t="s">
        <v>1428</v>
      </c>
      <c r="F515" s="811" t="s">
        <v>1671</v>
      </c>
      <c r="G515" s="811" t="s">
        <v>1625</v>
      </c>
      <c r="H515" s="811" t="s">
        <v>1626</v>
      </c>
      <c r="I515" s="811" t="s">
        <v>1627</v>
      </c>
      <c r="J515" s="813">
        <v>45500000</v>
      </c>
      <c r="K515" s="811" t="s">
        <v>1628</v>
      </c>
      <c r="L515" s="811" t="s">
        <v>1210</v>
      </c>
      <c r="M515" s="811" t="s">
        <v>1608</v>
      </c>
      <c r="N515" s="811" t="s">
        <v>1608</v>
      </c>
      <c r="O515" s="811" t="s">
        <v>1742</v>
      </c>
      <c r="P515" s="811" t="s">
        <v>1630</v>
      </c>
      <c r="Q515" s="811" t="s">
        <v>1678</v>
      </c>
    </row>
    <row r="516" spans="1:17" x14ac:dyDescent="0.35">
      <c r="A516" s="811" t="s">
        <v>1622</v>
      </c>
      <c r="B516" s="811" t="s">
        <v>2266</v>
      </c>
      <c r="C516" s="812">
        <v>80000000</v>
      </c>
      <c r="D516" s="811" t="s">
        <v>1424</v>
      </c>
      <c r="E516" s="811" t="s">
        <v>1424</v>
      </c>
      <c r="F516" s="811" t="s">
        <v>1658</v>
      </c>
      <c r="G516" s="811" t="s">
        <v>1625</v>
      </c>
      <c r="H516" s="811" t="s">
        <v>1626</v>
      </c>
      <c r="I516" s="811" t="s">
        <v>1627</v>
      </c>
      <c r="J516" s="813">
        <v>80000000</v>
      </c>
      <c r="K516" s="811" t="s">
        <v>1628</v>
      </c>
      <c r="L516" s="811" t="s">
        <v>1210</v>
      </c>
      <c r="M516" s="811" t="s">
        <v>1608</v>
      </c>
      <c r="N516" s="811" t="s">
        <v>1608</v>
      </c>
      <c r="O516" s="811" t="s">
        <v>2092</v>
      </c>
      <c r="P516" s="811" t="s">
        <v>2093</v>
      </c>
      <c r="Q516" s="811" t="s">
        <v>2094</v>
      </c>
    </row>
    <row r="517" spans="1:17" x14ac:dyDescent="0.35">
      <c r="A517" s="811" t="s">
        <v>1622</v>
      </c>
      <c r="B517" s="811" t="s">
        <v>2267</v>
      </c>
      <c r="C517" s="812">
        <v>80000000</v>
      </c>
      <c r="D517" s="811" t="s">
        <v>1424</v>
      </c>
      <c r="E517" s="811" t="s">
        <v>1424</v>
      </c>
      <c r="F517" s="811" t="s">
        <v>1658</v>
      </c>
      <c r="G517" s="811" t="s">
        <v>1625</v>
      </c>
      <c r="H517" s="811" t="s">
        <v>1626</v>
      </c>
      <c r="I517" s="811" t="s">
        <v>1627</v>
      </c>
      <c r="J517" s="813">
        <v>80000000</v>
      </c>
      <c r="K517" s="811" t="s">
        <v>1628</v>
      </c>
      <c r="L517" s="811" t="s">
        <v>1210</v>
      </c>
      <c r="M517" s="811" t="s">
        <v>1608</v>
      </c>
      <c r="N517" s="811" t="s">
        <v>1608</v>
      </c>
      <c r="O517" s="811" t="s">
        <v>2092</v>
      </c>
      <c r="P517" s="811" t="s">
        <v>2093</v>
      </c>
      <c r="Q517" s="811" t="s">
        <v>2094</v>
      </c>
    </row>
    <row r="518" spans="1:17" x14ac:dyDescent="0.35">
      <c r="A518" s="811" t="s">
        <v>1622</v>
      </c>
      <c r="B518" s="811" t="s">
        <v>2268</v>
      </c>
      <c r="C518" s="812">
        <v>65000000</v>
      </c>
      <c r="D518" s="811" t="s">
        <v>1424</v>
      </c>
      <c r="E518" s="811" t="s">
        <v>1424</v>
      </c>
      <c r="F518" s="811" t="s">
        <v>1658</v>
      </c>
      <c r="G518" s="811" t="s">
        <v>1625</v>
      </c>
      <c r="H518" s="811" t="s">
        <v>1626</v>
      </c>
      <c r="I518" s="811" t="s">
        <v>1627</v>
      </c>
      <c r="J518" s="813">
        <v>65000000</v>
      </c>
      <c r="K518" s="811" t="s">
        <v>1628</v>
      </c>
      <c r="L518" s="811" t="s">
        <v>1210</v>
      </c>
      <c r="M518" s="811" t="s">
        <v>1608</v>
      </c>
      <c r="N518" s="811" t="s">
        <v>1608</v>
      </c>
      <c r="O518" s="811" t="s">
        <v>2092</v>
      </c>
      <c r="P518" s="811" t="s">
        <v>2093</v>
      </c>
      <c r="Q518" s="811" t="s">
        <v>2094</v>
      </c>
    </row>
    <row r="519" spans="1:17" x14ac:dyDescent="0.35">
      <c r="A519" s="811" t="s">
        <v>1622</v>
      </c>
      <c r="B519" s="811" t="s">
        <v>2269</v>
      </c>
      <c r="C519" s="812">
        <v>30000000</v>
      </c>
      <c r="D519" s="811" t="s">
        <v>1424</v>
      </c>
      <c r="E519" s="811" t="s">
        <v>1424</v>
      </c>
      <c r="F519" s="811" t="s">
        <v>1658</v>
      </c>
      <c r="G519" s="811" t="s">
        <v>1625</v>
      </c>
      <c r="H519" s="811" t="s">
        <v>1626</v>
      </c>
      <c r="I519" s="811" t="s">
        <v>1627</v>
      </c>
      <c r="J519" s="813">
        <v>30000000</v>
      </c>
      <c r="K519" s="811" t="s">
        <v>1628</v>
      </c>
      <c r="L519" s="811" t="s">
        <v>1210</v>
      </c>
      <c r="M519" s="811" t="s">
        <v>1608</v>
      </c>
      <c r="N519" s="811" t="s">
        <v>1608</v>
      </c>
      <c r="O519" s="811" t="s">
        <v>2092</v>
      </c>
      <c r="P519" s="811" t="s">
        <v>2093</v>
      </c>
      <c r="Q519" s="811" t="s">
        <v>2094</v>
      </c>
    </row>
    <row r="520" spans="1:17" x14ac:dyDescent="0.35">
      <c r="A520" s="811" t="s">
        <v>1622</v>
      </c>
      <c r="B520" s="811" t="s">
        <v>2270</v>
      </c>
      <c r="C520" s="812">
        <v>41337934</v>
      </c>
      <c r="D520" s="811" t="s">
        <v>1414</v>
      </c>
      <c r="E520" s="811" t="s">
        <v>1414</v>
      </c>
      <c r="F520" s="811" t="s">
        <v>1671</v>
      </c>
      <c r="G520" s="811" t="s">
        <v>1625</v>
      </c>
      <c r="H520" s="811" t="s">
        <v>1626</v>
      </c>
      <c r="I520" s="811" t="s">
        <v>1627</v>
      </c>
      <c r="J520" s="813">
        <v>41337934</v>
      </c>
      <c r="K520" s="811" t="s">
        <v>1628</v>
      </c>
      <c r="L520" s="811" t="s">
        <v>1210</v>
      </c>
      <c r="M520" s="811" t="s">
        <v>1608</v>
      </c>
      <c r="N520" s="811" t="s">
        <v>1608</v>
      </c>
      <c r="O520" s="811" t="s">
        <v>2107</v>
      </c>
      <c r="P520" s="811" t="s">
        <v>1630</v>
      </c>
      <c r="Q520" s="811" t="s">
        <v>1697</v>
      </c>
    </row>
    <row r="521" spans="1:17" x14ac:dyDescent="0.35">
      <c r="A521" s="811" t="s">
        <v>1622</v>
      </c>
      <c r="B521" s="811" t="s">
        <v>2271</v>
      </c>
      <c r="C521" s="812">
        <v>34978255</v>
      </c>
      <c r="D521" s="811" t="s">
        <v>1414</v>
      </c>
      <c r="E521" s="811" t="s">
        <v>1414</v>
      </c>
      <c r="F521" s="811" t="s">
        <v>1671</v>
      </c>
      <c r="G521" s="811" t="s">
        <v>1625</v>
      </c>
      <c r="H521" s="811" t="s">
        <v>1626</v>
      </c>
      <c r="I521" s="811" t="s">
        <v>1627</v>
      </c>
      <c r="J521" s="813">
        <v>34978255</v>
      </c>
      <c r="K521" s="811" t="s">
        <v>1628</v>
      </c>
      <c r="L521" s="811" t="s">
        <v>1210</v>
      </c>
      <c r="M521" s="811" t="s">
        <v>1608</v>
      </c>
      <c r="N521" s="811" t="s">
        <v>1608</v>
      </c>
      <c r="O521" s="811" t="s">
        <v>2107</v>
      </c>
      <c r="P521" s="811" t="s">
        <v>1630</v>
      </c>
      <c r="Q521" s="811" t="s">
        <v>1697</v>
      </c>
    </row>
    <row r="522" spans="1:17" x14ac:dyDescent="0.35">
      <c r="A522" s="811" t="s">
        <v>1622</v>
      </c>
      <c r="B522" s="811" t="s">
        <v>2272</v>
      </c>
      <c r="C522" s="812">
        <v>81767340</v>
      </c>
      <c r="D522" s="811" t="s">
        <v>1420</v>
      </c>
      <c r="E522" s="811" t="s">
        <v>1420</v>
      </c>
      <c r="F522" s="811" t="s">
        <v>1658</v>
      </c>
      <c r="G522" s="811" t="s">
        <v>1625</v>
      </c>
      <c r="H522" s="811" t="s">
        <v>1626</v>
      </c>
      <c r="I522" s="811" t="s">
        <v>1627</v>
      </c>
      <c r="J522" s="813">
        <v>81767340</v>
      </c>
      <c r="K522" s="811" t="s">
        <v>1628</v>
      </c>
      <c r="L522" s="811" t="s">
        <v>1210</v>
      </c>
      <c r="M522" s="811" t="s">
        <v>1608</v>
      </c>
      <c r="N522" s="811" t="s">
        <v>1608</v>
      </c>
      <c r="O522" s="811" t="s">
        <v>1818</v>
      </c>
      <c r="P522" s="811" t="s">
        <v>1630</v>
      </c>
      <c r="Q522" s="811" t="s">
        <v>1683</v>
      </c>
    </row>
    <row r="523" spans="1:17" x14ac:dyDescent="0.35">
      <c r="A523" s="811" t="s">
        <v>1622</v>
      </c>
      <c r="B523" s="811" t="s">
        <v>2273</v>
      </c>
      <c r="C523" s="812">
        <v>65413872</v>
      </c>
      <c r="D523" s="811" t="s">
        <v>1515</v>
      </c>
      <c r="E523" s="811" t="s">
        <v>1515</v>
      </c>
      <c r="F523" s="811" t="s">
        <v>1639</v>
      </c>
      <c r="G523" s="811" t="s">
        <v>1625</v>
      </c>
      <c r="H523" s="811" t="s">
        <v>1626</v>
      </c>
      <c r="I523" s="811" t="s">
        <v>1627</v>
      </c>
      <c r="J523" s="813">
        <v>65413872</v>
      </c>
      <c r="K523" s="811" t="s">
        <v>1628</v>
      </c>
      <c r="L523" s="811" t="s">
        <v>1210</v>
      </c>
      <c r="M523" s="811" t="s">
        <v>1608</v>
      </c>
      <c r="N523" s="811" t="s">
        <v>1608</v>
      </c>
      <c r="O523" s="811" t="s">
        <v>1818</v>
      </c>
      <c r="P523" s="811" t="s">
        <v>1630</v>
      </c>
      <c r="Q523" s="811" t="s">
        <v>1683</v>
      </c>
    </row>
    <row r="524" spans="1:17" x14ac:dyDescent="0.35">
      <c r="A524" s="811" t="s">
        <v>1622</v>
      </c>
      <c r="B524" s="811" t="s">
        <v>2274</v>
      </c>
      <c r="C524" s="812">
        <v>65413872</v>
      </c>
      <c r="D524" s="811" t="s">
        <v>1515</v>
      </c>
      <c r="E524" s="811" t="s">
        <v>1515</v>
      </c>
      <c r="F524" s="811" t="s">
        <v>1639</v>
      </c>
      <c r="G524" s="811" t="s">
        <v>1625</v>
      </c>
      <c r="H524" s="811" t="s">
        <v>1626</v>
      </c>
      <c r="I524" s="811" t="s">
        <v>1627</v>
      </c>
      <c r="J524" s="813">
        <v>65413872</v>
      </c>
      <c r="K524" s="811" t="s">
        <v>1628</v>
      </c>
      <c r="L524" s="811" t="s">
        <v>1210</v>
      </c>
      <c r="M524" s="811" t="s">
        <v>1608</v>
      </c>
      <c r="N524" s="811" t="s">
        <v>1608</v>
      </c>
      <c r="O524" s="811" t="s">
        <v>1818</v>
      </c>
      <c r="P524" s="811" t="s">
        <v>1630</v>
      </c>
      <c r="Q524" s="811" t="s">
        <v>1683</v>
      </c>
    </row>
    <row r="525" spans="1:17" x14ac:dyDescent="0.35">
      <c r="A525" s="811" t="s">
        <v>1622</v>
      </c>
      <c r="B525" s="811" t="s">
        <v>2275</v>
      </c>
      <c r="C525" s="812">
        <v>36784368</v>
      </c>
      <c r="D525" s="811" t="s">
        <v>1515</v>
      </c>
      <c r="E525" s="811" t="s">
        <v>1515</v>
      </c>
      <c r="F525" s="811" t="s">
        <v>1639</v>
      </c>
      <c r="G525" s="811" t="s">
        <v>1625</v>
      </c>
      <c r="H525" s="811" t="s">
        <v>1626</v>
      </c>
      <c r="I525" s="811" t="s">
        <v>1627</v>
      </c>
      <c r="J525" s="813">
        <v>36784368</v>
      </c>
      <c r="K525" s="811" t="s">
        <v>1628</v>
      </c>
      <c r="L525" s="811" t="s">
        <v>1210</v>
      </c>
      <c r="M525" s="811" t="s">
        <v>1608</v>
      </c>
      <c r="N525" s="811" t="s">
        <v>1608</v>
      </c>
      <c r="O525" s="811" t="s">
        <v>1818</v>
      </c>
      <c r="P525" s="811" t="s">
        <v>1630</v>
      </c>
      <c r="Q525" s="811" t="s">
        <v>1683</v>
      </c>
    </row>
    <row r="526" spans="1:17" x14ac:dyDescent="0.35">
      <c r="A526" s="811" t="s">
        <v>1622</v>
      </c>
      <c r="B526" s="811" t="s">
        <v>2276</v>
      </c>
      <c r="C526" s="812">
        <v>65394432</v>
      </c>
      <c r="D526" s="811" t="s">
        <v>1515</v>
      </c>
      <c r="E526" s="811" t="s">
        <v>1515</v>
      </c>
      <c r="F526" s="811" t="s">
        <v>1639</v>
      </c>
      <c r="G526" s="811" t="s">
        <v>1625</v>
      </c>
      <c r="H526" s="811" t="s">
        <v>1626</v>
      </c>
      <c r="I526" s="811" t="s">
        <v>1627</v>
      </c>
      <c r="J526" s="813">
        <v>65394432</v>
      </c>
      <c r="K526" s="811" t="s">
        <v>1628</v>
      </c>
      <c r="L526" s="811" t="s">
        <v>1210</v>
      </c>
      <c r="M526" s="811" t="s">
        <v>1608</v>
      </c>
      <c r="N526" s="811" t="s">
        <v>1608</v>
      </c>
      <c r="O526" s="811" t="s">
        <v>1818</v>
      </c>
      <c r="P526" s="811" t="s">
        <v>1630</v>
      </c>
      <c r="Q526" s="811" t="s">
        <v>1683</v>
      </c>
    </row>
    <row r="527" spans="1:17" x14ac:dyDescent="0.35">
      <c r="A527" s="811" t="s">
        <v>1622</v>
      </c>
      <c r="B527" s="811" t="s">
        <v>2277</v>
      </c>
      <c r="C527" s="812">
        <v>65413872</v>
      </c>
      <c r="D527" s="811" t="s">
        <v>1515</v>
      </c>
      <c r="E527" s="811" t="s">
        <v>1515</v>
      </c>
      <c r="F527" s="811" t="s">
        <v>1639</v>
      </c>
      <c r="G527" s="811" t="s">
        <v>1625</v>
      </c>
      <c r="H527" s="811" t="s">
        <v>1626</v>
      </c>
      <c r="I527" s="811" t="s">
        <v>1627</v>
      </c>
      <c r="J527" s="813">
        <v>65413872</v>
      </c>
      <c r="K527" s="811" t="s">
        <v>1628</v>
      </c>
      <c r="L527" s="811" t="s">
        <v>1210</v>
      </c>
      <c r="M527" s="811" t="s">
        <v>1608</v>
      </c>
      <c r="N527" s="811" t="s">
        <v>1608</v>
      </c>
      <c r="O527" s="811" t="s">
        <v>1818</v>
      </c>
      <c r="P527" s="811" t="s">
        <v>1630</v>
      </c>
      <c r="Q527" s="811" t="s">
        <v>1683</v>
      </c>
    </row>
    <row r="528" spans="1:17" x14ac:dyDescent="0.35">
      <c r="A528" s="811" t="s">
        <v>1622</v>
      </c>
      <c r="B528" s="811" t="s">
        <v>2278</v>
      </c>
      <c r="C528" s="812">
        <v>32706936</v>
      </c>
      <c r="D528" s="811" t="s">
        <v>1515</v>
      </c>
      <c r="E528" s="811" t="s">
        <v>1515</v>
      </c>
      <c r="F528" s="811" t="s">
        <v>1639</v>
      </c>
      <c r="G528" s="811" t="s">
        <v>1625</v>
      </c>
      <c r="H528" s="811" t="s">
        <v>1626</v>
      </c>
      <c r="I528" s="811" t="s">
        <v>1627</v>
      </c>
      <c r="J528" s="813">
        <v>32706936</v>
      </c>
      <c r="K528" s="811" t="s">
        <v>1628</v>
      </c>
      <c r="L528" s="811" t="s">
        <v>1210</v>
      </c>
      <c r="M528" s="811" t="s">
        <v>1608</v>
      </c>
      <c r="N528" s="811" t="s">
        <v>1608</v>
      </c>
      <c r="O528" s="811" t="s">
        <v>1818</v>
      </c>
      <c r="P528" s="811" t="s">
        <v>1630</v>
      </c>
      <c r="Q528" s="811" t="s">
        <v>1683</v>
      </c>
    </row>
    <row r="529" spans="1:17" x14ac:dyDescent="0.35">
      <c r="A529" s="811" t="s">
        <v>1622</v>
      </c>
      <c r="B529" s="811" t="s">
        <v>2279</v>
      </c>
      <c r="C529" s="812">
        <v>65413872</v>
      </c>
      <c r="D529" s="811" t="s">
        <v>1515</v>
      </c>
      <c r="E529" s="811" t="s">
        <v>1515</v>
      </c>
      <c r="F529" s="811" t="s">
        <v>1639</v>
      </c>
      <c r="G529" s="811" t="s">
        <v>1625</v>
      </c>
      <c r="H529" s="811" t="s">
        <v>1626</v>
      </c>
      <c r="I529" s="811" t="s">
        <v>1627</v>
      </c>
      <c r="J529" s="813">
        <v>65413872</v>
      </c>
      <c r="K529" s="811" t="s">
        <v>1628</v>
      </c>
      <c r="L529" s="811" t="s">
        <v>1210</v>
      </c>
      <c r="M529" s="811" t="s">
        <v>1608</v>
      </c>
      <c r="N529" s="811" t="s">
        <v>1608</v>
      </c>
      <c r="O529" s="811" t="s">
        <v>1818</v>
      </c>
      <c r="P529" s="811" t="s">
        <v>1630</v>
      </c>
      <c r="Q529" s="811" t="s">
        <v>1683</v>
      </c>
    </row>
    <row r="530" spans="1:17" x14ac:dyDescent="0.35">
      <c r="A530" s="811" t="s">
        <v>1622</v>
      </c>
      <c r="B530" s="811" t="s">
        <v>2280</v>
      </c>
      <c r="C530" s="812">
        <v>32706936</v>
      </c>
      <c r="D530" s="811" t="s">
        <v>1515</v>
      </c>
      <c r="E530" s="811" t="s">
        <v>1515</v>
      </c>
      <c r="F530" s="811" t="s">
        <v>1635</v>
      </c>
      <c r="G530" s="811" t="s">
        <v>1625</v>
      </c>
      <c r="H530" s="811" t="s">
        <v>1626</v>
      </c>
      <c r="I530" s="811" t="s">
        <v>1627</v>
      </c>
      <c r="J530" s="813">
        <v>32706936</v>
      </c>
      <c r="K530" s="811" t="s">
        <v>1628</v>
      </c>
      <c r="L530" s="811" t="s">
        <v>1210</v>
      </c>
      <c r="M530" s="811" t="s">
        <v>1608</v>
      </c>
      <c r="N530" s="811" t="s">
        <v>1608</v>
      </c>
      <c r="O530" s="811" t="s">
        <v>1818</v>
      </c>
      <c r="P530" s="811" t="s">
        <v>1630</v>
      </c>
      <c r="Q530" s="811" t="s">
        <v>1683</v>
      </c>
    </row>
    <row r="531" spans="1:17" x14ac:dyDescent="0.35">
      <c r="A531" s="811" t="s">
        <v>2281</v>
      </c>
      <c r="B531" s="811" t="s">
        <v>2282</v>
      </c>
      <c r="C531" s="812">
        <v>60000000</v>
      </c>
      <c r="D531" s="811" t="s">
        <v>1421</v>
      </c>
      <c r="E531" s="811" t="s">
        <v>1421</v>
      </c>
      <c r="F531" s="811" t="s">
        <v>1635</v>
      </c>
      <c r="G531" s="811" t="s">
        <v>1625</v>
      </c>
      <c r="H531" s="811" t="s">
        <v>1550</v>
      </c>
      <c r="I531" s="811" t="s">
        <v>1627</v>
      </c>
      <c r="J531" s="813">
        <v>60000000</v>
      </c>
      <c r="K531" s="811" t="s">
        <v>1628</v>
      </c>
      <c r="L531" s="811" t="s">
        <v>1210</v>
      </c>
      <c r="M531" s="811" t="s">
        <v>1608</v>
      </c>
      <c r="N531" s="811" t="s">
        <v>1608</v>
      </c>
      <c r="O531" s="811" t="s">
        <v>1766</v>
      </c>
      <c r="P531" s="811" t="s">
        <v>1630</v>
      </c>
      <c r="Q531" s="811" t="s">
        <v>1683</v>
      </c>
    </row>
    <row r="532" spans="1:17" x14ac:dyDescent="0.35">
      <c r="A532" s="811" t="s">
        <v>1622</v>
      </c>
      <c r="B532" s="811" t="s">
        <v>2283</v>
      </c>
      <c r="C532" s="812">
        <v>35000000</v>
      </c>
      <c r="D532" s="811" t="s">
        <v>1428</v>
      </c>
      <c r="E532" s="811" t="s">
        <v>1428</v>
      </c>
      <c r="F532" s="811" t="s">
        <v>1671</v>
      </c>
      <c r="G532" s="811" t="s">
        <v>1625</v>
      </c>
      <c r="H532" s="811" t="s">
        <v>1626</v>
      </c>
      <c r="I532" s="811" t="s">
        <v>1627</v>
      </c>
      <c r="J532" s="813">
        <v>35000000</v>
      </c>
      <c r="K532" s="811" t="s">
        <v>1628</v>
      </c>
      <c r="L532" s="811" t="s">
        <v>1210</v>
      </c>
      <c r="M532" s="811" t="s">
        <v>1608</v>
      </c>
      <c r="N532" s="811" t="s">
        <v>1608</v>
      </c>
      <c r="O532" s="811" t="s">
        <v>2284</v>
      </c>
      <c r="P532" s="811" t="s">
        <v>1630</v>
      </c>
      <c r="Q532" s="811" t="s">
        <v>1655</v>
      </c>
    </row>
    <row r="533" spans="1:17" x14ac:dyDescent="0.35">
      <c r="A533" s="811" t="s">
        <v>1622</v>
      </c>
      <c r="B533" s="811" t="s">
        <v>2285</v>
      </c>
      <c r="C533" s="812">
        <v>32706936</v>
      </c>
      <c r="D533" s="811" t="s">
        <v>1424</v>
      </c>
      <c r="E533" s="811" t="s">
        <v>1424</v>
      </c>
      <c r="F533" s="811" t="s">
        <v>1624</v>
      </c>
      <c r="G533" s="811" t="s">
        <v>1625</v>
      </c>
      <c r="H533" s="811" t="s">
        <v>1626</v>
      </c>
      <c r="I533" s="811" t="s">
        <v>1627</v>
      </c>
      <c r="J533" s="813">
        <v>32706936</v>
      </c>
      <c r="K533" s="811" t="s">
        <v>1628</v>
      </c>
      <c r="L533" s="811" t="s">
        <v>1210</v>
      </c>
      <c r="M533" s="811" t="s">
        <v>1608</v>
      </c>
      <c r="N533" s="811" t="s">
        <v>1608</v>
      </c>
      <c r="O533" s="811" t="s">
        <v>1702</v>
      </c>
      <c r="P533" s="811" t="s">
        <v>1630</v>
      </c>
      <c r="Q533" s="811" t="s">
        <v>1637</v>
      </c>
    </row>
    <row r="534" spans="1:17" x14ac:dyDescent="0.35">
      <c r="A534" s="811" t="s">
        <v>1622</v>
      </c>
      <c r="B534" s="811" t="s">
        <v>2286</v>
      </c>
      <c r="C534" s="812">
        <v>56000000</v>
      </c>
      <c r="D534" s="811" t="s">
        <v>1424</v>
      </c>
      <c r="E534" s="811" t="s">
        <v>1424</v>
      </c>
      <c r="F534" s="811" t="s">
        <v>1624</v>
      </c>
      <c r="G534" s="811" t="s">
        <v>1625</v>
      </c>
      <c r="H534" s="811" t="s">
        <v>1626</v>
      </c>
      <c r="I534" s="811" t="s">
        <v>1627</v>
      </c>
      <c r="J534" s="813">
        <v>56000000</v>
      </c>
      <c r="K534" s="811" t="s">
        <v>1628</v>
      </c>
      <c r="L534" s="811" t="s">
        <v>1210</v>
      </c>
      <c r="M534" s="811" t="s">
        <v>1608</v>
      </c>
      <c r="N534" s="811" t="s">
        <v>1608</v>
      </c>
      <c r="O534" s="811" t="s">
        <v>1702</v>
      </c>
      <c r="P534" s="811" t="s">
        <v>1630</v>
      </c>
      <c r="Q534" s="811" t="s">
        <v>1637</v>
      </c>
    </row>
    <row r="535" spans="1:17" x14ac:dyDescent="0.35">
      <c r="A535" s="811" t="s">
        <v>1622</v>
      </c>
      <c r="B535" s="811" t="s">
        <v>2287</v>
      </c>
      <c r="C535" s="812">
        <v>12000000</v>
      </c>
      <c r="D535" s="811" t="s">
        <v>1424</v>
      </c>
      <c r="E535" s="811" t="s">
        <v>1424</v>
      </c>
      <c r="F535" s="811" t="s">
        <v>1691</v>
      </c>
      <c r="G535" s="811" t="s">
        <v>1625</v>
      </c>
      <c r="H535" s="811" t="s">
        <v>1626</v>
      </c>
      <c r="I535" s="811" t="s">
        <v>1627</v>
      </c>
      <c r="J535" s="813">
        <v>12000000</v>
      </c>
      <c r="K535" s="811" t="s">
        <v>1628</v>
      </c>
      <c r="L535" s="811" t="s">
        <v>1210</v>
      </c>
      <c r="M535" s="811" t="s">
        <v>1608</v>
      </c>
      <c r="N535" s="811" t="s">
        <v>1608</v>
      </c>
      <c r="O535" s="811" t="s">
        <v>1702</v>
      </c>
      <c r="P535" s="811" t="s">
        <v>1630</v>
      </c>
      <c r="Q535" s="811" t="s">
        <v>1637</v>
      </c>
    </row>
    <row r="536" spans="1:17" x14ac:dyDescent="0.35">
      <c r="A536" s="811" t="s">
        <v>1622</v>
      </c>
      <c r="B536" s="811" t="s">
        <v>2288</v>
      </c>
      <c r="C536" s="812">
        <v>56000000</v>
      </c>
      <c r="D536" s="811" t="s">
        <v>1424</v>
      </c>
      <c r="E536" s="811" t="s">
        <v>1424</v>
      </c>
      <c r="F536" s="811" t="s">
        <v>1624</v>
      </c>
      <c r="G536" s="811" t="s">
        <v>1625</v>
      </c>
      <c r="H536" s="811" t="s">
        <v>1626</v>
      </c>
      <c r="I536" s="811" t="s">
        <v>1627</v>
      </c>
      <c r="J536" s="813">
        <v>56000000</v>
      </c>
      <c r="K536" s="811" t="s">
        <v>1628</v>
      </c>
      <c r="L536" s="811" t="s">
        <v>1210</v>
      </c>
      <c r="M536" s="811" t="s">
        <v>1608</v>
      </c>
      <c r="N536" s="811" t="s">
        <v>1608</v>
      </c>
      <c r="O536" s="811" t="s">
        <v>1702</v>
      </c>
      <c r="P536" s="811" t="s">
        <v>1630</v>
      </c>
      <c r="Q536" s="811" t="s">
        <v>1637</v>
      </c>
    </row>
    <row r="537" spans="1:17" x14ac:dyDescent="0.35">
      <c r="A537" s="811" t="s">
        <v>1622</v>
      </c>
      <c r="B537" s="811" t="s">
        <v>2289</v>
      </c>
      <c r="C537" s="812">
        <v>13926000</v>
      </c>
      <c r="D537" s="811" t="s">
        <v>1424</v>
      </c>
      <c r="E537" s="811" t="s">
        <v>1424</v>
      </c>
      <c r="F537" s="811" t="s">
        <v>1635</v>
      </c>
      <c r="G537" s="811" t="s">
        <v>1625</v>
      </c>
      <c r="H537" s="811" t="s">
        <v>1626</v>
      </c>
      <c r="I537" s="811" t="s">
        <v>1627</v>
      </c>
      <c r="J537" s="813">
        <v>13926000</v>
      </c>
      <c r="K537" s="811" t="s">
        <v>1628</v>
      </c>
      <c r="L537" s="811" t="s">
        <v>1210</v>
      </c>
      <c r="M537" s="811" t="s">
        <v>1608</v>
      </c>
      <c r="N537" s="811" t="s">
        <v>1608</v>
      </c>
      <c r="O537" s="811" t="s">
        <v>1702</v>
      </c>
      <c r="P537" s="811" t="s">
        <v>1630</v>
      </c>
      <c r="Q537" s="811" t="s">
        <v>1637</v>
      </c>
    </row>
    <row r="538" spans="1:17" x14ac:dyDescent="0.35">
      <c r="A538" s="811" t="s">
        <v>1622</v>
      </c>
      <c r="B538" s="811" t="s">
        <v>2290</v>
      </c>
      <c r="C538" s="812">
        <v>42000000</v>
      </c>
      <c r="D538" s="811" t="s">
        <v>1424</v>
      </c>
      <c r="E538" s="811" t="s">
        <v>1424</v>
      </c>
      <c r="F538" s="811" t="s">
        <v>1635</v>
      </c>
      <c r="G538" s="811" t="s">
        <v>1625</v>
      </c>
      <c r="H538" s="811" t="s">
        <v>1626</v>
      </c>
      <c r="I538" s="811" t="s">
        <v>1627</v>
      </c>
      <c r="J538" s="813">
        <v>42000000</v>
      </c>
      <c r="K538" s="811" t="s">
        <v>1628</v>
      </c>
      <c r="L538" s="811" t="s">
        <v>1210</v>
      </c>
      <c r="M538" s="811" t="s">
        <v>1608</v>
      </c>
      <c r="N538" s="811" t="s">
        <v>1608</v>
      </c>
      <c r="O538" s="811" t="s">
        <v>1702</v>
      </c>
      <c r="P538" s="811" t="s">
        <v>1630</v>
      </c>
      <c r="Q538" s="811" t="s">
        <v>1637</v>
      </c>
    </row>
    <row r="539" spans="1:17" x14ac:dyDescent="0.35">
      <c r="A539" s="811" t="s">
        <v>1622</v>
      </c>
      <c r="B539" s="811" t="s">
        <v>2291</v>
      </c>
      <c r="C539" s="812">
        <v>58145664</v>
      </c>
      <c r="D539" s="811" t="s">
        <v>1424</v>
      </c>
      <c r="E539" s="811" t="s">
        <v>1424</v>
      </c>
      <c r="F539" s="811" t="s">
        <v>1624</v>
      </c>
      <c r="G539" s="811" t="s">
        <v>1625</v>
      </c>
      <c r="H539" s="811" t="s">
        <v>1626</v>
      </c>
      <c r="I539" s="811" t="s">
        <v>1627</v>
      </c>
      <c r="J539" s="813">
        <v>58145664</v>
      </c>
      <c r="K539" s="811" t="s">
        <v>1628</v>
      </c>
      <c r="L539" s="811" t="s">
        <v>1210</v>
      </c>
      <c r="M539" s="811" t="s">
        <v>1608</v>
      </c>
      <c r="N539" s="811" t="s">
        <v>1608</v>
      </c>
      <c r="O539" s="811" t="s">
        <v>1818</v>
      </c>
      <c r="P539" s="811" t="s">
        <v>1630</v>
      </c>
      <c r="Q539" s="811" t="s">
        <v>1683</v>
      </c>
    </row>
    <row r="540" spans="1:17" x14ac:dyDescent="0.35">
      <c r="A540" s="811" t="s">
        <v>1622</v>
      </c>
      <c r="B540" s="811" t="s">
        <v>2292</v>
      </c>
      <c r="C540" s="812">
        <v>19987572</v>
      </c>
      <c r="D540" s="811" t="s">
        <v>1424</v>
      </c>
      <c r="E540" s="811" t="s">
        <v>1424</v>
      </c>
      <c r="F540" s="811" t="s">
        <v>1662</v>
      </c>
      <c r="G540" s="811" t="s">
        <v>1625</v>
      </c>
      <c r="H540" s="811" t="s">
        <v>1626</v>
      </c>
      <c r="I540" s="811" t="s">
        <v>1627</v>
      </c>
      <c r="J540" s="813">
        <v>19987572</v>
      </c>
      <c r="K540" s="811" t="s">
        <v>1628</v>
      </c>
      <c r="L540" s="811" t="s">
        <v>1210</v>
      </c>
      <c r="M540" s="811" t="s">
        <v>1608</v>
      </c>
      <c r="N540" s="811" t="s">
        <v>1608</v>
      </c>
      <c r="O540" s="811" t="s">
        <v>1818</v>
      </c>
      <c r="P540" s="811" t="s">
        <v>1630</v>
      </c>
      <c r="Q540" s="811" t="s">
        <v>1683</v>
      </c>
    </row>
    <row r="541" spans="1:17" x14ac:dyDescent="0.35">
      <c r="A541" s="811" t="s">
        <v>1622</v>
      </c>
      <c r="B541" s="811" t="s">
        <v>2293</v>
      </c>
      <c r="C541" s="812">
        <v>77000000</v>
      </c>
      <c r="D541" s="811" t="s">
        <v>1424</v>
      </c>
      <c r="E541" s="811" t="s">
        <v>1424</v>
      </c>
      <c r="F541" s="811" t="s">
        <v>1662</v>
      </c>
      <c r="G541" s="811" t="s">
        <v>1625</v>
      </c>
      <c r="H541" s="811" t="s">
        <v>1626</v>
      </c>
      <c r="I541" s="811" t="s">
        <v>1627</v>
      </c>
      <c r="J541" s="813">
        <v>77000000</v>
      </c>
      <c r="K541" s="811" t="s">
        <v>1628</v>
      </c>
      <c r="L541" s="811" t="s">
        <v>1210</v>
      </c>
      <c r="M541" s="811" t="s">
        <v>1608</v>
      </c>
      <c r="N541" s="811" t="s">
        <v>1608</v>
      </c>
      <c r="O541" s="811" t="s">
        <v>1732</v>
      </c>
      <c r="P541" s="811" t="s">
        <v>1733</v>
      </c>
      <c r="Q541" s="811" t="s">
        <v>1631</v>
      </c>
    </row>
    <row r="542" spans="1:17" x14ac:dyDescent="0.35">
      <c r="A542" s="811" t="s">
        <v>1622</v>
      </c>
      <c r="B542" s="811" t="s">
        <v>1996</v>
      </c>
      <c r="C542" s="812">
        <v>64900000</v>
      </c>
      <c r="D542" s="811" t="s">
        <v>1424</v>
      </c>
      <c r="E542" s="811" t="s">
        <v>1424</v>
      </c>
      <c r="F542" s="811" t="s">
        <v>1645</v>
      </c>
      <c r="G542" s="811" t="s">
        <v>1625</v>
      </c>
      <c r="H542" s="811" t="s">
        <v>1626</v>
      </c>
      <c r="I542" s="811" t="s">
        <v>1627</v>
      </c>
      <c r="J542" s="813">
        <v>64900000</v>
      </c>
      <c r="K542" s="811" t="s">
        <v>1628</v>
      </c>
      <c r="L542" s="811" t="s">
        <v>1210</v>
      </c>
      <c r="M542" s="811" t="s">
        <v>1608</v>
      </c>
      <c r="N542" s="811" t="s">
        <v>1608</v>
      </c>
      <c r="O542" s="811" t="s">
        <v>1732</v>
      </c>
      <c r="P542" s="811" t="s">
        <v>1733</v>
      </c>
      <c r="Q542" s="811" t="s">
        <v>1631</v>
      </c>
    </row>
    <row r="543" spans="1:17" x14ac:dyDescent="0.35">
      <c r="A543" s="811" t="s">
        <v>1622</v>
      </c>
      <c r="B543" s="811" t="s">
        <v>2294</v>
      </c>
      <c r="C543" s="812">
        <v>77000000</v>
      </c>
      <c r="D543" s="811" t="s">
        <v>1424</v>
      </c>
      <c r="E543" s="811" t="s">
        <v>1424</v>
      </c>
      <c r="F543" s="811" t="s">
        <v>1662</v>
      </c>
      <c r="G543" s="811" t="s">
        <v>1625</v>
      </c>
      <c r="H543" s="811" t="s">
        <v>1626</v>
      </c>
      <c r="I543" s="811" t="s">
        <v>1627</v>
      </c>
      <c r="J543" s="813">
        <v>77000000</v>
      </c>
      <c r="K543" s="811" t="s">
        <v>1628</v>
      </c>
      <c r="L543" s="811" t="s">
        <v>1210</v>
      </c>
      <c r="M543" s="811" t="s">
        <v>1608</v>
      </c>
      <c r="N543" s="811" t="s">
        <v>1608</v>
      </c>
      <c r="O543" s="811" t="s">
        <v>1732</v>
      </c>
      <c r="P543" s="811" t="s">
        <v>1733</v>
      </c>
      <c r="Q543" s="811" t="s">
        <v>1631</v>
      </c>
    </row>
    <row r="544" spans="1:17" x14ac:dyDescent="0.35">
      <c r="A544" s="811" t="s">
        <v>1622</v>
      </c>
      <c r="B544" s="811" t="s">
        <v>2295</v>
      </c>
      <c r="C544" s="812">
        <v>29700000</v>
      </c>
      <c r="D544" s="811" t="s">
        <v>1414</v>
      </c>
      <c r="E544" s="811" t="s">
        <v>1414</v>
      </c>
      <c r="F544" s="811" t="s">
        <v>1662</v>
      </c>
      <c r="G544" s="811" t="s">
        <v>1625</v>
      </c>
      <c r="H544" s="811" t="s">
        <v>1626</v>
      </c>
      <c r="I544" s="811" t="s">
        <v>1627</v>
      </c>
      <c r="J544" s="813">
        <v>29700000</v>
      </c>
      <c r="K544" s="811" t="s">
        <v>1628</v>
      </c>
      <c r="L544" s="811" t="s">
        <v>1210</v>
      </c>
      <c r="M544" s="811" t="s">
        <v>1608</v>
      </c>
      <c r="N544" s="811" t="s">
        <v>1608</v>
      </c>
      <c r="O544" s="811" t="s">
        <v>1654</v>
      </c>
      <c r="P544" s="811" t="s">
        <v>1630</v>
      </c>
      <c r="Q544" s="811" t="s">
        <v>1655</v>
      </c>
    </row>
    <row r="545" spans="1:17" x14ac:dyDescent="0.35">
      <c r="A545" s="811" t="s">
        <v>1622</v>
      </c>
      <c r="B545" s="811" t="s">
        <v>2296</v>
      </c>
      <c r="C545" s="812">
        <v>64260000</v>
      </c>
      <c r="D545" s="811" t="s">
        <v>1420</v>
      </c>
      <c r="E545" s="811" t="s">
        <v>1420</v>
      </c>
      <c r="F545" s="811" t="s">
        <v>1639</v>
      </c>
      <c r="G545" s="811" t="s">
        <v>1625</v>
      </c>
      <c r="H545" s="811" t="s">
        <v>1626</v>
      </c>
      <c r="I545" s="811" t="s">
        <v>1627</v>
      </c>
      <c r="J545" s="813">
        <v>64260000</v>
      </c>
      <c r="K545" s="811" t="s">
        <v>1628</v>
      </c>
      <c r="L545" s="811" t="s">
        <v>1210</v>
      </c>
      <c r="M545" s="811" t="s">
        <v>1608</v>
      </c>
      <c r="N545" s="811" t="s">
        <v>1608</v>
      </c>
      <c r="O545" s="811" t="s">
        <v>1640</v>
      </c>
      <c r="P545" s="811" t="s">
        <v>1630</v>
      </c>
      <c r="Q545" s="811" t="s">
        <v>1641</v>
      </c>
    </row>
    <row r="546" spans="1:17" x14ac:dyDescent="0.35">
      <c r="A546" s="811" t="s">
        <v>1622</v>
      </c>
      <c r="B546" s="811" t="s">
        <v>2297</v>
      </c>
      <c r="C546" s="812">
        <v>36720000</v>
      </c>
      <c r="D546" s="811" t="s">
        <v>1515</v>
      </c>
      <c r="E546" s="811" t="s">
        <v>1515</v>
      </c>
      <c r="F546" s="811" t="s">
        <v>1639</v>
      </c>
      <c r="G546" s="811" t="s">
        <v>1625</v>
      </c>
      <c r="H546" s="811" t="s">
        <v>1626</v>
      </c>
      <c r="I546" s="811" t="s">
        <v>1627</v>
      </c>
      <c r="J546" s="813">
        <v>36720000</v>
      </c>
      <c r="K546" s="811" t="s">
        <v>1628</v>
      </c>
      <c r="L546" s="811" t="s">
        <v>1210</v>
      </c>
      <c r="M546" s="811" t="s">
        <v>1608</v>
      </c>
      <c r="N546" s="811" t="s">
        <v>1608</v>
      </c>
      <c r="O546" s="811" t="s">
        <v>1640</v>
      </c>
      <c r="P546" s="811" t="s">
        <v>1630</v>
      </c>
      <c r="Q546" s="811" t="s">
        <v>1641</v>
      </c>
    </row>
    <row r="547" spans="1:17" x14ac:dyDescent="0.35">
      <c r="A547" s="811" t="s">
        <v>1622</v>
      </c>
      <c r="B547" s="811" t="s">
        <v>2298</v>
      </c>
      <c r="C547" s="812">
        <v>51754800</v>
      </c>
      <c r="D547" s="811" t="s">
        <v>1420</v>
      </c>
      <c r="E547" s="811" t="s">
        <v>1420</v>
      </c>
      <c r="F547" s="811" t="s">
        <v>1658</v>
      </c>
      <c r="G547" s="811" t="s">
        <v>1625</v>
      </c>
      <c r="H547" s="811" t="s">
        <v>1626</v>
      </c>
      <c r="I547" s="811" t="s">
        <v>1627</v>
      </c>
      <c r="J547" s="813">
        <v>51754800</v>
      </c>
      <c r="K547" s="811" t="s">
        <v>1628</v>
      </c>
      <c r="L547" s="811" t="s">
        <v>1210</v>
      </c>
      <c r="M547" s="811" t="s">
        <v>1608</v>
      </c>
      <c r="N547" s="811" t="s">
        <v>1608</v>
      </c>
      <c r="O547" s="811" t="s">
        <v>1640</v>
      </c>
      <c r="P547" s="811" t="s">
        <v>1630</v>
      </c>
      <c r="Q547" s="811" t="s">
        <v>1641</v>
      </c>
    </row>
    <row r="548" spans="1:17" x14ac:dyDescent="0.35">
      <c r="A548" s="811" t="s">
        <v>1622</v>
      </c>
      <c r="B548" s="811" t="s">
        <v>2299</v>
      </c>
      <c r="C548" s="812">
        <v>48144000</v>
      </c>
      <c r="D548" s="811" t="s">
        <v>1420</v>
      </c>
      <c r="E548" s="811" t="s">
        <v>1420</v>
      </c>
      <c r="F548" s="811" t="s">
        <v>1658</v>
      </c>
      <c r="G548" s="811" t="s">
        <v>1625</v>
      </c>
      <c r="H548" s="811" t="s">
        <v>1626</v>
      </c>
      <c r="I548" s="811" t="s">
        <v>1627</v>
      </c>
      <c r="J548" s="813">
        <v>48144000</v>
      </c>
      <c r="K548" s="811" t="s">
        <v>1628</v>
      </c>
      <c r="L548" s="811" t="s">
        <v>1210</v>
      </c>
      <c r="M548" s="811" t="s">
        <v>1608</v>
      </c>
      <c r="N548" s="811" t="s">
        <v>1608</v>
      </c>
      <c r="O548" s="811" t="s">
        <v>1640</v>
      </c>
      <c r="P548" s="811" t="s">
        <v>1630</v>
      </c>
      <c r="Q548" s="811" t="s">
        <v>1641</v>
      </c>
    </row>
    <row r="549" spans="1:17" x14ac:dyDescent="0.35">
      <c r="A549" s="811" t="s">
        <v>1622</v>
      </c>
      <c r="B549" s="811" t="s">
        <v>2300</v>
      </c>
      <c r="C549" s="812">
        <v>36000000</v>
      </c>
      <c r="D549" s="811" t="s">
        <v>1420</v>
      </c>
      <c r="E549" s="811" t="s">
        <v>1420</v>
      </c>
      <c r="F549" s="811" t="s">
        <v>1624</v>
      </c>
      <c r="G549" s="811" t="s">
        <v>1625</v>
      </c>
      <c r="H549" s="811" t="s">
        <v>1626</v>
      </c>
      <c r="I549" s="811" t="s">
        <v>1627</v>
      </c>
      <c r="J549" s="813">
        <v>36000000</v>
      </c>
      <c r="K549" s="811" t="s">
        <v>1628</v>
      </c>
      <c r="L549" s="811" t="s">
        <v>1210</v>
      </c>
      <c r="M549" s="811" t="s">
        <v>1608</v>
      </c>
      <c r="N549" s="811" t="s">
        <v>1608</v>
      </c>
      <c r="O549" s="811" t="s">
        <v>1672</v>
      </c>
      <c r="P549" s="811" t="s">
        <v>1630</v>
      </c>
      <c r="Q549" s="811" t="s">
        <v>1673</v>
      </c>
    </row>
    <row r="550" spans="1:17" x14ac:dyDescent="0.35">
      <c r="A550" s="811" t="s">
        <v>1622</v>
      </c>
      <c r="B550" s="811" t="s">
        <v>2301</v>
      </c>
      <c r="C550" s="812">
        <v>19078983</v>
      </c>
      <c r="D550" s="811" t="s">
        <v>1421</v>
      </c>
      <c r="E550" s="811" t="s">
        <v>1421</v>
      </c>
      <c r="F550" s="811" t="s">
        <v>1671</v>
      </c>
      <c r="G550" s="811" t="s">
        <v>1625</v>
      </c>
      <c r="H550" s="811" t="s">
        <v>1626</v>
      </c>
      <c r="I550" s="811" t="s">
        <v>1627</v>
      </c>
      <c r="J550" s="813">
        <v>19078983</v>
      </c>
      <c r="K550" s="811" t="s">
        <v>1628</v>
      </c>
      <c r="L550" s="811" t="s">
        <v>1210</v>
      </c>
      <c r="M550" s="811" t="s">
        <v>1608</v>
      </c>
      <c r="N550" s="811" t="s">
        <v>1608</v>
      </c>
      <c r="O550" s="811" t="s">
        <v>1672</v>
      </c>
      <c r="P550" s="811" t="s">
        <v>1630</v>
      </c>
      <c r="Q550" s="811" t="s">
        <v>1673</v>
      </c>
    </row>
    <row r="551" spans="1:17" x14ac:dyDescent="0.35">
      <c r="A551" s="811" t="s">
        <v>2302</v>
      </c>
      <c r="B551" s="811" t="s">
        <v>2303</v>
      </c>
      <c r="C551" s="812">
        <v>239251158</v>
      </c>
      <c r="D551" s="811" t="s">
        <v>1429</v>
      </c>
      <c r="E551" s="811" t="s">
        <v>1429</v>
      </c>
      <c r="F551" s="811" t="s">
        <v>1639</v>
      </c>
      <c r="G551" s="811" t="s">
        <v>1625</v>
      </c>
      <c r="H551" s="811" t="s">
        <v>1626</v>
      </c>
      <c r="I551" s="811" t="s">
        <v>1627</v>
      </c>
      <c r="J551" s="813">
        <v>239251158</v>
      </c>
      <c r="K551" s="811" t="s">
        <v>1628</v>
      </c>
      <c r="L551" s="811" t="s">
        <v>1210</v>
      </c>
      <c r="M551" s="811" t="s">
        <v>1608</v>
      </c>
      <c r="N551" s="811" t="s">
        <v>1608</v>
      </c>
      <c r="O551" s="811" t="s">
        <v>1818</v>
      </c>
      <c r="P551" s="811" t="s">
        <v>1630</v>
      </c>
      <c r="Q551" s="811" t="s">
        <v>1683</v>
      </c>
    </row>
    <row r="552" spans="1:17" x14ac:dyDescent="0.35">
      <c r="A552" s="811" t="s">
        <v>1622</v>
      </c>
      <c r="B552" s="811" t="s">
        <v>2304</v>
      </c>
      <c r="C552" s="812">
        <v>36000000</v>
      </c>
      <c r="D552" s="811" t="s">
        <v>1515</v>
      </c>
      <c r="E552" s="811" t="s">
        <v>1515</v>
      </c>
      <c r="F552" s="811" t="s">
        <v>1635</v>
      </c>
      <c r="G552" s="811" t="s">
        <v>1625</v>
      </c>
      <c r="H552" s="811" t="s">
        <v>1626</v>
      </c>
      <c r="I552" s="811" t="s">
        <v>1627</v>
      </c>
      <c r="J552" s="813">
        <v>36000000</v>
      </c>
      <c r="K552" s="811" t="s">
        <v>1628</v>
      </c>
      <c r="L552" s="811" t="s">
        <v>1210</v>
      </c>
      <c r="M552" s="811" t="s">
        <v>1608</v>
      </c>
      <c r="N552" s="811" t="s">
        <v>1608</v>
      </c>
      <c r="O552" s="811" t="s">
        <v>1818</v>
      </c>
      <c r="P552" s="811" t="s">
        <v>1630</v>
      </c>
      <c r="Q552" s="811" t="s">
        <v>1683</v>
      </c>
    </row>
    <row r="553" spans="1:17" x14ac:dyDescent="0.35">
      <c r="A553" s="811" t="s">
        <v>1622</v>
      </c>
      <c r="B553" s="811" t="s">
        <v>2305</v>
      </c>
      <c r="C553" s="812">
        <v>22725578</v>
      </c>
      <c r="D553" s="811" t="s">
        <v>1424</v>
      </c>
      <c r="E553" s="811" t="s">
        <v>1424</v>
      </c>
      <c r="F553" s="811" t="s">
        <v>1662</v>
      </c>
      <c r="G553" s="811" t="s">
        <v>1625</v>
      </c>
      <c r="H553" s="811" t="s">
        <v>1626</v>
      </c>
      <c r="I553" s="811" t="s">
        <v>1627</v>
      </c>
      <c r="J553" s="813">
        <v>22725578</v>
      </c>
      <c r="K553" s="811" t="s">
        <v>1628</v>
      </c>
      <c r="L553" s="811" t="s">
        <v>1210</v>
      </c>
      <c r="M553" s="811" t="s">
        <v>1608</v>
      </c>
      <c r="N553" s="811" t="s">
        <v>1608</v>
      </c>
      <c r="O553" s="811" t="s">
        <v>1818</v>
      </c>
      <c r="P553" s="811" t="s">
        <v>1630</v>
      </c>
      <c r="Q553" s="811" t="s">
        <v>1683</v>
      </c>
    </row>
    <row r="554" spans="1:17" x14ac:dyDescent="0.35">
      <c r="A554" s="811" t="s">
        <v>1622</v>
      </c>
      <c r="B554" s="811" t="s">
        <v>2306</v>
      </c>
      <c r="C554" s="812">
        <v>29981358</v>
      </c>
      <c r="D554" s="811" t="s">
        <v>1424</v>
      </c>
      <c r="E554" s="811" t="s">
        <v>1424</v>
      </c>
      <c r="F554" s="811" t="s">
        <v>1662</v>
      </c>
      <c r="G554" s="811" t="s">
        <v>1625</v>
      </c>
      <c r="H554" s="811" t="s">
        <v>1626</v>
      </c>
      <c r="I554" s="811" t="s">
        <v>1627</v>
      </c>
      <c r="J554" s="813">
        <v>29981358</v>
      </c>
      <c r="K554" s="811" t="s">
        <v>1628</v>
      </c>
      <c r="L554" s="811" t="s">
        <v>1210</v>
      </c>
      <c r="M554" s="811" t="s">
        <v>1608</v>
      </c>
      <c r="N554" s="811" t="s">
        <v>1608</v>
      </c>
      <c r="O554" s="811" t="s">
        <v>1818</v>
      </c>
      <c r="P554" s="811" t="s">
        <v>1630</v>
      </c>
      <c r="Q554" s="811" t="s">
        <v>1683</v>
      </c>
    </row>
    <row r="555" spans="1:17" x14ac:dyDescent="0.35">
      <c r="A555" s="811" t="s">
        <v>1622</v>
      </c>
      <c r="B555" s="811" t="s">
        <v>2307</v>
      </c>
      <c r="C555" s="812">
        <v>65413872</v>
      </c>
      <c r="D555" s="811" t="s">
        <v>1424</v>
      </c>
      <c r="E555" s="811" t="s">
        <v>1424</v>
      </c>
      <c r="F555" s="811" t="s">
        <v>1639</v>
      </c>
      <c r="G555" s="811" t="s">
        <v>1625</v>
      </c>
      <c r="H555" s="811" t="s">
        <v>1626</v>
      </c>
      <c r="I555" s="811" t="s">
        <v>1627</v>
      </c>
      <c r="J555" s="813">
        <v>65413872</v>
      </c>
      <c r="K555" s="811" t="s">
        <v>1628</v>
      </c>
      <c r="L555" s="811" t="s">
        <v>1210</v>
      </c>
      <c r="M555" s="811" t="s">
        <v>1608</v>
      </c>
      <c r="N555" s="811" t="s">
        <v>1608</v>
      </c>
      <c r="O555" s="811" t="s">
        <v>1818</v>
      </c>
      <c r="P555" s="811" t="s">
        <v>1630</v>
      </c>
      <c r="Q555" s="811" t="s">
        <v>1683</v>
      </c>
    </row>
    <row r="556" spans="1:17" x14ac:dyDescent="0.35">
      <c r="A556" s="811" t="s">
        <v>1622</v>
      </c>
      <c r="B556" s="811" t="s">
        <v>2308</v>
      </c>
      <c r="C556" s="812">
        <v>65413872</v>
      </c>
      <c r="D556" s="811" t="s">
        <v>1424</v>
      </c>
      <c r="E556" s="811" t="s">
        <v>1424</v>
      </c>
      <c r="F556" s="811" t="s">
        <v>1639</v>
      </c>
      <c r="G556" s="811" t="s">
        <v>1625</v>
      </c>
      <c r="H556" s="811" t="s">
        <v>1626</v>
      </c>
      <c r="I556" s="811" t="s">
        <v>1627</v>
      </c>
      <c r="J556" s="813">
        <v>65413872</v>
      </c>
      <c r="K556" s="811" t="s">
        <v>1628</v>
      </c>
      <c r="L556" s="811" t="s">
        <v>1210</v>
      </c>
      <c r="M556" s="811" t="s">
        <v>1608</v>
      </c>
      <c r="N556" s="811" t="s">
        <v>1608</v>
      </c>
      <c r="O556" s="811" t="s">
        <v>1818</v>
      </c>
      <c r="P556" s="811" t="s">
        <v>1630</v>
      </c>
      <c r="Q556" s="811" t="s">
        <v>1683</v>
      </c>
    </row>
    <row r="557" spans="1:17" x14ac:dyDescent="0.35">
      <c r="A557" s="811" t="s">
        <v>1622</v>
      </c>
      <c r="B557" s="811" t="s">
        <v>2309</v>
      </c>
      <c r="C557" s="812">
        <v>65413872</v>
      </c>
      <c r="D557" s="811" t="s">
        <v>1424</v>
      </c>
      <c r="E557" s="811" t="s">
        <v>1424</v>
      </c>
      <c r="F557" s="811" t="s">
        <v>1639</v>
      </c>
      <c r="G557" s="811" t="s">
        <v>1625</v>
      </c>
      <c r="H557" s="811" t="s">
        <v>1626</v>
      </c>
      <c r="I557" s="811" t="s">
        <v>1627</v>
      </c>
      <c r="J557" s="813">
        <v>65413872</v>
      </c>
      <c r="K557" s="811" t="s">
        <v>1628</v>
      </c>
      <c r="L557" s="811" t="s">
        <v>1210</v>
      </c>
      <c r="M557" s="811" t="s">
        <v>1608</v>
      </c>
      <c r="N557" s="811" t="s">
        <v>1608</v>
      </c>
      <c r="O557" s="811" t="s">
        <v>1818</v>
      </c>
      <c r="P557" s="811" t="s">
        <v>1630</v>
      </c>
      <c r="Q557" s="811" t="s">
        <v>1683</v>
      </c>
    </row>
    <row r="558" spans="1:17" x14ac:dyDescent="0.35">
      <c r="A558" s="811" t="s">
        <v>1622</v>
      </c>
      <c r="B558" s="811" t="s">
        <v>2310</v>
      </c>
      <c r="C558" s="812">
        <v>65413872</v>
      </c>
      <c r="D558" s="811" t="s">
        <v>1424</v>
      </c>
      <c r="E558" s="811" t="s">
        <v>1424</v>
      </c>
      <c r="F558" s="811" t="s">
        <v>1639</v>
      </c>
      <c r="G558" s="811" t="s">
        <v>1625</v>
      </c>
      <c r="H558" s="811" t="s">
        <v>1626</v>
      </c>
      <c r="I558" s="811" t="s">
        <v>1627</v>
      </c>
      <c r="J558" s="813">
        <v>65413872</v>
      </c>
      <c r="K558" s="811" t="s">
        <v>1628</v>
      </c>
      <c r="L558" s="811" t="s">
        <v>1210</v>
      </c>
      <c r="M558" s="811" t="s">
        <v>1608</v>
      </c>
      <c r="N558" s="811" t="s">
        <v>1608</v>
      </c>
      <c r="O558" s="811" t="s">
        <v>1818</v>
      </c>
      <c r="P558" s="811" t="s">
        <v>1630</v>
      </c>
      <c r="Q558" s="811" t="s">
        <v>1683</v>
      </c>
    </row>
    <row r="559" spans="1:17" x14ac:dyDescent="0.35">
      <c r="A559" s="811" t="s">
        <v>1622</v>
      </c>
      <c r="B559" s="811" t="s">
        <v>2311</v>
      </c>
      <c r="C559" s="812">
        <v>65413872</v>
      </c>
      <c r="D559" s="811" t="s">
        <v>1424</v>
      </c>
      <c r="E559" s="811" t="s">
        <v>1424</v>
      </c>
      <c r="F559" s="811" t="s">
        <v>1639</v>
      </c>
      <c r="G559" s="811" t="s">
        <v>1625</v>
      </c>
      <c r="H559" s="811" t="s">
        <v>1626</v>
      </c>
      <c r="I559" s="811" t="s">
        <v>1627</v>
      </c>
      <c r="J559" s="813">
        <v>65413872</v>
      </c>
      <c r="K559" s="811" t="s">
        <v>1628</v>
      </c>
      <c r="L559" s="811" t="s">
        <v>1210</v>
      </c>
      <c r="M559" s="811" t="s">
        <v>1608</v>
      </c>
      <c r="N559" s="811" t="s">
        <v>1608</v>
      </c>
      <c r="O559" s="811" t="s">
        <v>1818</v>
      </c>
      <c r="P559" s="811" t="s">
        <v>1630</v>
      </c>
      <c r="Q559" s="811" t="s">
        <v>1683</v>
      </c>
    </row>
    <row r="560" spans="1:17" x14ac:dyDescent="0.35">
      <c r="A560" s="811" t="s">
        <v>1622</v>
      </c>
      <c r="B560" s="811" t="s">
        <v>2312</v>
      </c>
      <c r="C560" s="812">
        <v>79314319</v>
      </c>
      <c r="D560" s="811" t="s">
        <v>1424</v>
      </c>
      <c r="E560" s="811" t="s">
        <v>1424</v>
      </c>
      <c r="F560" s="811" t="s">
        <v>1639</v>
      </c>
      <c r="G560" s="811" t="s">
        <v>1625</v>
      </c>
      <c r="H560" s="811" t="s">
        <v>1626</v>
      </c>
      <c r="I560" s="811" t="s">
        <v>1627</v>
      </c>
      <c r="J560" s="813">
        <v>79314319</v>
      </c>
      <c r="K560" s="811" t="s">
        <v>1628</v>
      </c>
      <c r="L560" s="811" t="s">
        <v>1210</v>
      </c>
      <c r="M560" s="811" t="s">
        <v>1608</v>
      </c>
      <c r="N560" s="811" t="s">
        <v>1608</v>
      </c>
      <c r="O560" s="811" t="s">
        <v>1818</v>
      </c>
      <c r="P560" s="811" t="s">
        <v>1630</v>
      </c>
      <c r="Q560" s="811" t="s">
        <v>1683</v>
      </c>
    </row>
    <row r="561" spans="1:17" x14ac:dyDescent="0.35">
      <c r="A561" s="811" t="s">
        <v>1622</v>
      </c>
      <c r="B561" s="811" t="s">
        <v>2313</v>
      </c>
      <c r="C561" s="812">
        <v>34978251</v>
      </c>
      <c r="D561" s="811" t="s">
        <v>1424</v>
      </c>
      <c r="E561" s="811" t="s">
        <v>1424</v>
      </c>
      <c r="F561" s="811" t="s">
        <v>1662</v>
      </c>
      <c r="G561" s="811" t="s">
        <v>1625</v>
      </c>
      <c r="H561" s="811" t="s">
        <v>1626</v>
      </c>
      <c r="I561" s="811" t="s">
        <v>1627</v>
      </c>
      <c r="J561" s="813">
        <v>34978251</v>
      </c>
      <c r="K561" s="811" t="s">
        <v>1628</v>
      </c>
      <c r="L561" s="811" t="s">
        <v>1210</v>
      </c>
      <c r="M561" s="811" t="s">
        <v>1608</v>
      </c>
      <c r="N561" s="811" t="s">
        <v>1608</v>
      </c>
      <c r="O561" s="811" t="s">
        <v>1818</v>
      </c>
      <c r="P561" s="811" t="s">
        <v>1630</v>
      </c>
      <c r="Q561" s="811" t="s">
        <v>1683</v>
      </c>
    </row>
    <row r="562" spans="1:17" x14ac:dyDescent="0.35">
      <c r="A562" s="811" t="s">
        <v>1622</v>
      </c>
      <c r="B562" s="811" t="s">
        <v>2314</v>
      </c>
      <c r="C562" s="812">
        <v>19597151</v>
      </c>
      <c r="D562" s="811" t="s">
        <v>1420</v>
      </c>
      <c r="E562" s="811" t="s">
        <v>1420</v>
      </c>
      <c r="F562" s="811" t="s">
        <v>1639</v>
      </c>
      <c r="G562" s="811" t="s">
        <v>1625</v>
      </c>
      <c r="H562" s="811" t="s">
        <v>1626</v>
      </c>
      <c r="I562" s="811" t="s">
        <v>1627</v>
      </c>
      <c r="J562" s="813">
        <v>19597151</v>
      </c>
      <c r="K562" s="811" t="s">
        <v>1628</v>
      </c>
      <c r="L562" s="811" t="s">
        <v>1210</v>
      </c>
      <c r="M562" s="811" t="s">
        <v>1608</v>
      </c>
      <c r="N562" s="811" t="s">
        <v>1608</v>
      </c>
      <c r="O562" s="811" t="s">
        <v>1640</v>
      </c>
      <c r="P562" s="811" t="s">
        <v>1630</v>
      </c>
      <c r="Q562" s="811" t="s">
        <v>1641</v>
      </c>
    </row>
    <row r="563" spans="1:17" x14ac:dyDescent="0.35">
      <c r="A563" s="811" t="s">
        <v>1622</v>
      </c>
      <c r="B563" s="811" t="s">
        <v>2315</v>
      </c>
      <c r="C563" s="812">
        <v>44311860</v>
      </c>
      <c r="D563" s="811" t="s">
        <v>1420</v>
      </c>
      <c r="E563" s="811" t="s">
        <v>1420</v>
      </c>
      <c r="F563" s="811" t="s">
        <v>1639</v>
      </c>
      <c r="G563" s="811" t="s">
        <v>1625</v>
      </c>
      <c r="H563" s="811" t="s">
        <v>1626</v>
      </c>
      <c r="I563" s="811" t="s">
        <v>1627</v>
      </c>
      <c r="J563" s="813">
        <v>44311860</v>
      </c>
      <c r="K563" s="811" t="s">
        <v>1628</v>
      </c>
      <c r="L563" s="811" t="s">
        <v>1210</v>
      </c>
      <c r="M563" s="811" t="s">
        <v>1608</v>
      </c>
      <c r="N563" s="811" t="s">
        <v>1608</v>
      </c>
      <c r="O563" s="811" t="s">
        <v>1640</v>
      </c>
      <c r="P563" s="811" t="s">
        <v>1630</v>
      </c>
      <c r="Q563" s="811" t="s">
        <v>1641</v>
      </c>
    </row>
    <row r="564" spans="1:17" x14ac:dyDescent="0.35">
      <c r="A564" s="811" t="s">
        <v>1622</v>
      </c>
      <c r="B564" s="811" t="s">
        <v>2316</v>
      </c>
      <c r="C564" s="812">
        <v>64260000</v>
      </c>
      <c r="D564" s="811" t="s">
        <v>1420</v>
      </c>
      <c r="E564" s="811" t="s">
        <v>1420</v>
      </c>
      <c r="F564" s="811" t="s">
        <v>1639</v>
      </c>
      <c r="G564" s="811" t="s">
        <v>1625</v>
      </c>
      <c r="H564" s="811" t="s">
        <v>1626</v>
      </c>
      <c r="I564" s="811" t="s">
        <v>1627</v>
      </c>
      <c r="J564" s="813">
        <v>64260000</v>
      </c>
      <c r="K564" s="811" t="s">
        <v>1628</v>
      </c>
      <c r="L564" s="811" t="s">
        <v>1210</v>
      </c>
      <c r="M564" s="811" t="s">
        <v>1608</v>
      </c>
      <c r="N564" s="811" t="s">
        <v>1608</v>
      </c>
      <c r="O564" s="811" t="s">
        <v>1640</v>
      </c>
      <c r="P564" s="811" t="s">
        <v>1630</v>
      </c>
      <c r="Q564" s="811" t="s">
        <v>1641</v>
      </c>
    </row>
    <row r="565" spans="1:17" x14ac:dyDescent="0.35">
      <c r="A565" s="811" t="s">
        <v>1622</v>
      </c>
      <c r="B565" s="811" t="s">
        <v>2317</v>
      </c>
      <c r="C565" s="812">
        <v>44064000</v>
      </c>
      <c r="D565" s="811" t="s">
        <v>1420</v>
      </c>
      <c r="E565" s="811" t="s">
        <v>1420</v>
      </c>
      <c r="F565" s="811" t="s">
        <v>1639</v>
      </c>
      <c r="G565" s="811" t="s">
        <v>1625</v>
      </c>
      <c r="H565" s="811" t="s">
        <v>1626</v>
      </c>
      <c r="I565" s="811" t="s">
        <v>1627</v>
      </c>
      <c r="J565" s="813">
        <v>44064000</v>
      </c>
      <c r="K565" s="811" t="s">
        <v>1628</v>
      </c>
      <c r="L565" s="811" t="s">
        <v>1210</v>
      </c>
      <c r="M565" s="811" t="s">
        <v>1608</v>
      </c>
      <c r="N565" s="811" t="s">
        <v>1608</v>
      </c>
      <c r="O565" s="811" t="s">
        <v>1640</v>
      </c>
      <c r="P565" s="811" t="s">
        <v>1630</v>
      </c>
      <c r="Q565" s="811" t="s">
        <v>1641</v>
      </c>
    </row>
    <row r="566" spans="1:17" x14ac:dyDescent="0.35">
      <c r="A566" s="811" t="s">
        <v>1622</v>
      </c>
      <c r="B566" s="811" t="s">
        <v>2318</v>
      </c>
      <c r="C566" s="812">
        <v>64260000</v>
      </c>
      <c r="D566" s="811" t="s">
        <v>1420</v>
      </c>
      <c r="E566" s="811" t="s">
        <v>1420</v>
      </c>
      <c r="F566" s="811" t="s">
        <v>1639</v>
      </c>
      <c r="G566" s="811" t="s">
        <v>1625</v>
      </c>
      <c r="H566" s="811" t="s">
        <v>1626</v>
      </c>
      <c r="I566" s="811" t="s">
        <v>1627</v>
      </c>
      <c r="J566" s="813">
        <v>64260000</v>
      </c>
      <c r="K566" s="811" t="s">
        <v>1628</v>
      </c>
      <c r="L566" s="811" t="s">
        <v>1210</v>
      </c>
      <c r="M566" s="811" t="s">
        <v>1608</v>
      </c>
      <c r="N566" s="811" t="s">
        <v>1608</v>
      </c>
      <c r="O566" s="811" t="s">
        <v>1640</v>
      </c>
      <c r="P566" s="811" t="s">
        <v>1630</v>
      </c>
      <c r="Q566" s="811" t="s">
        <v>1641</v>
      </c>
    </row>
    <row r="567" spans="1:17" x14ac:dyDescent="0.35">
      <c r="A567" s="811" t="s">
        <v>1622</v>
      </c>
      <c r="B567" s="811" t="s">
        <v>2319</v>
      </c>
      <c r="C567" s="812">
        <v>64260000</v>
      </c>
      <c r="D567" s="811" t="s">
        <v>1420</v>
      </c>
      <c r="E567" s="811" t="s">
        <v>1420</v>
      </c>
      <c r="F567" s="811" t="s">
        <v>1639</v>
      </c>
      <c r="G567" s="811" t="s">
        <v>1625</v>
      </c>
      <c r="H567" s="811" t="s">
        <v>1626</v>
      </c>
      <c r="I567" s="811" t="s">
        <v>1627</v>
      </c>
      <c r="J567" s="813">
        <v>64260000</v>
      </c>
      <c r="K567" s="811" t="s">
        <v>1628</v>
      </c>
      <c r="L567" s="811" t="s">
        <v>1210</v>
      </c>
      <c r="M567" s="811" t="s">
        <v>1608</v>
      </c>
      <c r="N567" s="811" t="s">
        <v>1608</v>
      </c>
      <c r="O567" s="811" t="s">
        <v>1640</v>
      </c>
      <c r="P567" s="811" t="s">
        <v>1630</v>
      </c>
      <c r="Q567" s="811" t="s">
        <v>1641</v>
      </c>
    </row>
    <row r="568" spans="1:17" x14ac:dyDescent="0.35">
      <c r="A568" s="811" t="s">
        <v>1622</v>
      </c>
      <c r="B568" s="811" t="s">
        <v>2320</v>
      </c>
      <c r="C568" s="812">
        <v>64260000</v>
      </c>
      <c r="D568" s="811" t="s">
        <v>1420</v>
      </c>
      <c r="E568" s="811" t="s">
        <v>1420</v>
      </c>
      <c r="F568" s="811" t="s">
        <v>1639</v>
      </c>
      <c r="G568" s="811" t="s">
        <v>1625</v>
      </c>
      <c r="H568" s="811" t="s">
        <v>1626</v>
      </c>
      <c r="I568" s="811" t="s">
        <v>1627</v>
      </c>
      <c r="J568" s="813">
        <v>64260000</v>
      </c>
      <c r="K568" s="811" t="s">
        <v>1628</v>
      </c>
      <c r="L568" s="811" t="s">
        <v>1210</v>
      </c>
      <c r="M568" s="811" t="s">
        <v>1608</v>
      </c>
      <c r="N568" s="811" t="s">
        <v>1608</v>
      </c>
      <c r="O568" s="811" t="s">
        <v>1640</v>
      </c>
      <c r="P568" s="811" t="s">
        <v>1630</v>
      </c>
      <c r="Q568" s="811" t="s">
        <v>1641</v>
      </c>
    </row>
    <row r="569" spans="1:17" x14ac:dyDescent="0.35">
      <c r="A569" s="811" t="s">
        <v>1622</v>
      </c>
      <c r="B569" s="811" t="s">
        <v>2321</v>
      </c>
      <c r="C569" s="812">
        <v>24530202</v>
      </c>
      <c r="D569" s="811" t="s">
        <v>1515</v>
      </c>
      <c r="E569" s="811" t="s">
        <v>1515</v>
      </c>
      <c r="F569" s="811" t="s">
        <v>1639</v>
      </c>
      <c r="G569" s="811" t="s">
        <v>1625</v>
      </c>
      <c r="H569" s="811" t="s">
        <v>1626</v>
      </c>
      <c r="I569" s="811" t="s">
        <v>1627</v>
      </c>
      <c r="J569" s="813">
        <v>24530202</v>
      </c>
      <c r="K569" s="811" t="s">
        <v>1628</v>
      </c>
      <c r="L569" s="811" t="s">
        <v>1210</v>
      </c>
      <c r="M569" s="811" t="s">
        <v>1608</v>
      </c>
      <c r="N569" s="811" t="s">
        <v>1608</v>
      </c>
      <c r="O569" s="811" t="s">
        <v>1818</v>
      </c>
      <c r="P569" s="811" t="s">
        <v>1630</v>
      </c>
      <c r="Q569" s="811" t="s">
        <v>1683</v>
      </c>
    </row>
    <row r="570" spans="1:17" x14ac:dyDescent="0.35">
      <c r="A570" s="811" t="s">
        <v>1622</v>
      </c>
      <c r="B570" s="811" t="s">
        <v>2322</v>
      </c>
      <c r="C570" s="812">
        <v>24530202</v>
      </c>
      <c r="D570" s="811" t="s">
        <v>1515</v>
      </c>
      <c r="E570" s="811" t="s">
        <v>1515</v>
      </c>
      <c r="F570" s="811" t="s">
        <v>1639</v>
      </c>
      <c r="G570" s="811" t="s">
        <v>1625</v>
      </c>
      <c r="H570" s="811" t="s">
        <v>1626</v>
      </c>
      <c r="I570" s="811" t="s">
        <v>1627</v>
      </c>
      <c r="J570" s="813">
        <v>24530202</v>
      </c>
      <c r="K570" s="811" t="s">
        <v>1628</v>
      </c>
      <c r="L570" s="811" t="s">
        <v>1210</v>
      </c>
      <c r="M570" s="811" t="s">
        <v>1608</v>
      </c>
      <c r="N570" s="811" t="s">
        <v>1608</v>
      </c>
      <c r="O570" s="811" t="s">
        <v>1818</v>
      </c>
      <c r="P570" s="811" t="s">
        <v>1630</v>
      </c>
      <c r="Q570" s="811" t="s">
        <v>1683</v>
      </c>
    </row>
    <row r="571" spans="1:17" x14ac:dyDescent="0.35">
      <c r="A571" s="811" t="s">
        <v>1776</v>
      </c>
      <c r="B571" s="811" t="s">
        <v>2323</v>
      </c>
      <c r="C571" s="812">
        <v>55000000</v>
      </c>
      <c r="D571" s="811" t="s">
        <v>1421</v>
      </c>
      <c r="E571" s="811" t="s">
        <v>1421</v>
      </c>
      <c r="F571" s="811" t="s">
        <v>1645</v>
      </c>
      <c r="G571" s="811" t="s">
        <v>1625</v>
      </c>
      <c r="H571" s="811" t="s">
        <v>1626</v>
      </c>
      <c r="I571" s="811" t="s">
        <v>1627</v>
      </c>
      <c r="J571" s="813">
        <v>55000000</v>
      </c>
      <c r="K571" s="811" t="s">
        <v>1628</v>
      </c>
      <c r="L571" s="811" t="s">
        <v>1210</v>
      </c>
      <c r="M571" s="811" t="s">
        <v>1608</v>
      </c>
      <c r="N571" s="811" t="s">
        <v>1608</v>
      </c>
      <c r="O571" s="811" t="s">
        <v>1659</v>
      </c>
      <c r="P571" s="811" t="s">
        <v>1630</v>
      </c>
      <c r="Q571" s="811" t="s">
        <v>1631</v>
      </c>
    </row>
    <row r="572" spans="1:17" x14ac:dyDescent="0.35">
      <c r="A572" s="811" t="s">
        <v>1622</v>
      </c>
      <c r="B572" s="811" t="s">
        <v>2324</v>
      </c>
      <c r="C572" s="812">
        <v>54000000</v>
      </c>
      <c r="D572" s="811" t="s">
        <v>1420</v>
      </c>
      <c r="E572" s="811" t="s">
        <v>1420</v>
      </c>
      <c r="F572" s="811" t="s">
        <v>1639</v>
      </c>
      <c r="G572" s="811" t="s">
        <v>1625</v>
      </c>
      <c r="H572" s="811" t="s">
        <v>1626</v>
      </c>
      <c r="I572" s="811" t="s">
        <v>1627</v>
      </c>
      <c r="J572" s="813">
        <v>54000000</v>
      </c>
      <c r="K572" s="811" t="s">
        <v>1628</v>
      </c>
      <c r="L572" s="811" t="s">
        <v>1210</v>
      </c>
      <c r="M572" s="811" t="s">
        <v>1608</v>
      </c>
      <c r="N572" s="811" t="s">
        <v>1608</v>
      </c>
      <c r="O572" s="811" t="s">
        <v>1659</v>
      </c>
      <c r="P572" s="811" t="s">
        <v>1630</v>
      </c>
      <c r="Q572" s="811" t="s">
        <v>1631</v>
      </c>
    </row>
    <row r="573" spans="1:17" x14ac:dyDescent="0.35">
      <c r="A573" s="811" t="s">
        <v>1622</v>
      </c>
      <c r="B573" s="811" t="s">
        <v>2325</v>
      </c>
      <c r="C573" s="812">
        <v>50150000</v>
      </c>
      <c r="D573" s="811" t="s">
        <v>1515</v>
      </c>
      <c r="E573" s="811" t="s">
        <v>1515</v>
      </c>
      <c r="F573" s="811" t="s">
        <v>1624</v>
      </c>
      <c r="G573" s="811" t="s">
        <v>1625</v>
      </c>
      <c r="H573" s="811" t="s">
        <v>1626</v>
      </c>
      <c r="I573" s="811" t="s">
        <v>1627</v>
      </c>
      <c r="J573" s="813">
        <v>50150000</v>
      </c>
      <c r="K573" s="811" t="s">
        <v>1628</v>
      </c>
      <c r="L573" s="811" t="s">
        <v>1210</v>
      </c>
      <c r="M573" s="811" t="s">
        <v>1608</v>
      </c>
      <c r="N573" s="811" t="s">
        <v>1608</v>
      </c>
      <c r="O573" s="811" t="s">
        <v>1659</v>
      </c>
      <c r="P573" s="811" t="s">
        <v>1630</v>
      </c>
      <c r="Q573" s="811" t="s">
        <v>1631</v>
      </c>
    </row>
    <row r="574" spans="1:17" x14ac:dyDescent="0.35">
      <c r="A574" s="811" t="s">
        <v>1622</v>
      </c>
      <c r="B574" s="811" t="s">
        <v>2326</v>
      </c>
      <c r="C574" s="812">
        <v>42500000</v>
      </c>
      <c r="D574" s="811" t="s">
        <v>1420</v>
      </c>
      <c r="E574" s="811" t="s">
        <v>1420</v>
      </c>
      <c r="F574" s="811" t="s">
        <v>1624</v>
      </c>
      <c r="G574" s="811" t="s">
        <v>1625</v>
      </c>
      <c r="H574" s="811" t="s">
        <v>1626</v>
      </c>
      <c r="I574" s="811" t="s">
        <v>1627</v>
      </c>
      <c r="J574" s="813">
        <v>42500000</v>
      </c>
      <c r="K574" s="811" t="s">
        <v>1628</v>
      </c>
      <c r="L574" s="811" t="s">
        <v>1210</v>
      </c>
      <c r="M574" s="811" t="s">
        <v>1608</v>
      </c>
      <c r="N574" s="811" t="s">
        <v>1608</v>
      </c>
      <c r="O574" s="811" t="s">
        <v>1659</v>
      </c>
      <c r="P574" s="811" t="s">
        <v>1630</v>
      </c>
      <c r="Q574" s="811" t="s">
        <v>1631</v>
      </c>
    </row>
    <row r="575" spans="1:17" x14ac:dyDescent="0.35">
      <c r="A575" s="811" t="s">
        <v>1622</v>
      </c>
      <c r="B575" s="811" t="s">
        <v>2327</v>
      </c>
      <c r="C575" s="812">
        <v>42500000</v>
      </c>
      <c r="D575" s="811" t="s">
        <v>1420</v>
      </c>
      <c r="E575" s="811" t="s">
        <v>1420</v>
      </c>
      <c r="F575" s="811" t="s">
        <v>1624</v>
      </c>
      <c r="G575" s="811" t="s">
        <v>1625</v>
      </c>
      <c r="H575" s="811" t="s">
        <v>1626</v>
      </c>
      <c r="I575" s="811" t="s">
        <v>1627</v>
      </c>
      <c r="J575" s="813">
        <v>42500000</v>
      </c>
      <c r="K575" s="811" t="s">
        <v>1628</v>
      </c>
      <c r="L575" s="811" t="s">
        <v>1210</v>
      </c>
      <c r="M575" s="811" t="s">
        <v>1608</v>
      </c>
      <c r="N575" s="811" t="s">
        <v>1608</v>
      </c>
      <c r="O575" s="811" t="s">
        <v>1659</v>
      </c>
      <c r="P575" s="811" t="s">
        <v>1630</v>
      </c>
      <c r="Q575" s="811" t="s">
        <v>1631</v>
      </c>
    </row>
    <row r="576" spans="1:17" x14ac:dyDescent="0.35">
      <c r="A576" s="811" t="s">
        <v>1622</v>
      </c>
      <c r="B576" s="811" t="s">
        <v>2328</v>
      </c>
      <c r="C576" s="812">
        <v>28800000</v>
      </c>
      <c r="D576" s="811" t="s">
        <v>1515</v>
      </c>
      <c r="E576" s="811" t="s">
        <v>1515</v>
      </c>
      <c r="F576" s="811" t="s">
        <v>1624</v>
      </c>
      <c r="G576" s="811" t="s">
        <v>1625</v>
      </c>
      <c r="H576" s="811" t="s">
        <v>1626</v>
      </c>
      <c r="I576" s="811" t="s">
        <v>1627</v>
      </c>
      <c r="J576" s="813">
        <v>28800000</v>
      </c>
      <c r="K576" s="811" t="s">
        <v>1628</v>
      </c>
      <c r="L576" s="811" t="s">
        <v>1210</v>
      </c>
      <c r="M576" s="811" t="s">
        <v>1608</v>
      </c>
      <c r="N576" s="811" t="s">
        <v>1608</v>
      </c>
      <c r="O576" s="811" t="s">
        <v>1659</v>
      </c>
      <c r="P576" s="811" t="s">
        <v>1630</v>
      </c>
      <c r="Q576" s="811" t="s">
        <v>1631</v>
      </c>
    </row>
    <row r="577" spans="1:17" x14ac:dyDescent="0.35">
      <c r="A577" s="811" t="s">
        <v>1622</v>
      </c>
      <c r="B577" s="811" t="s">
        <v>2329</v>
      </c>
      <c r="C577" s="812">
        <v>28800000</v>
      </c>
      <c r="D577" s="811" t="s">
        <v>1515</v>
      </c>
      <c r="E577" s="811" t="s">
        <v>1515</v>
      </c>
      <c r="F577" s="811" t="s">
        <v>1624</v>
      </c>
      <c r="G577" s="811" t="s">
        <v>1625</v>
      </c>
      <c r="H577" s="811" t="s">
        <v>1626</v>
      </c>
      <c r="I577" s="811" t="s">
        <v>1627</v>
      </c>
      <c r="J577" s="813">
        <v>28800000</v>
      </c>
      <c r="K577" s="811" t="s">
        <v>1628</v>
      </c>
      <c r="L577" s="811" t="s">
        <v>1210</v>
      </c>
      <c r="M577" s="811" t="s">
        <v>1608</v>
      </c>
      <c r="N577" s="811" t="s">
        <v>1608</v>
      </c>
      <c r="O577" s="811" t="s">
        <v>1659</v>
      </c>
      <c r="P577" s="811" t="s">
        <v>1630</v>
      </c>
      <c r="Q577" s="811" t="s">
        <v>1631</v>
      </c>
    </row>
    <row r="578" spans="1:17" x14ac:dyDescent="0.35">
      <c r="A578" s="811" t="s">
        <v>1622</v>
      </c>
      <c r="B578" s="811" t="s">
        <v>2330</v>
      </c>
      <c r="C578" s="812">
        <v>42400000</v>
      </c>
      <c r="D578" s="811" t="s">
        <v>1515</v>
      </c>
      <c r="E578" s="811" t="s">
        <v>1515</v>
      </c>
      <c r="F578" s="811" t="s">
        <v>1624</v>
      </c>
      <c r="G578" s="811" t="s">
        <v>1625</v>
      </c>
      <c r="H578" s="811" t="s">
        <v>1626</v>
      </c>
      <c r="I578" s="811" t="s">
        <v>1627</v>
      </c>
      <c r="J578" s="813">
        <v>42400000</v>
      </c>
      <c r="K578" s="811" t="s">
        <v>1628</v>
      </c>
      <c r="L578" s="811" t="s">
        <v>1210</v>
      </c>
      <c r="M578" s="811" t="s">
        <v>1608</v>
      </c>
      <c r="N578" s="811" t="s">
        <v>1608</v>
      </c>
      <c r="O578" s="811" t="s">
        <v>1659</v>
      </c>
      <c r="P578" s="811" t="s">
        <v>1630</v>
      </c>
      <c r="Q578" s="811" t="s">
        <v>1631</v>
      </c>
    </row>
    <row r="579" spans="1:17" x14ac:dyDescent="0.35">
      <c r="A579" s="811" t="s">
        <v>1622</v>
      </c>
      <c r="B579" s="811" t="s">
        <v>2331</v>
      </c>
      <c r="C579" s="812">
        <v>42400000</v>
      </c>
      <c r="D579" s="811" t="s">
        <v>1515</v>
      </c>
      <c r="E579" s="811" t="s">
        <v>1515</v>
      </c>
      <c r="F579" s="811" t="s">
        <v>1624</v>
      </c>
      <c r="G579" s="811" t="s">
        <v>1625</v>
      </c>
      <c r="H579" s="811" t="s">
        <v>1626</v>
      </c>
      <c r="I579" s="811" t="s">
        <v>1627</v>
      </c>
      <c r="J579" s="813">
        <v>42400000</v>
      </c>
      <c r="K579" s="811" t="s">
        <v>1628</v>
      </c>
      <c r="L579" s="811" t="s">
        <v>1210</v>
      </c>
      <c r="M579" s="811" t="s">
        <v>1608</v>
      </c>
      <c r="N579" s="811" t="s">
        <v>1608</v>
      </c>
      <c r="O579" s="811" t="s">
        <v>1659</v>
      </c>
      <c r="P579" s="811" t="s">
        <v>1630</v>
      </c>
      <c r="Q579" s="811" t="s">
        <v>1631</v>
      </c>
    </row>
    <row r="580" spans="1:17" x14ac:dyDescent="0.35">
      <c r="A580" s="811" t="s">
        <v>1622</v>
      </c>
      <c r="B580" s="811" t="s">
        <v>2332</v>
      </c>
      <c r="C580" s="812">
        <v>42400000</v>
      </c>
      <c r="D580" s="811" t="s">
        <v>1515</v>
      </c>
      <c r="E580" s="811" t="s">
        <v>1515</v>
      </c>
      <c r="F580" s="811" t="s">
        <v>1624</v>
      </c>
      <c r="G580" s="811" t="s">
        <v>1625</v>
      </c>
      <c r="H580" s="811" t="s">
        <v>1626</v>
      </c>
      <c r="I580" s="811" t="s">
        <v>1627</v>
      </c>
      <c r="J580" s="813">
        <v>42400000</v>
      </c>
      <c r="K580" s="811" t="s">
        <v>1628</v>
      </c>
      <c r="L580" s="811" t="s">
        <v>1210</v>
      </c>
      <c r="M580" s="811" t="s">
        <v>1608</v>
      </c>
      <c r="N580" s="811" t="s">
        <v>1608</v>
      </c>
      <c r="O580" s="811" t="s">
        <v>1659</v>
      </c>
      <c r="P580" s="811" t="s">
        <v>1630</v>
      </c>
      <c r="Q580" s="811" t="s">
        <v>1631</v>
      </c>
    </row>
    <row r="581" spans="1:17" x14ac:dyDescent="0.35">
      <c r="A581" s="811" t="s">
        <v>1622</v>
      </c>
      <c r="B581" s="811" t="s">
        <v>2333</v>
      </c>
      <c r="C581" s="812">
        <v>36000000</v>
      </c>
      <c r="D581" s="811" t="s">
        <v>1420</v>
      </c>
      <c r="E581" s="811" t="s">
        <v>1420</v>
      </c>
      <c r="F581" s="811" t="s">
        <v>1639</v>
      </c>
      <c r="G581" s="811" t="s">
        <v>1625</v>
      </c>
      <c r="H581" s="811" t="s">
        <v>1626</v>
      </c>
      <c r="I581" s="811" t="s">
        <v>1627</v>
      </c>
      <c r="J581" s="813">
        <v>36000000</v>
      </c>
      <c r="K581" s="811" t="s">
        <v>1628</v>
      </c>
      <c r="L581" s="811" t="s">
        <v>1210</v>
      </c>
      <c r="M581" s="811" t="s">
        <v>1608</v>
      </c>
      <c r="N581" s="811" t="s">
        <v>1608</v>
      </c>
      <c r="O581" s="811" t="s">
        <v>1659</v>
      </c>
      <c r="P581" s="811" t="s">
        <v>1630</v>
      </c>
      <c r="Q581" s="811" t="s">
        <v>1631</v>
      </c>
    </row>
    <row r="582" spans="1:17" x14ac:dyDescent="0.35">
      <c r="A582" s="811" t="s">
        <v>1622</v>
      </c>
      <c r="B582" s="811" t="s">
        <v>2334</v>
      </c>
      <c r="C582" s="812">
        <v>63600000</v>
      </c>
      <c r="D582" s="811" t="s">
        <v>1424</v>
      </c>
      <c r="E582" s="811" t="s">
        <v>1424</v>
      </c>
      <c r="F582" s="811" t="s">
        <v>1662</v>
      </c>
      <c r="G582" s="811" t="s">
        <v>1625</v>
      </c>
      <c r="H582" s="811" t="s">
        <v>1626</v>
      </c>
      <c r="I582" s="811" t="s">
        <v>1627</v>
      </c>
      <c r="J582" s="813">
        <v>63600000</v>
      </c>
      <c r="K582" s="811" t="s">
        <v>1628</v>
      </c>
      <c r="L582" s="811" t="s">
        <v>1210</v>
      </c>
      <c r="M582" s="811" t="s">
        <v>1608</v>
      </c>
      <c r="N582" s="811" t="s">
        <v>1608</v>
      </c>
      <c r="O582" s="811" t="s">
        <v>1659</v>
      </c>
      <c r="P582" s="811" t="s">
        <v>1630</v>
      </c>
      <c r="Q582" s="811" t="s">
        <v>1631</v>
      </c>
    </row>
    <row r="583" spans="1:17" x14ac:dyDescent="0.35">
      <c r="A583" s="811" t="s">
        <v>1622</v>
      </c>
      <c r="B583" s="811" t="s">
        <v>2335</v>
      </c>
      <c r="C583" s="812">
        <v>44000000</v>
      </c>
      <c r="D583" s="811" t="s">
        <v>1515</v>
      </c>
      <c r="E583" s="811" t="s">
        <v>1515</v>
      </c>
      <c r="F583" s="811" t="s">
        <v>1624</v>
      </c>
      <c r="G583" s="811" t="s">
        <v>1625</v>
      </c>
      <c r="H583" s="811" t="s">
        <v>1626</v>
      </c>
      <c r="I583" s="811" t="s">
        <v>1627</v>
      </c>
      <c r="J583" s="813">
        <v>44000000</v>
      </c>
      <c r="K583" s="811" t="s">
        <v>1628</v>
      </c>
      <c r="L583" s="811" t="s">
        <v>1210</v>
      </c>
      <c r="M583" s="811" t="s">
        <v>1608</v>
      </c>
      <c r="N583" s="811" t="s">
        <v>1608</v>
      </c>
      <c r="O583" s="811" t="s">
        <v>1659</v>
      </c>
      <c r="P583" s="811" t="s">
        <v>1630</v>
      </c>
      <c r="Q583" s="811" t="s">
        <v>1631</v>
      </c>
    </row>
    <row r="584" spans="1:17" x14ac:dyDescent="0.35">
      <c r="A584" s="811" t="s">
        <v>1622</v>
      </c>
      <c r="B584" s="811" t="s">
        <v>2336</v>
      </c>
      <c r="C584" s="812">
        <v>43470000</v>
      </c>
      <c r="D584" s="811" t="s">
        <v>1424</v>
      </c>
      <c r="E584" s="811" t="s">
        <v>1424</v>
      </c>
      <c r="F584" s="811" t="s">
        <v>1671</v>
      </c>
      <c r="G584" s="811" t="s">
        <v>1625</v>
      </c>
      <c r="H584" s="811" t="s">
        <v>1626</v>
      </c>
      <c r="I584" s="811" t="s">
        <v>1627</v>
      </c>
      <c r="J584" s="813">
        <v>43470000</v>
      </c>
      <c r="K584" s="811" t="s">
        <v>1628</v>
      </c>
      <c r="L584" s="811" t="s">
        <v>1210</v>
      </c>
      <c r="M584" s="811" t="s">
        <v>1608</v>
      </c>
      <c r="N584" s="811" t="s">
        <v>1608</v>
      </c>
      <c r="O584" s="811" t="s">
        <v>1672</v>
      </c>
      <c r="P584" s="811" t="s">
        <v>1630</v>
      </c>
      <c r="Q584" s="811" t="s">
        <v>1673</v>
      </c>
    </row>
    <row r="585" spans="1:17" x14ac:dyDescent="0.35">
      <c r="A585" s="811" t="s">
        <v>1622</v>
      </c>
      <c r="B585" s="811" t="s">
        <v>2337</v>
      </c>
      <c r="C585" s="812">
        <v>60000000</v>
      </c>
      <c r="D585" s="811" t="s">
        <v>1414</v>
      </c>
      <c r="E585" s="811" t="s">
        <v>1414</v>
      </c>
      <c r="F585" s="811" t="s">
        <v>1658</v>
      </c>
      <c r="G585" s="811" t="s">
        <v>1625</v>
      </c>
      <c r="H585" s="811" t="s">
        <v>1626</v>
      </c>
      <c r="I585" s="811" t="s">
        <v>1627</v>
      </c>
      <c r="J585" s="813">
        <v>60000000</v>
      </c>
      <c r="K585" s="811" t="s">
        <v>1628</v>
      </c>
      <c r="L585" s="811" t="s">
        <v>1210</v>
      </c>
      <c r="M585" s="811" t="s">
        <v>1608</v>
      </c>
      <c r="N585" s="811" t="s">
        <v>1608</v>
      </c>
      <c r="O585" s="811" t="s">
        <v>2092</v>
      </c>
      <c r="P585" s="811" t="s">
        <v>2093</v>
      </c>
      <c r="Q585" s="811" t="s">
        <v>2094</v>
      </c>
    </row>
    <row r="586" spans="1:17" x14ac:dyDescent="0.35">
      <c r="A586" s="811" t="s">
        <v>1622</v>
      </c>
      <c r="B586" s="811" t="s">
        <v>2338</v>
      </c>
      <c r="C586" s="812">
        <v>65000000</v>
      </c>
      <c r="D586" s="811" t="s">
        <v>1424</v>
      </c>
      <c r="E586" s="811" t="s">
        <v>1424</v>
      </c>
      <c r="F586" s="811" t="s">
        <v>1658</v>
      </c>
      <c r="G586" s="811" t="s">
        <v>1625</v>
      </c>
      <c r="H586" s="811" t="s">
        <v>1626</v>
      </c>
      <c r="I586" s="811" t="s">
        <v>1627</v>
      </c>
      <c r="J586" s="813">
        <v>65000000</v>
      </c>
      <c r="K586" s="811" t="s">
        <v>1628</v>
      </c>
      <c r="L586" s="811" t="s">
        <v>1210</v>
      </c>
      <c r="M586" s="811" t="s">
        <v>1608</v>
      </c>
      <c r="N586" s="811" t="s">
        <v>1608</v>
      </c>
      <c r="O586" s="811" t="s">
        <v>2092</v>
      </c>
      <c r="P586" s="811" t="s">
        <v>2093</v>
      </c>
      <c r="Q586" s="811" t="s">
        <v>2094</v>
      </c>
    </row>
    <row r="587" spans="1:17" x14ac:dyDescent="0.35">
      <c r="A587" s="811" t="s">
        <v>1622</v>
      </c>
      <c r="B587" s="811" t="s">
        <v>2339</v>
      </c>
      <c r="C587" s="812">
        <v>37500000</v>
      </c>
      <c r="D587" s="811" t="s">
        <v>1421</v>
      </c>
      <c r="E587" s="811" t="s">
        <v>1421</v>
      </c>
      <c r="F587" s="811" t="s">
        <v>1671</v>
      </c>
      <c r="G587" s="811" t="s">
        <v>1625</v>
      </c>
      <c r="H587" s="811" t="s">
        <v>1626</v>
      </c>
      <c r="I587" s="811" t="s">
        <v>1627</v>
      </c>
      <c r="J587" s="813">
        <v>37500000</v>
      </c>
      <c r="K587" s="811" t="s">
        <v>1628</v>
      </c>
      <c r="L587" s="811" t="s">
        <v>1210</v>
      </c>
      <c r="M587" s="811" t="s">
        <v>1608</v>
      </c>
      <c r="N587" s="811" t="s">
        <v>1608</v>
      </c>
      <c r="O587" s="811" t="s">
        <v>1629</v>
      </c>
      <c r="P587" s="811" t="s">
        <v>1630</v>
      </c>
      <c r="Q587" s="811" t="s">
        <v>1631</v>
      </c>
    </row>
    <row r="588" spans="1:17" x14ac:dyDescent="0.35">
      <c r="A588" s="811" t="s">
        <v>2340</v>
      </c>
      <c r="B588" s="811" t="s">
        <v>2341</v>
      </c>
      <c r="C588" s="812">
        <v>292754108</v>
      </c>
      <c r="D588" s="811" t="s">
        <v>1421</v>
      </c>
      <c r="E588" s="811" t="s">
        <v>1428</v>
      </c>
      <c r="F588" s="811" t="s">
        <v>1645</v>
      </c>
      <c r="G588" s="811" t="s">
        <v>1625</v>
      </c>
      <c r="H588" s="811" t="s">
        <v>1713</v>
      </c>
      <c r="I588" s="811" t="s">
        <v>1627</v>
      </c>
      <c r="J588" s="813">
        <v>292754108</v>
      </c>
      <c r="K588" s="811" t="s">
        <v>1628</v>
      </c>
      <c r="L588" s="811" t="s">
        <v>1210</v>
      </c>
      <c r="M588" s="811" t="s">
        <v>1608</v>
      </c>
      <c r="N588" s="811" t="s">
        <v>1608</v>
      </c>
      <c r="O588" s="811" t="s">
        <v>1672</v>
      </c>
      <c r="P588" s="811" t="s">
        <v>1630</v>
      </c>
      <c r="Q588" s="811" t="s">
        <v>1673</v>
      </c>
    </row>
    <row r="589" spans="1:17" x14ac:dyDescent="0.35">
      <c r="A589" s="811" t="s">
        <v>1622</v>
      </c>
      <c r="B589" s="811" t="s">
        <v>2342</v>
      </c>
      <c r="C589" s="812">
        <v>18600000</v>
      </c>
      <c r="D589" s="811" t="s">
        <v>1421</v>
      </c>
      <c r="E589" s="811" t="s">
        <v>1421</v>
      </c>
      <c r="F589" s="811" t="s">
        <v>1635</v>
      </c>
      <c r="G589" s="811" t="s">
        <v>1625</v>
      </c>
      <c r="H589" s="811" t="s">
        <v>1626</v>
      </c>
      <c r="I589" s="811" t="s">
        <v>1627</v>
      </c>
      <c r="J589" s="813">
        <v>18600000</v>
      </c>
      <c r="K589" s="811" t="s">
        <v>1628</v>
      </c>
      <c r="L589" s="811" t="s">
        <v>1210</v>
      </c>
      <c r="M589" s="811" t="s">
        <v>1608</v>
      </c>
      <c r="N589" s="811" t="s">
        <v>1608</v>
      </c>
      <c r="O589" s="811" t="s">
        <v>1682</v>
      </c>
      <c r="P589" s="811" t="s">
        <v>1630</v>
      </c>
      <c r="Q589" s="811" t="s">
        <v>1683</v>
      </c>
    </row>
    <row r="590" spans="1:17" x14ac:dyDescent="0.35">
      <c r="A590" s="811" t="s">
        <v>2343</v>
      </c>
      <c r="B590" s="811" t="s">
        <v>2344</v>
      </c>
      <c r="C590" s="812">
        <v>10000000</v>
      </c>
      <c r="D590" s="811" t="s">
        <v>1421</v>
      </c>
      <c r="E590" s="811" t="s">
        <v>1421</v>
      </c>
      <c r="F590" s="811" t="s">
        <v>1712</v>
      </c>
      <c r="G590" s="811" t="s">
        <v>1625</v>
      </c>
      <c r="H590" s="811" t="s">
        <v>1550</v>
      </c>
      <c r="I590" s="811" t="s">
        <v>1627</v>
      </c>
      <c r="J590" s="813">
        <v>10000000</v>
      </c>
      <c r="K590" s="811" t="s">
        <v>1628</v>
      </c>
      <c r="L590" s="811" t="s">
        <v>1210</v>
      </c>
      <c r="M590" s="811" t="s">
        <v>1608</v>
      </c>
      <c r="N590" s="811" t="s">
        <v>1608</v>
      </c>
      <c r="O590" s="811" t="s">
        <v>1682</v>
      </c>
      <c r="P590" s="811" t="s">
        <v>1630</v>
      </c>
      <c r="Q590" s="811" t="s">
        <v>1683</v>
      </c>
    </row>
    <row r="591" spans="1:17" x14ac:dyDescent="0.35">
      <c r="A591" s="811" t="s">
        <v>1622</v>
      </c>
      <c r="B591" s="811" t="s">
        <v>2345</v>
      </c>
      <c r="C591" s="812">
        <v>18600000</v>
      </c>
      <c r="D591" s="811" t="s">
        <v>1421</v>
      </c>
      <c r="E591" s="811" t="s">
        <v>1421</v>
      </c>
      <c r="F591" s="811" t="s">
        <v>1635</v>
      </c>
      <c r="G591" s="811" t="s">
        <v>1625</v>
      </c>
      <c r="H591" s="811" t="s">
        <v>1626</v>
      </c>
      <c r="I591" s="811" t="s">
        <v>1627</v>
      </c>
      <c r="J591" s="813">
        <v>18600000</v>
      </c>
      <c r="K591" s="811" t="s">
        <v>1628</v>
      </c>
      <c r="L591" s="811" t="s">
        <v>1210</v>
      </c>
      <c r="M591" s="811" t="s">
        <v>1608</v>
      </c>
      <c r="N591" s="811" t="s">
        <v>1608</v>
      </c>
      <c r="O591" s="811" t="s">
        <v>1682</v>
      </c>
      <c r="P591" s="811" t="s">
        <v>1630</v>
      </c>
      <c r="Q591" s="811" t="s">
        <v>1683</v>
      </c>
    </row>
    <row r="592" spans="1:17" x14ac:dyDescent="0.35">
      <c r="A592" s="811" t="s">
        <v>1622</v>
      </c>
      <c r="B592" s="811" t="s">
        <v>2346</v>
      </c>
      <c r="C592" s="812">
        <v>18600000</v>
      </c>
      <c r="D592" s="811" t="s">
        <v>1421</v>
      </c>
      <c r="E592" s="811" t="s">
        <v>1421</v>
      </c>
      <c r="F592" s="811" t="s">
        <v>1635</v>
      </c>
      <c r="G592" s="811" t="s">
        <v>1625</v>
      </c>
      <c r="H592" s="811" t="s">
        <v>1626</v>
      </c>
      <c r="I592" s="811" t="s">
        <v>1627</v>
      </c>
      <c r="J592" s="813">
        <v>18600000</v>
      </c>
      <c r="K592" s="811" t="s">
        <v>1628</v>
      </c>
      <c r="L592" s="811" t="s">
        <v>1210</v>
      </c>
      <c r="M592" s="811" t="s">
        <v>1608</v>
      </c>
      <c r="N592" s="811" t="s">
        <v>1608</v>
      </c>
      <c r="O592" s="811" t="s">
        <v>1682</v>
      </c>
      <c r="P592" s="811" t="s">
        <v>1630</v>
      </c>
      <c r="Q592" s="811" t="s">
        <v>1683</v>
      </c>
    </row>
    <row r="593" spans="1:17" x14ac:dyDescent="0.35">
      <c r="A593" s="811" t="s">
        <v>1622</v>
      </c>
      <c r="B593" s="811" t="s">
        <v>2347</v>
      </c>
      <c r="C593" s="812">
        <v>18000000</v>
      </c>
      <c r="D593" s="811" t="s">
        <v>1421</v>
      </c>
      <c r="E593" s="811" t="s">
        <v>1421</v>
      </c>
      <c r="F593" s="811" t="s">
        <v>1635</v>
      </c>
      <c r="G593" s="811" t="s">
        <v>1625</v>
      </c>
      <c r="H593" s="811" t="s">
        <v>1626</v>
      </c>
      <c r="I593" s="811" t="s">
        <v>1627</v>
      </c>
      <c r="J593" s="813">
        <v>18000000</v>
      </c>
      <c r="K593" s="811" t="s">
        <v>1628</v>
      </c>
      <c r="L593" s="811" t="s">
        <v>1210</v>
      </c>
      <c r="M593" s="811" t="s">
        <v>1608</v>
      </c>
      <c r="N593" s="811" t="s">
        <v>1608</v>
      </c>
      <c r="O593" s="811" t="s">
        <v>1682</v>
      </c>
      <c r="P593" s="811" t="s">
        <v>1630</v>
      </c>
      <c r="Q593" s="811" t="s">
        <v>1683</v>
      </c>
    </row>
    <row r="594" spans="1:17" x14ac:dyDescent="0.35">
      <c r="A594" s="811" t="s">
        <v>1622</v>
      </c>
      <c r="B594" s="811" t="s">
        <v>2348</v>
      </c>
      <c r="C594" s="812">
        <v>17025000</v>
      </c>
      <c r="D594" s="811" t="s">
        <v>1421</v>
      </c>
      <c r="E594" s="811" t="s">
        <v>1421</v>
      </c>
      <c r="F594" s="811" t="s">
        <v>1624</v>
      </c>
      <c r="G594" s="811" t="s">
        <v>1625</v>
      </c>
      <c r="H594" s="811" t="s">
        <v>1626</v>
      </c>
      <c r="I594" s="811" t="s">
        <v>1627</v>
      </c>
      <c r="J594" s="813">
        <v>17025000</v>
      </c>
      <c r="K594" s="811" t="s">
        <v>1628</v>
      </c>
      <c r="L594" s="811" t="s">
        <v>1210</v>
      </c>
      <c r="M594" s="811" t="s">
        <v>1608</v>
      </c>
      <c r="N594" s="811" t="s">
        <v>1608</v>
      </c>
      <c r="O594" s="811" t="s">
        <v>1640</v>
      </c>
      <c r="P594" s="811" t="s">
        <v>1630</v>
      </c>
      <c r="Q594" s="811" t="s">
        <v>1641</v>
      </c>
    </row>
    <row r="595" spans="1:17" x14ac:dyDescent="0.35">
      <c r="A595" s="811" t="s">
        <v>1622</v>
      </c>
      <c r="B595" s="811" t="s">
        <v>2349</v>
      </c>
      <c r="C595" s="812">
        <v>42075000</v>
      </c>
      <c r="D595" s="811" t="s">
        <v>1421</v>
      </c>
      <c r="E595" s="811" t="s">
        <v>1421</v>
      </c>
      <c r="F595" s="811" t="s">
        <v>1624</v>
      </c>
      <c r="G595" s="811" t="s">
        <v>1625</v>
      </c>
      <c r="H595" s="811" t="s">
        <v>1626</v>
      </c>
      <c r="I595" s="811" t="s">
        <v>1627</v>
      </c>
      <c r="J595" s="813">
        <v>42075000</v>
      </c>
      <c r="K595" s="811" t="s">
        <v>1628</v>
      </c>
      <c r="L595" s="811" t="s">
        <v>1210</v>
      </c>
      <c r="M595" s="811" t="s">
        <v>1608</v>
      </c>
      <c r="N595" s="811" t="s">
        <v>1608</v>
      </c>
      <c r="O595" s="811" t="s">
        <v>1640</v>
      </c>
      <c r="P595" s="811" t="s">
        <v>1630</v>
      </c>
      <c r="Q595" s="811" t="s">
        <v>1641</v>
      </c>
    </row>
    <row r="596" spans="1:17" x14ac:dyDescent="0.35">
      <c r="A596" s="811" t="s">
        <v>1622</v>
      </c>
      <c r="B596" s="811" t="s">
        <v>2350</v>
      </c>
      <c r="C596" s="812">
        <v>35432514</v>
      </c>
      <c r="D596" s="811" t="s">
        <v>1421</v>
      </c>
      <c r="E596" s="811" t="s">
        <v>1421</v>
      </c>
      <c r="F596" s="811" t="s">
        <v>1635</v>
      </c>
      <c r="G596" s="811" t="s">
        <v>1625</v>
      </c>
      <c r="H596" s="811" t="s">
        <v>1626</v>
      </c>
      <c r="I596" s="811" t="s">
        <v>1627</v>
      </c>
      <c r="J596" s="813">
        <v>35432514</v>
      </c>
      <c r="K596" s="811" t="s">
        <v>1628</v>
      </c>
      <c r="L596" s="811" t="s">
        <v>1210</v>
      </c>
      <c r="M596" s="811" t="s">
        <v>1608</v>
      </c>
      <c r="N596" s="811" t="s">
        <v>1608</v>
      </c>
      <c r="O596" s="811" t="s">
        <v>1696</v>
      </c>
      <c r="P596" s="811" t="s">
        <v>1630</v>
      </c>
      <c r="Q596" s="811" t="s">
        <v>1697</v>
      </c>
    </row>
    <row r="597" spans="1:17" x14ac:dyDescent="0.35">
      <c r="A597" s="811" t="s">
        <v>1622</v>
      </c>
      <c r="B597" s="811" t="s">
        <v>2351</v>
      </c>
      <c r="C597" s="812">
        <v>14536416</v>
      </c>
      <c r="D597" s="811" t="s">
        <v>1421</v>
      </c>
      <c r="E597" s="811" t="s">
        <v>1421</v>
      </c>
      <c r="F597" s="811" t="s">
        <v>1691</v>
      </c>
      <c r="G597" s="811" t="s">
        <v>1625</v>
      </c>
      <c r="H597" s="811" t="s">
        <v>1626</v>
      </c>
      <c r="I597" s="811" t="s">
        <v>1627</v>
      </c>
      <c r="J597" s="813">
        <v>14536416</v>
      </c>
      <c r="K597" s="811" t="s">
        <v>1628</v>
      </c>
      <c r="L597" s="811" t="s">
        <v>1210</v>
      </c>
      <c r="M597" s="811" t="s">
        <v>1608</v>
      </c>
      <c r="N597" s="811" t="s">
        <v>1608</v>
      </c>
      <c r="O597" s="811" t="s">
        <v>1696</v>
      </c>
      <c r="P597" s="811" t="s">
        <v>1630</v>
      </c>
      <c r="Q597" s="811" t="s">
        <v>1697</v>
      </c>
    </row>
    <row r="598" spans="1:17" x14ac:dyDescent="0.35">
      <c r="A598" s="811" t="s">
        <v>1622</v>
      </c>
      <c r="B598" s="811" t="s">
        <v>2352</v>
      </c>
      <c r="C598" s="812">
        <v>20441835</v>
      </c>
      <c r="D598" s="811" t="s">
        <v>1515</v>
      </c>
      <c r="E598" s="811" t="s">
        <v>1515</v>
      </c>
      <c r="F598" s="811" t="s">
        <v>1712</v>
      </c>
      <c r="G598" s="811" t="s">
        <v>1625</v>
      </c>
      <c r="H598" s="811" t="s">
        <v>1626</v>
      </c>
      <c r="I598" s="811" t="s">
        <v>1627</v>
      </c>
      <c r="J598" s="813">
        <v>20441835</v>
      </c>
      <c r="K598" s="811" t="s">
        <v>1628</v>
      </c>
      <c r="L598" s="811" t="s">
        <v>1210</v>
      </c>
      <c r="M598" s="811" t="s">
        <v>1608</v>
      </c>
      <c r="N598" s="811" t="s">
        <v>1608</v>
      </c>
      <c r="O598" s="811" t="s">
        <v>1818</v>
      </c>
      <c r="P598" s="811" t="s">
        <v>1630</v>
      </c>
      <c r="Q598" s="811" t="s">
        <v>1683</v>
      </c>
    </row>
    <row r="599" spans="1:17" x14ac:dyDescent="0.35">
      <c r="A599" s="811" t="s">
        <v>1622</v>
      </c>
      <c r="B599" s="811" t="s">
        <v>2353</v>
      </c>
      <c r="C599" s="812">
        <v>44958672</v>
      </c>
      <c r="D599" s="811" t="s">
        <v>1424</v>
      </c>
      <c r="E599" s="811" t="s">
        <v>1424</v>
      </c>
      <c r="F599" s="811" t="s">
        <v>1662</v>
      </c>
      <c r="G599" s="811" t="s">
        <v>1625</v>
      </c>
      <c r="H599" s="811" t="s">
        <v>1626</v>
      </c>
      <c r="I599" s="811" t="s">
        <v>1627</v>
      </c>
      <c r="J599" s="813">
        <v>44958672</v>
      </c>
      <c r="K599" s="811" t="s">
        <v>1628</v>
      </c>
      <c r="L599" s="811" t="s">
        <v>1210</v>
      </c>
      <c r="M599" s="811" t="s">
        <v>1608</v>
      </c>
      <c r="N599" s="811" t="s">
        <v>1608</v>
      </c>
      <c r="O599" s="811" t="s">
        <v>1818</v>
      </c>
      <c r="P599" s="811" t="s">
        <v>1630</v>
      </c>
      <c r="Q599" s="811" t="s">
        <v>1683</v>
      </c>
    </row>
    <row r="600" spans="1:17" x14ac:dyDescent="0.35">
      <c r="A600" s="811" t="s">
        <v>1622</v>
      </c>
      <c r="B600" s="811" t="s">
        <v>2354</v>
      </c>
      <c r="C600" s="812">
        <v>43056000</v>
      </c>
      <c r="D600" s="811" t="s">
        <v>1420</v>
      </c>
      <c r="E600" s="811" t="s">
        <v>1515</v>
      </c>
      <c r="F600" s="811" t="s">
        <v>1624</v>
      </c>
      <c r="G600" s="811" t="s">
        <v>1625</v>
      </c>
      <c r="H600" s="811" t="s">
        <v>1626</v>
      </c>
      <c r="I600" s="811" t="s">
        <v>1627</v>
      </c>
      <c r="J600" s="813">
        <v>43056000</v>
      </c>
      <c r="K600" s="811" t="s">
        <v>1628</v>
      </c>
      <c r="L600" s="811" t="s">
        <v>1210</v>
      </c>
      <c r="M600" s="811" t="s">
        <v>1608</v>
      </c>
      <c r="N600" s="811" t="s">
        <v>1608</v>
      </c>
      <c r="O600" s="811" t="s">
        <v>1672</v>
      </c>
      <c r="P600" s="811" t="s">
        <v>1630</v>
      </c>
      <c r="Q600" s="811" t="s">
        <v>1673</v>
      </c>
    </row>
    <row r="601" spans="1:17" x14ac:dyDescent="0.35">
      <c r="A601" s="811" t="s">
        <v>1622</v>
      </c>
      <c r="B601" s="811" t="s">
        <v>2355</v>
      </c>
      <c r="C601" s="812">
        <v>56000000</v>
      </c>
      <c r="D601" s="811" t="s">
        <v>1420</v>
      </c>
      <c r="E601" s="811" t="s">
        <v>1420</v>
      </c>
      <c r="F601" s="811" t="s">
        <v>1624</v>
      </c>
      <c r="G601" s="811" t="s">
        <v>1625</v>
      </c>
      <c r="H601" s="811" t="s">
        <v>1626</v>
      </c>
      <c r="I601" s="811" t="s">
        <v>1627</v>
      </c>
      <c r="J601" s="813">
        <v>56000000</v>
      </c>
      <c r="K601" s="811" t="s">
        <v>1628</v>
      </c>
      <c r="L601" s="811" t="s">
        <v>1210</v>
      </c>
      <c r="M601" s="811" t="s">
        <v>1608</v>
      </c>
      <c r="N601" s="811" t="s">
        <v>1608</v>
      </c>
      <c r="O601" s="811" t="s">
        <v>1702</v>
      </c>
      <c r="P601" s="811" t="s">
        <v>1630</v>
      </c>
      <c r="Q601" s="811" t="s">
        <v>1637</v>
      </c>
    </row>
    <row r="602" spans="1:17" x14ac:dyDescent="0.35">
      <c r="A602" s="811" t="s">
        <v>1622</v>
      </c>
      <c r="B602" s="811" t="s">
        <v>2356</v>
      </c>
      <c r="C602" s="812">
        <v>13926000</v>
      </c>
      <c r="D602" s="811" t="s">
        <v>1420</v>
      </c>
      <c r="E602" s="811" t="s">
        <v>1420</v>
      </c>
      <c r="F602" s="811" t="s">
        <v>1635</v>
      </c>
      <c r="G602" s="811" t="s">
        <v>1625</v>
      </c>
      <c r="H602" s="811" t="s">
        <v>1626</v>
      </c>
      <c r="I602" s="811" t="s">
        <v>1627</v>
      </c>
      <c r="J602" s="813">
        <v>13926000</v>
      </c>
      <c r="K602" s="811" t="s">
        <v>1628</v>
      </c>
      <c r="L602" s="811" t="s">
        <v>1210</v>
      </c>
      <c r="M602" s="811" t="s">
        <v>1608</v>
      </c>
      <c r="N602" s="811" t="s">
        <v>1608</v>
      </c>
      <c r="O602" s="811" t="s">
        <v>1702</v>
      </c>
      <c r="P602" s="811" t="s">
        <v>1630</v>
      </c>
      <c r="Q602" s="811" t="s">
        <v>1637</v>
      </c>
    </row>
    <row r="603" spans="1:17" x14ac:dyDescent="0.35">
      <c r="A603" s="811" t="s">
        <v>1622</v>
      </c>
      <c r="B603" s="811" t="s">
        <v>2357</v>
      </c>
      <c r="C603" s="812">
        <v>13926000</v>
      </c>
      <c r="D603" s="811" t="s">
        <v>1420</v>
      </c>
      <c r="E603" s="811" t="s">
        <v>1420</v>
      </c>
      <c r="F603" s="811" t="s">
        <v>1635</v>
      </c>
      <c r="G603" s="811" t="s">
        <v>1625</v>
      </c>
      <c r="H603" s="811" t="s">
        <v>1626</v>
      </c>
      <c r="I603" s="811" t="s">
        <v>1627</v>
      </c>
      <c r="J603" s="813">
        <v>13926000</v>
      </c>
      <c r="K603" s="811" t="s">
        <v>1628</v>
      </c>
      <c r="L603" s="811" t="s">
        <v>1210</v>
      </c>
      <c r="M603" s="811" t="s">
        <v>1608</v>
      </c>
      <c r="N603" s="811" t="s">
        <v>1608</v>
      </c>
      <c r="O603" s="811" t="s">
        <v>1702</v>
      </c>
      <c r="P603" s="811" t="s">
        <v>1630</v>
      </c>
      <c r="Q603" s="811" t="s">
        <v>1637</v>
      </c>
    </row>
    <row r="604" spans="1:17" x14ac:dyDescent="0.35">
      <c r="A604" s="811" t="s">
        <v>1622</v>
      </c>
      <c r="B604" s="811" t="s">
        <v>2358</v>
      </c>
      <c r="C604" s="812">
        <v>25200000</v>
      </c>
      <c r="D604" s="811" t="s">
        <v>1420</v>
      </c>
      <c r="E604" s="811" t="s">
        <v>1420</v>
      </c>
      <c r="F604" s="811" t="s">
        <v>1635</v>
      </c>
      <c r="G604" s="811" t="s">
        <v>1625</v>
      </c>
      <c r="H604" s="811" t="s">
        <v>1626</v>
      </c>
      <c r="I604" s="811" t="s">
        <v>1627</v>
      </c>
      <c r="J604" s="813">
        <v>25200000</v>
      </c>
      <c r="K604" s="811" t="s">
        <v>1628</v>
      </c>
      <c r="L604" s="811" t="s">
        <v>1210</v>
      </c>
      <c r="M604" s="811" t="s">
        <v>1608</v>
      </c>
      <c r="N604" s="811" t="s">
        <v>1608</v>
      </c>
      <c r="O604" s="811" t="s">
        <v>1702</v>
      </c>
      <c r="P604" s="811" t="s">
        <v>1630</v>
      </c>
      <c r="Q604" s="811" t="s">
        <v>1637</v>
      </c>
    </row>
    <row r="605" spans="1:17" x14ac:dyDescent="0.35">
      <c r="A605" s="811" t="s">
        <v>1622</v>
      </c>
      <c r="B605" s="811" t="s">
        <v>2359</v>
      </c>
      <c r="C605" s="812">
        <v>45000000</v>
      </c>
      <c r="D605" s="811" t="s">
        <v>1420</v>
      </c>
      <c r="E605" s="811" t="s">
        <v>1420</v>
      </c>
      <c r="F605" s="811" t="s">
        <v>1635</v>
      </c>
      <c r="G605" s="811" t="s">
        <v>1625</v>
      </c>
      <c r="H605" s="811" t="s">
        <v>1626</v>
      </c>
      <c r="I605" s="811" t="s">
        <v>1627</v>
      </c>
      <c r="J605" s="813">
        <v>45000000</v>
      </c>
      <c r="K605" s="811" t="s">
        <v>1628</v>
      </c>
      <c r="L605" s="811" t="s">
        <v>1210</v>
      </c>
      <c r="M605" s="811" t="s">
        <v>1608</v>
      </c>
      <c r="N605" s="811" t="s">
        <v>1608</v>
      </c>
      <c r="O605" s="811" t="s">
        <v>1702</v>
      </c>
      <c r="P605" s="811" t="s">
        <v>1630</v>
      </c>
      <c r="Q605" s="811" t="s">
        <v>1637</v>
      </c>
    </row>
    <row r="606" spans="1:17" x14ac:dyDescent="0.35">
      <c r="A606" s="811" t="s">
        <v>1622</v>
      </c>
      <c r="B606" s="811" t="s">
        <v>2360</v>
      </c>
      <c r="C606" s="812">
        <v>42000000</v>
      </c>
      <c r="D606" s="811" t="s">
        <v>1420</v>
      </c>
      <c r="E606" s="811" t="s">
        <v>1420</v>
      </c>
      <c r="F606" s="811" t="s">
        <v>1635</v>
      </c>
      <c r="G606" s="811" t="s">
        <v>1625</v>
      </c>
      <c r="H606" s="811" t="s">
        <v>1626</v>
      </c>
      <c r="I606" s="811" t="s">
        <v>1627</v>
      </c>
      <c r="J606" s="813">
        <v>42000000</v>
      </c>
      <c r="K606" s="811" t="s">
        <v>1628</v>
      </c>
      <c r="L606" s="811" t="s">
        <v>1210</v>
      </c>
      <c r="M606" s="811" t="s">
        <v>1608</v>
      </c>
      <c r="N606" s="811" t="s">
        <v>1608</v>
      </c>
      <c r="O606" s="811" t="s">
        <v>1702</v>
      </c>
      <c r="P606" s="811" t="s">
        <v>1630</v>
      </c>
      <c r="Q606" s="811" t="s">
        <v>1637</v>
      </c>
    </row>
    <row r="607" spans="1:17" x14ac:dyDescent="0.35">
      <c r="A607" s="811" t="s">
        <v>1622</v>
      </c>
      <c r="B607" s="811" t="s">
        <v>2361</v>
      </c>
      <c r="C607" s="812">
        <v>42000000</v>
      </c>
      <c r="D607" s="811" t="s">
        <v>1420</v>
      </c>
      <c r="E607" s="811" t="s">
        <v>1420</v>
      </c>
      <c r="F607" s="811" t="s">
        <v>1635</v>
      </c>
      <c r="G607" s="811" t="s">
        <v>1625</v>
      </c>
      <c r="H607" s="811" t="s">
        <v>1626</v>
      </c>
      <c r="I607" s="811" t="s">
        <v>1627</v>
      </c>
      <c r="J607" s="813">
        <v>42000000</v>
      </c>
      <c r="K607" s="811" t="s">
        <v>1628</v>
      </c>
      <c r="L607" s="811" t="s">
        <v>1210</v>
      </c>
      <c r="M607" s="811" t="s">
        <v>1608</v>
      </c>
      <c r="N607" s="811" t="s">
        <v>1608</v>
      </c>
      <c r="O607" s="811" t="s">
        <v>1702</v>
      </c>
      <c r="P607" s="811" t="s">
        <v>1630</v>
      </c>
      <c r="Q607" s="811" t="s">
        <v>1637</v>
      </c>
    </row>
    <row r="608" spans="1:17" x14ac:dyDescent="0.35">
      <c r="A608" s="811" t="s">
        <v>1622</v>
      </c>
      <c r="B608" s="811" t="s">
        <v>2362</v>
      </c>
      <c r="C608" s="812">
        <v>24589800</v>
      </c>
      <c r="D608" s="811" t="s">
        <v>1421</v>
      </c>
      <c r="E608" s="811" t="s">
        <v>1428</v>
      </c>
      <c r="F608" s="811" t="s">
        <v>1635</v>
      </c>
      <c r="G608" s="811" t="s">
        <v>1625</v>
      </c>
      <c r="H608" s="811" t="s">
        <v>1626</v>
      </c>
      <c r="I608" s="811" t="s">
        <v>1627</v>
      </c>
      <c r="J608" s="813">
        <v>24589800</v>
      </c>
      <c r="K608" s="811" t="s">
        <v>1628</v>
      </c>
      <c r="L608" s="811" t="s">
        <v>1210</v>
      </c>
      <c r="M608" s="811" t="s">
        <v>1608</v>
      </c>
      <c r="N608" s="811" t="s">
        <v>1608</v>
      </c>
      <c r="O608" s="811" t="s">
        <v>1702</v>
      </c>
      <c r="P608" s="811" t="s">
        <v>1630</v>
      </c>
      <c r="Q608" s="811" t="s">
        <v>1637</v>
      </c>
    </row>
    <row r="609" spans="1:17" x14ac:dyDescent="0.35">
      <c r="A609" s="811" t="s">
        <v>1622</v>
      </c>
      <c r="B609" s="811" t="s">
        <v>2363</v>
      </c>
      <c r="C609" s="812">
        <v>42000000</v>
      </c>
      <c r="D609" s="811" t="s">
        <v>1420</v>
      </c>
      <c r="E609" s="811" t="s">
        <v>1420</v>
      </c>
      <c r="F609" s="811" t="s">
        <v>1635</v>
      </c>
      <c r="G609" s="811" t="s">
        <v>1625</v>
      </c>
      <c r="H609" s="811" t="s">
        <v>1626</v>
      </c>
      <c r="I609" s="811" t="s">
        <v>1627</v>
      </c>
      <c r="J609" s="813">
        <v>42000000</v>
      </c>
      <c r="K609" s="811" t="s">
        <v>1628</v>
      </c>
      <c r="L609" s="811" t="s">
        <v>1210</v>
      </c>
      <c r="M609" s="811" t="s">
        <v>1608</v>
      </c>
      <c r="N609" s="811" t="s">
        <v>1608</v>
      </c>
      <c r="O609" s="811" t="s">
        <v>1702</v>
      </c>
      <c r="P609" s="811" t="s">
        <v>1630</v>
      </c>
      <c r="Q609" s="811" t="s">
        <v>1637</v>
      </c>
    </row>
    <row r="610" spans="1:17" x14ac:dyDescent="0.35">
      <c r="A610" s="811" t="s">
        <v>1622</v>
      </c>
      <c r="B610" s="811" t="s">
        <v>2364</v>
      </c>
      <c r="C610" s="812">
        <v>90000000</v>
      </c>
      <c r="D610" s="811" t="s">
        <v>1420</v>
      </c>
      <c r="E610" s="811" t="s">
        <v>1420</v>
      </c>
      <c r="F610" s="811" t="s">
        <v>1635</v>
      </c>
      <c r="G610" s="811" t="s">
        <v>1625</v>
      </c>
      <c r="H610" s="811" t="s">
        <v>1626</v>
      </c>
      <c r="I610" s="811" t="s">
        <v>1627</v>
      </c>
      <c r="J610" s="813">
        <v>90000000</v>
      </c>
      <c r="K610" s="811" t="s">
        <v>1628</v>
      </c>
      <c r="L610" s="811" t="s">
        <v>1210</v>
      </c>
      <c r="M610" s="811" t="s">
        <v>1608</v>
      </c>
      <c r="N610" s="811" t="s">
        <v>1608</v>
      </c>
      <c r="O610" s="811" t="s">
        <v>1702</v>
      </c>
      <c r="P610" s="811" t="s">
        <v>1630</v>
      </c>
      <c r="Q610" s="811" t="s">
        <v>1637</v>
      </c>
    </row>
    <row r="611" spans="1:17" x14ac:dyDescent="0.35">
      <c r="A611" s="811" t="s">
        <v>1622</v>
      </c>
      <c r="B611" s="811" t="s">
        <v>2365</v>
      </c>
      <c r="C611" s="812">
        <v>90000000</v>
      </c>
      <c r="D611" s="811" t="s">
        <v>1420</v>
      </c>
      <c r="E611" s="811" t="s">
        <v>1420</v>
      </c>
      <c r="F611" s="811" t="s">
        <v>1635</v>
      </c>
      <c r="G611" s="811" t="s">
        <v>1625</v>
      </c>
      <c r="H611" s="811" t="s">
        <v>1626</v>
      </c>
      <c r="I611" s="811" t="s">
        <v>1627</v>
      </c>
      <c r="J611" s="813">
        <v>90000000</v>
      </c>
      <c r="K611" s="811" t="s">
        <v>1628</v>
      </c>
      <c r="L611" s="811" t="s">
        <v>1210</v>
      </c>
      <c r="M611" s="811" t="s">
        <v>1608</v>
      </c>
      <c r="N611" s="811" t="s">
        <v>1608</v>
      </c>
      <c r="O611" s="811" t="s">
        <v>1702</v>
      </c>
      <c r="P611" s="811" t="s">
        <v>1630</v>
      </c>
      <c r="Q611" s="811" t="s">
        <v>1637</v>
      </c>
    </row>
    <row r="612" spans="1:17" x14ac:dyDescent="0.35">
      <c r="A612" s="811" t="s">
        <v>1622</v>
      </c>
      <c r="B612" s="811" t="s">
        <v>2366</v>
      </c>
      <c r="C612" s="812">
        <v>26100000</v>
      </c>
      <c r="D612" s="811" t="s">
        <v>1420</v>
      </c>
      <c r="E612" s="811" t="s">
        <v>1420</v>
      </c>
      <c r="F612" s="811" t="s">
        <v>1639</v>
      </c>
      <c r="G612" s="811" t="s">
        <v>1625</v>
      </c>
      <c r="H612" s="811" t="s">
        <v>1626</v>
      </c>
      <c r="I612" s="811" t="s">
        <v>1627</v>
      </c>
      <c r="J612" s="813">
        <v>26100000</v>
      </c>
      <c r="K612" s="811" t="s">
        <v>1628</v>
      </c>
      <c r="L612" s="811" t="s">
        <v>1210</v>
      </c>
      <c r="M612" s="811" t="s">
        <v>1608</v>
      </c>
      <c r="N612" s="811" t="s">
        <v>1608</v>
      </c>
      <c r="O612" s="811" t="s">
        <v>1654</v>
      </c>
      <c r="P612" s="811" t="s">
        <v>1630</v>
      </c>
      <c r="Q612" s="811" t="s">
        <v>1655</v>
      </c>
    </row>
    <row r="613" spans="1:17" x14ac:dyDescent="0.35">
      <c r="A613" s="811" t="s">
        <v>1622</v>
      </c>
      <c r="B613" s="811" t="s">
        <v>2367</v>
      </c>
      <c r="C613" s="812">
        <v>44972037</v>
      </c>
      <c r="D613" s="811" t="s">
        <v>1420</v>
      </c>
      <c r="E613" s="811" t="s">
        <v>1420</v>
      </c>
      <c r="F613" s="811" t="s">
        <v>1639</v>
      </c>
      <c r="G613" s="811" t="s">
        <v>1625</v>
      </c>
      <c r="H613" s="811" t="s">
        <v>1626</v>
      </c>
      <c r="I613" s="811" t="s">
        <v>1627</v>
      </c>
      <c r="J613" s="813">
        <v>44972037</v>
      </c>
      <c r="K613" s="811" t="s">
        <v>1628</v>
      </c>
      <c r="L613" s="811" t="s">
        <v>1210</v>
      </c>
      <c r="M613" s="811" t="s">
        <v>1608</v>
      </c>
      <c r="N613" s="811" t="s">
        <v>1608</v>
      </c>
      <c r="O613" s="811" t="s">
        <v>1654</v>
      </c>
      <c r="P613" s="811" t="s">
        <v>1630</v>
      </c>
      <c r="Q613" s="811" t="s">
        <v>1655</v>
      </c>
    </row>
    <row r="614" spans="1:17" x14ac:dyDescent="0.35">
      <c r="A614" s="811" t="s">
        <v>1622</v>
      </c>
      <c r="B614" s="811" t="s">
        <v>2368</v>
      </c>
      <c r="C614" s="812">
        <v>50150000</v>
      </c>
      <c r="D614" s="811" t="s">
        <v>1515</v>
      </c>
      <c r="E614" s="811" t="s">
        <v>1515</v>
      </c>
      <c r="F614" s="811" t="s">
        <v>1624</v>
      </c>
      <c r="G614" s="811" t="s">
        <v>1625</v>
      </c>
      <c r="H614" s="811" t="s">
        <v>1626</v>
      </c>
      <c r="I614" s="811" t="s">
        <v>1627</v>
      </c>
      <c r="J614" s="813">
        <v>50150000</v>
      </c>
      <c r="K614" s="811" t="s">
        <v>1628</v>
      </c>
      <c r="L614" s="811" t="s">
        <v>1210</v>
      </c>
      <c r="M614" s="811" t="s">
        <v>1608</v>
      </c>
      <c r="N614" s="811" t="s">
        <v>1608</v>
      </c>
      <c r="O614" s="811" t="s">
        <v>1659</v>
      </c>
      <c r="P614" s="811" t="s">
        <v>1630</v>
      </c>
      <c r="Q614" s="811" t="s">
        <v>1631</v>
      </c>
    </row>
    <row r="615" spans="1:17" x14ac:dyDescent="0.35">
      <c r="A615" s="811" t="s">
        <v>1622</v>
      </c>
      <c r="B615" s="811" t="s">
        <v>2369</v>
      </c>
      <c r="C615" s="812">
        <v>50150000</v>
      </c>
      <c r="D615" s="811" t="s">
        <v>1515</v>
      </c>
      <c r="E615" s="811" t="s">
        <v>1515</v>
      </c>
      <c r="F615" s="811" t="s">
        <v>1624</v>
      </c>
      <c r="G615" s="811" t="s">
        <v>1625</v>
      </c>
      <c r="H615" s="811" t="s">
        <v>1626</v>
      </c>
      <c r="I615" s="811" t="s">
        <v>1627</v>
      </c>
      <c r="J615" s="813">
        <v>50150000</v>
      </c>
      <c r="K615" s="811" t="s">
        <v>1628</v>
      </c>
      <c r="L615" s="811" t="s">
        <v>1210</v>
      </c>
      <c r="M615" s="811" t="s">
        <v>1608</v>
      </c>
      <c r="N615" s="811" t="s">
        <v>1608</v>
      </c>
      <c r="O615" s="811" t="s">
        <v>1659</v>
      </c>
      <c r="P615" s="811" t="s">
        <v>1630</v>
      </c>
      <c r="Q615" s="811" t="s">
        <v>1631</v>
      </c>
    </row>
    <row r="616" spans="1:17" x14ac:dyDescent="0.35">
      <c r="A616" s="811" t="s">
        <v>1622</v>
      </c>
      <c r="B616" s="811" t="s">
        <v>2370</v>
      </c>
      <c r="C616" s="812">
        <v>33000000</v>
      </c>
      <c r="D616" s="811" t="s">
        <v>1515</v>
      </c>
      <c r="E616" s="811" t="s">
        <v>1515</v>
      </c>
      <c r="F616" s="811" t="s">
        <v>1624</v>
      </c>
      <c r="G616" s="811" t="s">
        <v>1625</v>
      </c>
      <c r="H616" s="811" t="s">
        <v>1626</v>
      </c>
      <c r="I616" s="811" t="s">
        <v>1627</v>
      </c>
      <c r="J616" s="813">
        <v>33000000</v>
      </c>
      <c r="K616" s="811" t="s">
        <v>1628</v>
      </c>
      <c r="L616" s="811" t="s">
        <v>1210</v>
      </c>
      <c r="M616" s="811" t="s">
        <v>1608</v>
      </c>
      <c r="N616" s="811" t="s">
        <v>1608</v>
      </c>
      <c r="O616" s="811" t="s">
        <v>1659</v>
      </c>
      <c r="P616" s="811" t="s">
        <v>1630</v>
      </c>
      <c r="Q616" s="811" t="s">
        <v>1631</v>
      </c>
    </row>
    <row r="617" spans="1:17" x14ac:dyDescent="0.35">
      <c r="A617" s="811" t="s">
        <v>1622</v>
      </c>
      <c r="B617" s="811" t="s">
        <v>2371</v>
      </c>
      <c r="C617" s="812">
        <v>33000000</v>
      </c>
      <c r="D617" s="811" t="s">
        <v>1515</v>
      </c>
      <c r="E617" s="811" t="s">
        <v>1515</v>
      </c>
      <c r="F617" s="811" t="s">
        <v>1624</v>
      </c>
      <c r="G617" s="811" t="s">
        <v>1625</v>
      </c>
      <c r="H617" s="811" t="s">
        <v>1626</v>
      </c>
      <c r="I617" s="811" t="s">
        <v>1627</v>
      </c>
      <c r="J617" s="813">
        <v>33000000</v>
      </c>
      <c r="K617" s="811" t="s">
        <v>1628</v>
      </c>
      <c r="L617" s="811" t="s">
        <v>1210</v>
      </c>
      <c r="M617" s="811" t="s">
        <v>1608</v>
      </c>
      <c r="N617" s="811" t="s">
        <v>1608</v>
      </c>
      <c r="O617" s="811" t="s">
        <v>1659</v>
      </c>
      <c r="P617" s="811" t="s">
        <v>1630</v>
      </c>
      <c r="Q617" s="811" t="s">
        <v>1631</v>
      </c>
    </row>
    <row r="618" spans="1:17" x14ac:dyDescent="0.35">
      <c r="A618" s="811" t="s">
        <v>1622</v>
      </c>
      <c r="B618" s="811" t="s">
        <v>2372</v>
      </c>
      <c r="C618" s="812">
        <v>53100000</v>
      </c>
      <c r="D618" s="811" t="s">
        <v>1515</v>
      </c>
      <c r="E618" s="811" t="s">
        <v>1515</v>
      </c>
      <c r="F618" s="811" t="s">
        <v>1624</v>
      </c>
      <c r="G618" s="811" t="s">
        <v>1625</v>
      </c>
      <c r="H618" s="811" t="s">
        <v>1626</v>
      </c>
      <c r="I618" s="811" t="s">
        <v>1627</v>
      </c>
      <c r="J618" s="813">
        <v>53100000</v>
      </c>
      <c r="K618" s="811" t="s">
        <v>1628</v>
      </c>
      <c r="L618" s="811" t="s">
        <v>1210</v>
      </c>
      <c r="M618" s="811" t="s">
        <v>1608</v>
      </c>
      <c r="N618" s="811" t="s">
        <v>1608</v>
      </c>
      <c r="O618" s="811" t="s">
        <v>1659</v>
      </c>
      <c r="P618" s="811" t="s">
        <v>1630</v>
      </c>
      <c r="Q618" s="811" t="s">
        <v>1631</v>
      </c>
    </row>
    <row r="619" spans="1:17" x14ac:dyDescent="0.35">
      <c r="A619" s="811" t="s">
        <v>1622</v>
      </c>
      <c r="B619" s="811" t="s">
        <v>2373</v>
      </c>
      <c r="C619" s="812">
        <v>32400000</v>
      </c>
      <c r="D619" s="811" t="s">
        <v>1515</v>
      </c>
      <c r="E619" s="811" t="s">
        <v>1515</v>
      </c>
      <c r="F619" s="811" t="s">
        <v>1624</v>
      </c>
      <c r="G619" s="811" t="s">
        <v>1625</v>
      </c>
      <c r="H619" s="811" t="s">
        <v>1626</v>
      </c>
      <c r="I619" s="811" t="s">
        <v>1627</v>
      </c>
      <c r="J619" s="813">
        <v>32400000</v>
      </c>
      <c r="K619" s="811" t="s">
        <v>1628</v>
      </c>
      <c r="L619" s="811" t="s">
        <v>1210</v>
      </c>
      <c r="M619" s="811" t="s">
        <v>1608</v>
      </c>
      <c r="N619" s="811" t="s">
        <v>1608</v>
      </c>
      <c r="O619" s="811" t="s">
        <v>1659</v>
      </c>
      <c r="P619" s="811" t="s">
        <v>1630</v>
      </c>
      <c r="Q619" s="811" t="s">
        <v>1631</v>
      </c>
    </row>
    <row r="620" spans="1:17" x14ac:dyDescent="0.35">
      <c r="A620" s="811" t="s">
        <v>1622</v>
      </c>
      <c r="B620" s="811" t="s">
        <v>2374</v>
      </c>
      <c r="C620" s="812">
        <v>36000000</v>
      </c>
      <c r="D620" s="811" t="s">
        <v>1515</v>
      </c>
      <c r="E620" s="811" t="s">
        <v>1515</v>
      </c>
      <c r="F620" s="811" t="s">
        <v>1624</v>
      </c>
      <c r="G620" s="811" t="s">
        <v>1625</v>
      </c>
      <c r="H620" s="811" t="s">
        <v>1626</v>
      </c>
      <c r="I620" s="811" t="s">
        <v>1627</v>
      </c>
      <c r="J620" s="813">
        <v>36000000</v>
      </c>
      <c r="K620" s="811" t="s">
        <v>1628</v>
      </c>
      <c r="L620" s="811" t="s">
        <v>1210</v>
      </c>
      <c r="M620" s="811" t="s">
        <v>1608</v>
      </c>
      <c r="N620" s="811" t="s">
        <v>1608</v>
      </c>
      <c r="O620" s="811" t="s">
        <v>1659</v>
      </c>
      <c r="P620" s="811" t="s">
        <v>1630</v>
      </c>
      <c r="Q620" s="811" t="s">
        <v>1631</v>
      </c>
    </row>
    <row r="621" spans="1:17" x14ac:dyDescent="0.35">
      <c r="A621" s="811" t="s">
        <v>1622</v>
      </c>
      <c r="B621" s="811" t="s">
        <v>2375</v>
      </c>
      <c r="C621" s="812">
        <v>21804624</v>
      </c>
      <c r="D621" s="811" t="s">
        <v>1424</v>
      </c>
      <c r="E621" s="811" t="s">
        <v>1424</v>
      </c>
      <c r="F621" s="811" t="s">
        <v>1972</v>
      </c>
      <c r="G621" s="811" t="s">
        <v>1625</v>
      </c>
      <c r="H621" s="811" t="s">
        <v>1626</v>
      </c>
      <c r="I621" s="811" t="s">
        <v>1627</v>
      </c>
      <c r="J621" s="813">
        <v>21804624</v>
      </c>
      <c r="K621" s="811" t="s">
        <v>1628</v>
      </c>
      <c r="L621" s="811" t="s">
        <v>1210</v>
      </c>
      <c r="M621" s="811" t="s">
        <v>1608</v>
      </c>
      <c r="N621" s="811" t="s">
        <v>1608</v>
      </c>
      <c r="O621" s="811" t="s">
        <v>2107</v>
      </c>
      <c r="P621" s="811" t="s">
        <v>1630</v>
      </c>
      <c r="Q621" s="811" t="s">
        <v>1697</v>
      </c>
    </row>
    <row r="622" spans="1:17" x14ac:dyDescent="0.35">
      <c r="A622" s="811" t="s">
        <v>1622</v>
      </c>
      <c r="B622" s="811" t="s">
        <v>2376</v>
      </c>
      <c r="C622" s="812">
        <v>85250000</v>
      </c>
      <c r="D622" s="811" t="s">
        <v>1414</v>
      </c>
      <c r="E622" s="811" t="s">
        <v>1414</v>
      </c>
      <c r="F622" s="811" t="s">
        <v>1662</v>
      </c>
      <c r="G622" s="811" t="s">
        <v>1625</v>
      </c>
      <c r="H622" s="811" t="s">
        <v>1626</v>
      </c>
      <c r="I622" s="811" t="s">
        <v>1627</v>
      </c>
      <c r="J622" s="813">
        <v>85250000</v>
      </c>
      <c r="K622" s="811" t="s">
        <v>1628</v>
      </c>
      <c r="L622" s="811" t="s">
        <v>1210</v>
      </c>
      <c r="M622" s="811" t="s">
        <v>1608</v>
      </c>
      <c r="N622" s="811" t="s">
        <v>1608</v>
      </c>
      <c r="O622" s="811" t="s">
        <v>1654</v>
      </c>
      <c r="P622" s="811" t="s">
        <v>1630</v>
      </c>
      <c r="Q622" s="811" t="s">
        <v>1655</v>
      </c>
    </row>
    <row r="623" spans="1:17" x14ac:dyDescent="0.35">
      <c r="A623" s="811" t="s">
        <v>1622</v>
      </c>
      <c r="B623" s="811" t="s">
        <v>2377</v>
      </c>
      <c r="C623" s="812">
        <v>58300000</v>
      </c>
      <c r="D623" s="811" t="s">
        <v>1515</v>
      </c>
      <c r="E623" s="811" t="s">
        <v>1515</v>
      </c>
      <c r="F623" s="811" t="s">
        <v>1662</v>
      </c>
      <c r="G623" s="811" t="s">
        <v>1625</v>
      </c>
      <c r="H623" s="811" t="s">
        <v>1626</v>
      </c>
      <c r="I623" s="811" t="s">
        <v>1627</v>
      </c>
      <c r="J623" s="813">
        <v>58300000</v>
      </c>
      <c r="K623" s="811" t="s">
        <v>1628</v>
      </c>
      <c r="L623" s="811" t="s">
        <v>1210</v>
      </c>
      <c r="M623" s="811" t="s">
        <v>1608</v>
      </c>
      <c r="N623" s="811" t="s">
        <v>1608</v>
      </c>
      <c r="O623" s="811" t="s">
        <v>1732</v>
      </c>
      <c r="P623" s="811" t="s">
        <v>1733</v>
      </c>
      <c r="Q623" s="811" t="s">
        <v>1631</v>
      </c>
    </row>
    <row r="624" spans="1:17" x14ac:dyDescent="0.35">
      <c r="A624" s="811" t="s">
        <v>1622</v>
      </c>
      <c r="B624" s="811" t="s">
        <v>2378</v>
      </c>
      <c r="C624" s="812">
        <v>54712000</v>
      </c>
      <c r="D624" s="811" t="s">
        <v>1424</v>
      </c>
      <c r="E624" s="811" t="s">
        <v>1424</v>
      </c>
      <c r="F624" s="811" t="s">
        <v>1662</v>
      </c>
      <c r="G624" s="811" t="s">
        <v>1625</v>
      </c>
      <c r="H624" s="811" t="s">
        <v>1626</v>
      </c>
      <c r="I624" s="811" t="s">
        <v>1627</v>
      </c>
      <c r="J624" s="813">
        <v>54712000</v>
      </c>
      <c r="K624" s="811" t="s">
        <v>1628</v>
      </c>
      <c r="L624" s="811" t="s">
        <v>1210</v>
      </c>
      <c r="M624" s="811" t="s">
        <v>1608</v>
      </c>
      <c r="N624" s="811" t="s">
        <v>1608</v>
      </c>
      <c r="O624" s="811" t="s">
        <v>1732</v>
      </c>
      <c r="P624" s="811" t="s">
        <v>2379</v>
      </c>
      <c r="Q624" s="811" t="s">
        <v>1631</v>
      </c>
    </row>
    <row r="625" spans="1:17" x14ac:dyDescent="0.35">
      <c r="A625" s="811" t="s">
        <v>1622</v>
      </c>
      <c r="B625" s="811" t="s">
        <v>2380</v>
      </c>
      <c r="C625" s="812">
        <v>82133333</v>
      </c>
      <c r="D625" s="811" t="s">
        <v>1424</v>
      </c>
      <c r="E625" s="811" t="s">
        <v>1424</v>
      </c>
      <c r="F625" s="811" t="s">
        <v>1662</v>
      </c>
      <c r="G625" s="811" t="s">
        <v>1625</v>
      </c>
      <c r="H625" s="811" t="s">
        <v>1626</v>
      </c>
      <c r="I625" s="811" t="s">
        <v>1627</v>
      </c>
      <c r="J625" s="813">
        <v>82133333</v>
      </c>
      <c r="K625" s="811" t="s">
        <v>1628</v>
      </c>
      <c r="L625" s="811" t="s">
        <v>1210</v>
      </c>
      <c r="M625" s="811" t="s">
        <v>1608</v>
      </c>
      <c r="N625" s="811" t="s">
        <v>1608</v>
      </c>
      <c r="O625" s="811" t="s">
        <v>1677</v>
      </c>
      <c r="P625" s="811" t="s">
        <v>1630</v>
      </c>
      <c r="Q625" s="811" t="s">
        <v>1678</v>
      </c>
    </row>
    <row r="626" spans="1:17" x14ac:dyDescent="0.35">
      <c r="A626" s="811" t="s">
        <v>1622</v>
      </c>
      <c r="B626" s="811" t="s">
        <v>2381</v>
      </c>
      <c r="C626" s="812">
        <v>82500000</v>
      </c>
      <c r="D626" s="811" t="s">
        <v>1414</v>
      </c>
      <c r="E626" s="811" t="s">
        <v>1414</v>
      </c>
      <c r="F626" s="811" t="s">
        <v>1662</v>
      </c>
      <c r="G626" s="811" t="s">
        <v>1625</v>
      </c>
      <c r="H626" s="811" t="s">
        <v>1626</v>
      </c>
      <c r="I626" s="811" t="s">
        <v>1627</v>
      </c>
      <c r="J626" s="813">
        <v>82500000</v>
      </c>
      <c r="K626" s="811" t="s">
        <v>1628</v>
      </c>
      <c r="L626" s="811" t="s">
        <v>1210</v>
      </c>
      <c r="M626" s="811" t="s">
        <v>1608</v>
      </c>
      <c r="N626" s="811" t="s">
        <v>1608</v>
      </c>
      <c r="O626" s="811" t="s">
        <v>1677</v>
      </c>
      <c r="P626" s="811" t="s">
        <v>1630</v>
      </c>
      <c r="Q626" s="811" t="s">
        <v>1678</v>
      </c>
    </row>
    <row r="627" spans="1:17" x14ac:dyDescent="0.35">
      <c r="A627" s="811" t="s">
        <v>1622</v>
      </c>
      <c r="B627" s="811" t="s">
        <v>2382</v>
      </c>
      <c r="C627" s="812">
        <v>54965093</v>
      </c>
      <c r="D627" s="811" t="s">
        <v>1424</v>
      </c>
      <c r="E627" s="811" t="s">
        <v>1424</v>
      </c>
      <c r="F627" s="811" t="s">
        <v>1658</v>
      </c>
      <c r="G627" s="811" t="s">
        <v>1625</v>
      </c>
      <c r="H627" s="811" t="s">
        <v>1626</v>
      </c>
      <c r="I627" s="811" t="s">
        <v>1627</v>
      </c>
      <c r="J627" s="813">
        <v>54965093</v>
      </c>
      <c r="K627" s="811" t="s">
        <v>1628</v>
      </c>
      <c r="L627" s="811" t="s">
        <v>1210</v>
      </c>
      <c r="M627" s="811" t="s">
        <v>1608</v>
      </c>
      <c r="N627" s="811" t="s">
        <v>1608</v>
      </c>
      <c r="O627" s="811" t="s">
        <v>1677</v>
      </c>
      <c r="P627" s="811" t="s">
        <v>1630</v>
      </c>
      <c r="Q627" s="811" t="s">
        <v>1678</v>
      </c>
    </row>
    <row r="628" spans="1:17" x14ac:dyDescent="0.35">
      <c r="A628" s="811" t="s">
        <v>1622</v>
      </c>
      <c r="B628" s="811" t="s">
        <v>2383</v>
      </c>
      <c r="C628" s="812">
        <v>24000000</v>
      </c>
      <c r="D628" s="811" t="s">
        <v>1424</v>
      </c>
      <c r="E628" s="811" t="s">
        <v>1424</v>
      </c>
      <c r="F628" s="811" t="s">
        <v>1691</v>
      </c>
      <c r="G628" s="811" t="s">
        <v>1625</v>
      </c>
      <c r="H628" s="811" t="s">
        <v>1626</v>
      </c>
      <c r="I628" s="811" t="s">
        <v>1627</v>
      </c>
      <c r="J628" s="813">
        <v>24000000</v>
      </c>
      <c r="K628" s="811" t="s">
        <v>1628</v>
      </c>
      <c r="L628" s="811" t="s">
        <v>1210</v>
      </c>
      <c r="M628" s="811" t="s">
        <v>1608</v>
      </c>
      <c r="N628" s="811" t="s">
        <v>1608</v>
      </c>
      <c r="O628" s="811" t="s">
        <v>1677</v>
      </c>
      <c r="P628" s="811" t="s">
        <v>1630</v>
      </c>
      <c r="Q628" s="811" t="s">
        <v>1678</v>
      </c>
    </row>
    <row r="629" spans="1:17" x14ac:dyDescent="0.35">
      <c r="A629" s="811" t="s">
        <v>1622</v>
      </c>
      <c r="B629" s="811" t="s">
        <v>2384</v>
      </c>
      <c r="C629" s="812">
        <v>12000000</v>
      </c>
      <c r="D629" s="811" t="s">
        <v>1424</v>
      </c>
      <c r="E629" s="811" t="s">
        <v>1424</v>
      </c>
      <c r="F629" s="811" t="s">
        <v>1691</v>
      </c>
      <c r="G629" s="811" t="s">
        <v>1625</v>
      </c>
      <c r="H629" s="811" t="s">
        <v>1626</v>
      </c>
      <c r="I629" s="811" t="s">
        <v>1627</v>
      </c>
      <c r="J629" s="813">
        <v>12000000</v>
      </c>
      <c r="K629" s="811" t="s">
        <v>1628</v>
      </c>
      <c r="L629" s="811" t="s">
        <v>1210</v>
      </c>
      <c r="M629" s="811" t="s">
        <v>1608</v>
      </c>
      <c r="N629" s="811" t="s">
        <v>1608</v>
      </c>
      <c r="O629" s="811" t="s">
        <v>1677</v>
      </c>
      <c r="P629" s="811" t="s">
        <v>1630</v>
      </c>
      <c r="Q629" s="811" t="s">
        <v>1678</v>
      </c>
    </row>
    <row r="630" spans="1:17" x14ac:dyDescent="0.35">
      <c r="A630" s="811" t="s">
        <v>1622</v>
      </c>
      <c r="B630" s="811" t="s">
        <v>2385</v>
      </c>
      <c r="C630" s="812">
        <v>26100000</v>
      </c>
      <c r="D630" s="811" t="s">
        <v>1445</v>
      </c>
      <c r="E630" s="811" t="s">
        <v>1445</v>
      </c>
      <c r="F630" s="811" t="s">
        <v>1712</v>
      </c>
      <c r="G630" s="811" t="s">
        <v>1625</v>
      </c>
      <c r="H630" s="811" t="s">
        <v>1626</v>
      </c>
      <c r="I630" s="811" t="s">
        <v>1627</v>
      </c>
      <c r="J630" s="813">
        <v>26100000</v>
      </c>
      <c r="K630" s="811" t="s">
        <v>1628</v>
      </c>
      <c r="L630" s="811" t="s">
        <v>1210</v>
      </c>
      <c r="M630" s="811" t="s">
        <v>1608</v>
      </c>
      <c r="N630" s="811" t="s">
        <v>1608</v>
      </c>
      <c r="O630" s="811" t="s">
        <v>1640</v>
      </c>
      <c r="P630" s="811" t="s">
        <v>1630</v>
      </c>
      <c r="Q630" s="811" t="s">
        <v>1641</v>
      </c>
    </row>
    <row r="631" spans="1:17" x14ac:dyDescent="0.35">
      <c r="A631" s="811" t="s">
        <v>1622</v>
      </c>
      <c r="B631" s="811" t="s">
        <v>2386</v>
      </c>
      <c r="C631" s="812">
        <v>44962500</v>
      </c>
      <c r="D631" s="811" t="s">
        <v>1429</v>
      </c>
      <c r="E631" s="811" t="s">
        <v>1429</v>
      </c>
      <c r="F631" s="811" t="s">
        <v>1635</v>
      </c>
      <c r="G631" s="811" t="s">
        <v>1625</v>
      </c>
      <c r="H631" s="811" t="s">
        <v>1626</v>
      </c>
      <c r="I631" s="811" t="s">
        <v>1627</v>
      </c>
      <c r="J631" s="813">
        <v>44962500</v>
      </c>
      <c r="K631" s="811" t="s">
        <v>1628</v>
      </c>
      <c r="L631" s="811" t="s">
        <v>1210</v>
      </c>
      <c r="M631" s="811" t="s">
        <v>1608</v>
      </c>
      <c r="N631" s="811" t="s">
        <v>1608</v>
      </c>
      <c r="O631" s="811" t="s">
        <v>1640</v>
      </c>
      <c r="P631" s="811" t="s">
        <v>1630</v>
      </c>
      <c r="Q631" s="811" t="s">
        <v>1641</v>
      </c>
    </row>
    <row r="632" spans="1:17" x14ac:dyDescent="0.35">
      <c r="A632" s="811" t="s">
        <v>1622</v>
      </c>
      <c r="B632" s="811" t="s">
        <v>2387</v>
      </c>
      <c r="C632" s="812">
        <v>21725000</v>
      </c>
      <c r="D632" s="811" t="s">
        <v>1429</v>
      </c>
      <c r="E632" s="811" t="s">
        <v>1429</v>
      </c>
      <c r="F632" s="811" t="s">
        <v>1635</v>
      </c>
      <c r="G632" s="811" t="s">
        <v>1625</v>
      </c>
      <c r="H632" s="811" t="s">
        <v>1626</v>
      </c>
      <c r="I632" s="811" t="s">
        <v>1627</v>
      </c>
      <c r="J632" s="813">
        <v>21725000</v>
      </c>
      <c r="K632" s="811" t="s">
        <v>1628</v>
      </c>
      <c r="L632" s="811" t="s">
        <v>1210</v>
      </c>
      <c r="M632" s="811" t="s">
        <v>1608</v>
      </c>
      <c r="N632" s="811" t="s">
        <v>1608</v>
      </c>
      <c r="O632" s="811" t="s">
        <v>1640</v>
      </c>
      <c r="P632" s="811" t="s">
        <v>1630</v>
      </c>
      <c r="Q632" s="811" t="s">
        <v>1641</v>
      </c>
    </row>
    <row r="633" spans="1:17" x14ac:dyDescent="0.35">
      <c r="A633" s="811" t="s">
        <v>1622</v>
      </c>
      <c r="B633" s="811" t="s">
        <v>2388</v>
      </c>
      <c r="C633" s="812">
        <v>51129000</v>
      </c>
      <c r="D633" s="811" t="s">
        <v>1445</v>
      </c>
      <c r="E633" s="811" t="s">
        <v>1445</v>
      </c>
      <c r="F633" s="811" t="s">
        <v>1712</v>
      </c>
      <c r="G633" s="811" t="s">
        <v>1625</v>
      </c>
      <c r="H633" s="811" t="s">
        <v>1626</v>
      </c>
      <c r="I633" s="811" t="s">
        <v>1627</v>
      </c>
      <c r="J633" s="813">
        <v>51129000</v>
      </c>
      <c r="K633" s="811" t="s">
        <v>1628</v>
      </c>
      <c r="L633" s="811" t="s">
        <v>1210</v>
      </c>
      <c r="M633" s="811" t="s">
        <v>1608</v>
      </c>
      <c r="N633" s="811" t="s">
        <v>1608</v>
      </c>
      <c r="O633" s="811" t="s">
        <v>1640</v>
      </c>
      <c r="P633" s="811" t="s">
        <v>1630</v>
      </c>
      <c r="Q633" s="811" t="s">
        <v>1641</v>
      </c>
    </row>
    <row r="634" spans="1:17" x14ac:dyDescent="0.35">
      <c r="A634" s="811" t="s">
        <v>1622</v>
      </c>
      <c r="B634" s="811" t="s">
        <v>2389</v>
      </c>
      <c r="C634" s="812">
        <v>39270000</v>
      </c>
      <c r="D634" s="811" t="s">
        <v>1429</v>
      </c>
      <c r="E634" s="811" t="s">
        <v>1429</v>
      </c>
      <c r="F634" s="811" t="s">
        <v>1635</v>
      </c>
      <c r="G634" s="811" t="s">
        <v>1625</v>
      </c>
      <c r="H634" s="811" t="s">
        <v>1626</v>
      </c>
      <c r="I634" s="811" t="s">
        <v>1627</v>
      </c>
      <c r="J634" s="813">
        <v>39270000</v>
      </c>
      <c r="K634" s="811" t="s">
        <v>1628</v>
      </c>
      <c r="L634" s="811" t="s">
        <v>1210</v>
      </c>
      <c r="M634" s="811" t="s">
        <v>1608</v>
      </c>
      <c r="N634" s="811" t="s">
        <v>1608</v>
      </c>
      <c r="O634" s="811" t="s">
        <v>1640</v>
      </c>
      <c r="P634" s="811" t="s">
        <v>1630</v>
      </c>
      <c r="Q634" s="811" t="s">
        <v>1641</v>
      </c>
    </row>
    <row r="635" spans="1:17" x14ac:dyDescent="0.35">
      <c r="A635" s="811" t="s">
        <v>1622</v>
      </c>
      <c r="B635" s="811" t="s">
        <v>2390</v>
      </c>
      <c r="C635" s="812">
        <v>12300000</v>
      </c>
      <c r="D635" s="811" t="s">
        <v>2134</v>
      </c>
      <c r="E635" s="811" t="s">
        <v>2134</v>
      </c>
      <c r="F635" s="811" t="s">
        <v>1972</v>
      </c>
      <c r="G635" s="811" t="s">
        <v>1625</v>
      </c>
      <c r="H635" s="811" t="s">
        <v>1626</v>
      </c>
      <c r="I635" s="811" t="s">
        <v>1627</v>
      </c>
      <c r="J635" s="813">
        <v>12300000</v>
      </c>
      <c r="K635" s="811" t="s">
        <v>1628</v>
      </c>
      <c r="L635" s="811" t="s">
        <v>1210</v>
      </c>
      <c r="M635" s="811" t="s">
        <v>1608</v>
      </c>
      <c r="N635" s="811" t="s">
        <v>1608</v>
      </c>
      <c r="O635" s="811" t="s">
        <v>1640</v>
      </c>
      <c r="P635" s="811" t="s">
        <v>1630</v>
      </c>
      <c r="Q635" s="811" t="s">
        <v>1641</v>
      </c>
    </row>
    <row r="636" spans="1:17" x14ac:dyDescent="0.35">
      <c r="A636" s="811" t="s">
        <v>1622</v>
      </c>
      <c r="B636" s="811" t="s">
        <v>2391</v>
      </c>
      <c r="C636" s="812">
        <v>16400000</v>
      </c>
      <c r="D636" s="811" t="s">
        <v>1434</v>
      </c>
      <c r="E636" s="811" t="s">
        <v>1434</v>
      </c>
      <c r="F636" s="811" t="s">
        <v>1691</v>
      </c>
      <c r="G636" s="811" t="s">
        <v>1625</v>
      </c>
      <c r="H636" s="811" t="s">
        <v>1626</v>
      </c>
      <c r="I636" s="811" t="s">
        <v>1627</v>
      </c>
      <c r="J636" s="813">
        <v>16400000</v>
      </c>
      <c r="K636" s="811" t="s">
        <v>1628</v>
      </c>
      <c r="L636" s="811" t="s">
        <v>1210</v>
      </c>
      <c r="M636" s="811" t="s">
        <v>1608</v>
      </c>
      <c r="N636" s="811" t="s">
        <v>1608</v>
      </c>
      <c r="O636" s="811" t="s">
        <v>1640</v>
      </c>
      <c r="P636" s="811" t="s">
        <v>1630</v>
      </c>
      <c r="Q636" s="811" t="s">
        <v>1641</v>
      </c>
    </row>
    <row r="637" spans="1:17" x14ac:dyDescent="0.35">
      <c r="A637" s="811" t="s">
        <v>1622</v>
      </c>
      <c r="B637" s="811" t="s">
        <v>2392</v>
      </c>
      <c r="C637" s="812">
        <v>16400000</v>
      </c>
      <c r="D637" s="811" t="s">
        <v>1434</v>
      </c>
      <c r="E637" s="811" t="s">
        <v>1434</v>
      </c>
      <c r="F637" s="811" t="s">
        <v>1691</v>
      </c>
      <c r="G637" s="811" t="s">
        <v>1625</v>
      </c>
      <c r="H637" s="811" t="s">
        <v>1626</v>
      </c>
      <c r="I637" s="811" t="s">
        <v>1627</v>
      </c>
      <c r="J637" s="813">
        <v>16400000</v>
      </c>
      <c r="K637" s="811" t="s">
        <v>1628</v>
      </c>
      <c r="L637" s="811" t="s">
        <v>1210</v>
      </c>
      <c r="M637" s="811" t="s">
        <v>1608</v>
      </c>
      <c r="N637" s="811" t="s">
        <v>1608</v>
      </c>
      <c r="O637" s="811" t="s">
        <v>1640</v>
      </c>
      <c r="P637" s="811" t="s">
        <v>1630</v>
      </c>
      <c r="Q637" s="811" t="s">
        <v>1641</v>
      </c>
    </row>
    <row r="638" spans="1:17" x14ac:dyDescent="0.35">
      <c r="A638" s="811" t="s">
        <v>1622</v>
      </c>
      <c r="B638" s="811" t="s">
        <v>2393</v>
      </c>
      <c r="C638" s="812">
        <v>12300000</v>
      </c>
      <c r="D638" s="811" t="s">
        <v>2134</v>
      </c>
      <c r="E638" s="811" t="s">
        <v>2134</v>
      </c>
      <c r="F638" s="811" t="s">
        <v>1972</v>
      </c>
      <c r="G638" s="811" t="s">
        <v>1625</v>
      </c>
      <c r="H638" s="811" t="s">
        <v>1626</v>
      </c>
      <c r="I638" s="811" t="s">
        <v>1627</v>
      </c>
      <c r="J638" s="813">
        <v>12300000</v>
      </c>
      <c r="K638" s="811" t="s">
        <v>1628</v>
      </c>
      <c r="L638" s="811" t="s">
        <v>1210</v>
      </c>
      <c r="M638" s="811" t="s">
        <v>1608</v>
      </c>
      <c r="N638" s="811" t="s">
        <v>1608</v>
      </c>
      <c r="O638" s="811" t="s">
        <v>1640</v>
      </c>
      <c r="P638" s="811" t="s">
        <v>1630</v>
      </c>
      <c r="Q638" s="811" t="s">
        <v>1641</v>
      </c>
    </row>
    <row r="639" spans="1:17" x14ac:dyDescent="0.35">
      <c r="A639" s="811" t="s">
        <v>1622</v>
      </c>
      <c r="B639" s="811" t="s">
        <v>2394</v>
      </c>
      <c r="C639" s="812">
        <v>24600000</v>
      </c>
      <c r="D639" s="811" t="s">
        <v>1429</v>
      </c>
      <c r="E639" s="811" t="s">
        <v>1429</v>
      </c>
      <c r="F639" s="811" t="s">
        <v>1635</v>
      </c>
      <c r="G639" s="811" t="s">
        <v>1625</v>
      </c>
      <c r="H639" s="811" t="s">
        <v>1626</v>
      </c>
      <c r="I639" s="811" t="s">
        <v>1627</v>
      </c>
      <c r="J639" s="813">
        <v>24600000</v>
      </c>
      <c r="K639" s="811" t="s">
        <v>1628</v>
      </c>
      <c r="L639" s="811" t="s">
        <v>1210</v>
      </c>
      <c r="M639" s="811" t="s">
        <v>1608</v>
      </c>
      <c r="N639" s="811" t="s">
        <v>1608</v>
      </c>
      <c r="O639" s="811" t="s">
        <v>1640</v>
      </c>
      <c r="P639" s="811" t="s">
        <v>1630</v>
      </c>
      <c r="Q639" s="811" t="s">
        <v>1641</v>
      </c>
    </row>
    <row r="640" spans="1:17" x14ac:dyDescent="0.35">
      <c r="A640" s="811" t="s">
        <v>1622</v>
      </c>
      <c r="B640" s="811" t="s">
        <v>2395</v>
      </c>
      <c r="C640" s="812">
        <v>84766080</v>
      </c>
      <c r="D640" s="811" t="s">
        <v>1414</v>
      </c>
      <c r="E640" s="811" t="s">
        <v>1414</v>
      </c>
      <c r="F640" s="811" t="s">
        <v>1645</v>
      </c>
      <c r="G640" s="811" t="s">
        <v>1625</v>
      </c>
      <c r="H640" s="811" t="s">
        <v>1626</v>
      </c>
      <c r="I640" s="811" t="s">
        <v>1627</v>
      </c>
      <c r="J640" s="813">
        <v>84766080</v>
      </c>
      <c r="K640" s="811" t="s">
        <v>1628</v>
      </c>
      <c r="L640" s="811" t="s">
        <v>1210</v>
      </c>
      <c r="M640" s="811" t="s">
        <v>1608</v>
      </c>
      <c r="N640" s="811" t="s">
        <v>1608</v>
      </c>
      <c r="O640" s="811" t="s">
        <v>1640</v>
      </c>
      <c r="P640" s="811" t="s">
        <v>1630</v>
      </c>
      <c r="Q640" s="811" t="s">
        <v>1641</v>
      </c>
    </row>
    <row r="641" spans="1:17" x14ac:dyDescent="0.35">
      <c r="A641" s="811" t="s">
        <v>1891</v>
      </c>
      <c r="B641" s="811" t="s">
        <v>2396</v>
      </c>
      <c r="C641" s="812">
        <v>64900000</v>
      </c>
      <c r="D641" s="811" t="s">
        <v>1414</v>
      </c>
      <c r="E641" s="811" t="s">
        <v>1414</v>
      </c>
      <c r="F641" s="811" t="s">
        <v>1662</v>
      </c>
      <c r="G641" s="811" t="s">
        <v>1625</v>
      </c>
      <c r="H641" s="811" t="s">
        <v>1626</v>
      </c>
      <c r="I641" s="811" t="s">
        <v>1627</v>
      </c>
      <c r="J641" s="813">
        <v>64900000</v>
      </c>
      <c r="K641" s="811" t="s">
        <v>1628</v>
      </c>
      <c r="L641" s="811" t="s">
        <v>1210</v>
      </c>
      <c r="M641" s="811" t="s">
        <v>1608</v>
      </c>
      <c r="N641" s="811" t="s">
        <v>1608</v>
      </c>
      <c r="O641" s="811" t="s">
        <v>1640</v>
      </c>
      <c r="P641" s="811" t="s">
        <v>1630</v>
      </c>
      <c r="Q641" s="811" t="s">
        <v>1641</v>
      </c>
    </row>
    <row r="642" spans="1:17" x14ac:dyDescent="0.35">
      <c r="A642" s="811" t="s">
        <v>1891</v>
      </c>
      <c r="B642" s="811" t="s">
        <v>2397</v>
      </c>
      <c r="C642" s="812">
        <v>80896200</v>
      </c>
      <c r="D642" s="811" t="s">
        <v>1414</v>
      </c>
      <c r="E642" s="811" t="s">
        <v>1414</v>
      </c>
      <c r="F642" s="811" t="s">
        <v>1662</v>
      </c>
      <c r="G642" s="811" t="s">
        <v>1625</v>
      </c>
      <c r="H642" s="811" t="s">
        <v>1626</v>
      </c>
      <c r="I642" s="811" t="s">
        <v>1627</v>
      </c>
      <c r="J642" s="813">
        <v>80896200</v>
      </c>
      <c r="K642" s="811" t="s">
        <v>1628</v>
      </c>
      <c r="L642" s="811" t="s">
        <v>1210</v>
      </c>
      <c r="M642" s="811" t="s">
        <v>1608</v>
      </c>
      <c r="N642" s="811" t="s">
        <v>1608</v>
      </c>
      <c r="O642" s="811" t="s">
        <v>1640</v>
      </c>
      <c r="P642" s="811" t="s">
        <v>1630</v>
      </c>
      <c r="Q642" s="811" t="s">
        <v>1641</v>
      </c>
    </row>
    <row r="643" spans="1:17" x14ac:dyDescent="0.35">
      <c r="A643" s="811" t="s">
        <v>1891</v>
      </c>
      <c r="B643" s="811" t="s">
        <v>2398</v>
      </c>
      <c r="C643" s="812">
        <v>134074420</v>
      </c>
      <c r="D643" s="811" t="s">
        <v>1414</v>
      </c>
      <c r="E643" s="811" t="s">
        <v>1414</v>
      </c>
      <c r="F643" s="811" t="s">
        <v>1645</v>
      </c>
      <c r="G643" s="811" t="s">
        <v>1625</v>
      </c>
      <c r="H643" s="811" t="s">
        <v>1626</v>
      </c>
      <c r="I643" s="811" t="s">
        <v>1627</v>
      </c>
      <c r="J643" s="813">
        <v>134074420</v>
      </c>
      <c r="K643" s="811" t="s">
        <v>1628</v>
      </c>
      <c r="L643" s="811" t="s">
        <v>1210</v>
      </c>
      <c r="M643" s="811" t="s">
        <v>1608</v>
      </c>
      <c r="N643" s="811" t="s">
        <v>1608</v>
      </c>
      <c r="O643" s="811" t="s">
        <v>1640</v>
      </c>
      <c r="P643" s="811" t="s">
        <v>1630</v>
      </c>
      <c r="Q643" s="811" t="s">
        <v>1641</v>
      </c>
    </row>
    <row r="644" spans="1:17" x14ac:dyDescent="0.35">
      <c r="A644" s="811" t="s">
        <v>1622</v>
      </c>
      <c r="B644" s="811" t="s">
        <v>2399</v>
      </c>
      <c r="C644" s="812">
        <v>127689924</v>
      </c>
      <c r="D644" s="811" t="s">
        <v>1414</v>
      </c>
      <c r="E644" s="811" t="s">
        <v>1414</v>
      </c>
      <c r="F644" s="811" t="s">
        <v>1645</v>
      </c>
      <c r="G644" s="811" t="s">
        <v>1625</v>
      </c>
      <c r="H644" s="811" t="s">
        <v>1626</v>
      </c>
      <c r="I644" s="811" t="s">
        <v>1627</v>
      </c>
      <c r="J644" s="813">
        <v>127689924</v>
      </c>
      <c r="K644" s="811" t="s">
        <v>1628</v>
      </c>
      <c r="L644" s="811" t="s">
        <v>1210</v>
      </c>
      <c r="M644" s="811" t="s">
        <v>1608</v>
      </c>
      <c r="N644" s="811" t="s">
        <v>1608</v>
      </c>
      <c r="O644" s="811" t="s">
        <v>1640</v>
      </c>
      <c r="P644" s="811" t="s">
        <v>1630</v>
      </c>
      <c r="Q644" s="811" t="s">
        <v>1641</v>
      </c>
    </row>
    <row r="645" spans="1:17" x14ac:dyDescent="0.35">
      <c r="A645" s="811" t="s">
        <v>1622</v>
      </c>
      <c r="B645" s="811" t="s">
        <v>2400</v>
      </c>
      <c r="C645" s="812">
        <v>144585266</v>
      </c>
      <c r="D645" s="811" t="s">
        <v>1414</v>
      </c>
      <c r="E645" s="811" t="s">
        <v>1414</v>
      </c>
      <c r="F645" s="811" t="s">
        <v>1645</v>
      </c>
      <c r="G645" s="811" t="s">
        <v>1625</v>
      </c>
      <c r="H645" s="811" t="s">
        <v>1626</v>
      </c>
      <c r="I645" s="811" t="s">
        <v>1627</v>
      </c>
      <c r="J645" s="813">
        <v>144585266</v>
      </c>
      <c r="K645" s="811" t="s">
        <v>1628</v>
      </c>
      <c r="L645" s="811" t="s">
        <v>1210</v>
      </c>
      <c r="M645" s="811" t="s">
        <v>1608</v>
      </c>
      <c r="N645" s="811" t="s">
        <v>1608</v>
      </c>
      <c r="O645" s="811" t="s">
        <v>1640</v>
      </c>
      <c r="P645" s="811" t="s">
        <v>1630</v>
      </c>
      <c r="Q645" s="811" t="s">
        <v>1641</v>
      </c>
    </row>
    <row r="646" spans="1:17" x14ac:dyDescent="0.35">
      <c r="A646" s="811" t="s">
        <v>1622</v>
      </c>
      <c r="B646" s="811" t="s">
        <v>2401</v>
      </c>
      <c r="C646" s="812">
        <v>66198000</v>
      </c>
      <c r="D646" s="811" t="s">
        <v>1414</v>
      </c>
      <c r="E646" s="811" t="s">
        <v>1414</v>
      </c>
      <c r="F646" s="811" t="s">
        <v>1645</v>
      </c>
      <c r="G646" s="811" t="s">
        <v>1625</v>
      </c>
      <c r="H646" s="811" t="s">
        <v>1626</v>
      </c>
      <c r="I646" s="811" t="s">
        <v>1627</v>
      </c>
      <c r="J646" s="813">
        <v>66198000</v>
      </c>
      <c r="K646" s="811" t="s">
        <v>1628</v>
      </c>
      <c r="L646" s="811" t="s">
        <v>1210</v>
      </c>
      <c r="M646" s="811" t="s">
        <v>1608</v>
      </c>
      <c r="N646" s="811" t="s">
        <v>1608</v>
      </c>
      <c r="O646" s="811" t="s">
        <v>1640</v>
      </c>
      <c r="P646" s="811" t="s">
        <v>1630</v>
      </c>
      <c r="Q646" s="811" t="s">
        <v>1641</v>
      </c>
    </row>
    <row r="647" spans="1:17" x14ac:dyDescent="0.35">
      <c r="A647" s="811" t="s">
        <v>1622</v>
      </c>
      <c r="B647" s="811" t="s">
        <v>2402</v>
      </c>
      <c r="C647" s="812">
        <v>66198000</v>
      </c>
      <c r="D647" s="811" t="s">
        <v>1414</v>
      </c>
      <c r="E647" s="811" t="s">
        <v>1414</v>
      </c>
      <c r="F647" s="811" t="s">
        <v>1645</v>
      </c>
      <c r="G647" s="811" t="s">
        <v>1625</v>
      </c>
      <c r="H647" s="811" t="s">
        <v>1626</v>
      </c>
      <c r="I647" s="811" t="s">
        <v>1627</v>
      </c>
      <c r="J647" s="813">
        <v>66198000</v>
      </c>
      <c r="K647" s="811" t="s">
        <v>1628</v>
      </c>
      <c r="L647" s="811" t="s">
        <v>1210</v>
      </c>
      <c r="M647" s="811" t="s">
        <v>1608</v>
      </c>
      <c r="N647" s="811" t="s">
        <v>1608</v>
      </c>
      <c r="O647" s="811" t="s">
        <v>1640</v>
      </c>
      <c r="P647" s="811" t="s">
        <v>1630</v>
      </c>
      <c r="Q647" s="811" t="s">
        <v>1641</v>
      </c>
    </row>
    <row r="648" spans="1:17" x14ac:dyDescent="0.35">
      <c r="A648" s="811" t="s">
        <v>1622</v>
      </c>
      <c r="B648" s="811" t="s">
        <v>2403</v>
      </c>
      <c r="C648" s="812">
        <v>81844800</v>
      </c>
      <c r="D648" s="811" t="s">
        <v>1414</v>
      </c>
      <c r="E648" s="811" t="s">
        <v>1414</v>
      </c>
      <c r="F648" s="811" t="s">
        <v>1645</v>
      </c>
      <c r="G648" s="811" t="s">
        <v>1625</v>
      </c>
      <c r="H648" s="811" t="s">
        <v>1626</v>
      </c>
      <c r="I648" s="811" t="s">
        <v>1627</v>
      </c>
      <c r="J648" s="813">
        <v>81844800</v>
      </c>
      <c r="K648" s="811" t="s">
        <v>1628</v>
      </c>
      <c r="L648" s="811" t="s">
        <v>1210</v>
      </c>
      <c r="M648" s="811" t="s">
        <v>1608</v>
      </c>
      <c r="N648" s="811" t="s">
        <v>1608</v>
      </c>
      <c r="O648" s="811" t="s">
        <v>1640</v>
      </c>
      <c r="P648" s="811" t="s">
        <v>1630</v>
      </c>
      <c r="Q648" s="811" t="s">
        <v>1641</v>
      </c>
    </row>
    <row r="649" spans="1:17" x14ac:dyDescent="0.35">
      <c r="A649" s="811" t="s">
        <v>1622</v>
      </c>
      <c r="B649" s="811" t="s">
        <v>2404</v>
      </c>
      <c r="C649" s="812">
        <v>44319000</v>
      </c>
      <c r="D649" s="811" t="s">
        <v>1414</v>
      </c>
      <c r="E649" s="811" t="s">
        <v>1414</v>
      </c>
      <c r="F649" s="811" t="s">
        <v>1662</v>
      </c>
      <c r="G649" s="811" t="s">
        <v>1625</v>
      </c>
      <c r="H649" s="811" t="s">
        <v>1626</v>
      </c>
      <c r="I649" s="811" t="s">
        <v>1627</v>
      </c>
      <c r="J649" s="813">
        <v>44319000</v>
      </c>
      <c r="K649" s="811" t="s">
        <v>1628</v>
      </c>
      <c r="L649" s="811" t="s">
        <v>1210</v>
      </c>
      <c r="M649" s="811" t="s">
        <v>1608</v>
      </c>
      <c r="N649" s="811" t="s">
        <v>1608</v>
      </c>
      <c r="O649" s="811" t="s">
        <v>1640</v>
      </c>
      <c r="P649" s="811" t="s">
        <v>1630</v>
      </c>
      <c r="Q649" s="811" t="s">
        <v>1641</v>
      </c>
    </row>
    <row r="650" spans="1:17" x14ac:dyDescent="0.35">
      <c r="A650" s="811" t="s">
        <v>1622</v>
      </c>
      <c r="B650" s="811" t="s">
        <v>2405</v>
      </c>
      <c r="C650" s="812">
        <v>96511665</v>
      </c>
      <c r="D650" s="811" t="s">
        <v>1414</v>
      </c>
      <c r="E650" s="811" t="s">
        <v>1414</v>
      </c>
      <c r="F650" s="811" t="s">
        <v>1645</v>
      </c>
      <c r="G650" s="811" t="s">
        <v>1625</v>
      </c>
      <c r="H650" s="811" t="s">
        <v>1626</v>
      </c>
      <c r="I650" s="811" t="s">
        <v>1627</v>
      </c>
      <c r="J650" s="813">
        <v>96511665</v>
      </c>
      <c r="K650" s="811" t="s">
        <v>1628</v>
      </c>
      <c r="L650" s="811" t="s">
        <v>1210</v>
      </c>
      <c r="M650" s="811" t="s">
        <v>1608</v>
      </c>
      <c r="N650" s="811" t="s">
        <v>1608</v>
      </c>
      <c r="O650" s="811" t="s">
        <v>1640</v>
      </c>
      <c r="P650" s="811" t="s">
        <v>1630</v>
      </c>
      <c r="Q650" s="811" t="s">
        <v>1641</v>
      </c>
    </row>
    <row r="651" spans="1:17" x14ac:dyDescent="0.35">
      <c r="A651" s="811" t="s">
        <v>1622</v>
      </c>
      <c r="B651" s="811" t="s">
        <v>2406</v>
      </c>
      <c r="C651" s="812">
        <v>169075413</v>
      </c>
      <c r="D651" s="811" t="s">
        <v>1414</v>
      </c>
      <c r="E651" s="811" t="s">
        <v>1414</v>
      </c>
      <c r="F651" s="811" t="s">
        <v>1645</v>
      </c>
      <c r="G651" s="811" t="s">
        <v>1625</v>
      </c>
      <c r="H651" s="811" t="s">
        <v>1626</v>
      </c>
      <c r="I651" s="811" t="s">
        <v>1627</v>
      </c>
      <c r="J651" s="813">
        <v>169075413</v>
      </c>
      <c r="K651" s="811" t="s">
        <v>1628</v>
      </c>
      <c r="L651" s="811" t="s">
        <v>1210</v>
      </c>
      <c r="M651" s="811" t="s">
        <v>1608</v>
      </c>
      <c r="N651" s="811" t="s">
        <v>1608</v>
      </c>
      <c r="O651" s="811" t="s">
        <v>1640</v>
      </c>
      <c r="P651" s="811" t="s">
        <v>1630</v>
      </c>
      <c r="Q651" s="811" t="s">
        <v>1641</v>
      </c>
    </row>
    <row r="652" spans="1:17" x14ac:dyDescent="0.35">
      <c r="A652" s="811" t="s">
        <v>1622</v>
      </c>
      <c r="B652" s="811" t="s">
        <v>2407</v>
      </c>
      <c r="C652" s="812">
        <v>84838051</v>
      </c>
      <c r="D652" s="811" t="s">
        <v>1414</v>
      </c>
      <c r="E652" s="811" t="s">
        <v>1414</v>
      </c>
      <c r="F652" s="811" t="s">
        <v>1645</v>
      </c>
      <c r="G652" s="811" t="s">
        <v>1625</v>
      </c>
      <c r="H652" s="811" t="s">
        <v>1626</v>
      </c>
      <c r="I652" s="811" t="s">
        <v>1627</v>
      </c>
      <c r="J652" s="813">
        <v>84838051</v>
      </c>
      <c r="K652" s="811" t="s">
        <v>1628</v>
      </c>
      <c r="L652" s="811" t="s">
        <v>1210</v>
      </c>
      <c r="M652" s="811" t="s">
        <v>1608</v>
      </c>
      <c r="N652" s="811" t="s">
        <v>1608</v>
      </c>
      <c r="O652" s="811" t="s">
        <v>1640</v>
      </c>
      <c r="P652" s="811" t="s">
        <v>1630</v>
      </c>
      <c r="Q652" s="811" t="s">
        <v>1641</v>
      </c>
    </row>
    <row r="653" spans="1:17" x14ac:dyDescent="0.35">
      <c r="A653" s="811" t="s">
        <v>1622</v>
      </c>
      <c r="B653" s="811" t="s">
        <v>2408</v>
      </c>
      <c r="C653" s="812">
        <v>39395799</v>
      </c>
      <c r="D653" s="811" t="s">
        <v>1414</v>
      </c>
      <c r="E653" s="811" t="s">
        <v>1414</v>
      </c>
      <c r="F653" s="811" t="s">
        <v>1662</v>
      </c>
      <c r="G653" s="811" t="s">
        <v>1625</v>
      </c>
      <c r="H653" s="811" t="s">
        <v>1626</v>
      </c>
      <c r="I653" s="811" t="s">
        <v>1627</v>
      </c>
      <c r="J653" s="813">
        <v>39395799</v>
      </c>
      <c r="K653" s="811" t="s">
        <v>1628</v>
      </c>
      <c r="L653" s="811" t="s">
        <v>1210</v>
      </c>
      <c r="M653" s="811" t="s">
        <v>1608</v>
      </c>
      <c r="N653" s="811" t="s">
        <v>1608</v>
      </c>
      <c r="O653" s="811" t="s">
        <v>1640</v>
      </c>
      <c r="P653" s="811" t="s">
        <v>1630</v>
      </c>
      <c r="Q653" s="811" t="s">
        <v>1641</v>
      </c>
    </row>
    <row r="654" spans="1:17" x14ac:dyDescent="0.35">
      <c r="A654" s="811" t="s">
        <v>1622</v>
      </c>
      <c r="B654" s="811" t="s">
        <v>2409</v>
      </c>
      <c r="C654" s="812">
        <v>56202000</v>
      </c>
      <c r="D654" s="811" t="s">
        <v>1420</v>
      </c>
      <c r="E654" s="811" t="s">
        <v>1420</v>
      </c>
      <c r="F654" s="811" t="s">
        <v>1658</v>
      </c>
      <c r="G654" s="811" t="s">
        <v>1625</v>
      </c>
      <c r="H654" s="811" t="s">
        <v>1626</v>
      </c>
      <c r="I654" s="811" t="s">
        <v>1627</v>
      </c>
      <c r="J654" s="813">
        <v>56202000</v>
      </c>
      <c r="K654" s="811" t="s">
        <v>1628</v>
      </c>
      <c r="L654" s="811" t="s">
        <v>1210</v>
      </c>
      <c r="M654" s="811" t="s">
        <v>1608</v>
      </c>
      <c r="N654" s="811" t="s">
        <v>1608</v>
      </c>
      <c r="O654" s="811" t="s">
        <v>1640</v>
      </c>
      <c r="P654" s="811" t="s">
        <v>1630</v>
      </c>
      <c r="Q654" s="811" t="s">
        <v>1641</v>
      </c>
    </row>
    <row r="655" spans="1:17" x14ac:dyDescent="0.35">
      <c r="A655" s="811" t="s">
        <v>1622</v>
      </c>
      <c r="B655" s="811" t="s">
        <v>2410</v>
      </c>
      <c r="C655" s="812">
        <v>48478886</v>
      </c>
      <c r="D655" s="811" t="s">
        <v>1414</v>
      </c>
      <c r="E655" s="811" t="s">
        <v>1414</v>
      </c>
      <c r="F655" s="811" t="s">
        <v>1645</v>
      </c>
      <c r="G655" s="811" t="s">
        <v>1625</v>
      </c>
      <c r="H655" s="811" t="s">
        <v>1626</v>
      </c>
      <c r="I655" s="811" t="s">
        <v>1627</v>
      </c>
      <c r="J655" s="813">
        <v>48478886</v>
      </c>
      <c r="K655" s="811" t="s">
        <v>1628</v>
      </c>
      <c r="L655" s="811" t="s">
        <v>1210</v>
      </c>
      <c r="M655" s="811" t="s">
        <v>1608</v>
      </c>
      <c r="N655" s="811" t="s">
        <v>1608</v>
      </c>
      <c r="O655" s="811" t="s">
        <v>1640</v>
      </c>
      <c r="P655" s="811" t="s">
        <v>1630</v>
      </c>
      <c r="Q655" s="811" t="s">
        <v>1641</v>
      </c>
    </row>
    <row r="656" spans="1:17" x14ac:dyDescent="0.35">
      <c r="A656" s="811" t="s">
        <v>1622</v>
      </c>
      <c r="B656" s="811" t="s">
        <v>2411</v>
      </c>
      <c r="C656" s="812">
        <v>33129600</v>
      </c>
      <c r="D656" s="811" t="s">
        <v>1414</v>
      </c>
      <c r="E656" s="811" t="s">
        <v>1414</v>
      </c>
      <c r="F656" s="811" t="s">
        <v>1645</v>
      </c>
      <c r="G656" s="811" t="s">
        <v>1625</v>
      </c>
      <c r="H656" s="811" t="s">
        <v>1626</v>
      </c>
      <c r="I656" s="811" t="s">
        <v>1627</v>
      </c>
      <c r="J656" s="813">
        <v>33129600</v>
      </c>
      <c r="K656" s="811" t="s">
        <v>1628</v>
      </c>
      <c r="L656" s="811" t="s">
        <v>1210</v>
      </c>
      <c r="M656" s="811" t="s">
        <v>1608</v>
      </c>
      <c r="N656" s="811" t="s">
        <v>1608</v>
      </c>
      <c r="O656" s="811" t="s">
        <v>1640</v>
      </c>
      <c r="P656" s="811" t="s">
        <v>1630</v>
      </c>
      <c r="Q656" s="811" t="s">
        <v>1641</v>
      </c>
    </row>
    <row r="657" spans="1:17" x14ac:dyDescent="0.35">
      <c r="A657" s="811" t="s">
        <v>1622</v>
      </c>
      <c r="B657" s="811" t="s">
        <v>2412</v>
      </c>
      <c r="C657" s="812">
        <v>33129600</v>
      </c>
      <c r="D657" s="811" t="s">
        <v>1414</v>
      </c>
      <c r="E657" s="811" t="s">
        <v>1414</v>
      </c>
      <c r="F657" s="811" t="s">
        <v>1645</v>
      </c>
      <c r="G657" s="811" t="s">
        <v>1625</v>
      </c>
      <c r="H657" s="811" t="s">
        <v>1626</v>
      </c>
      <c r="I657" s="811" t="s">
        <v>1627</v>
      </c>
      <c r="J657" s="813">
        <v>33129600</v>
      </c>
      <c r="K657" s="811" t="s">
        <v>1628</v>
      </c>
      <c r="L657" s="811" t="s">
        <v>1210</v>
      </c>
      <c r="M657" s="811" t="s">
        <v>1608</v>
      </c>
      <c r="N657" s="811" t="s">
        <v>1608</v>
      </c>
      <c r="O657" s="811" t="s">
        <v>1640</v>
      </c>
      <c r="P657" s="811" t="s">
        <v>1630</v>
      </c>
      <c r="Q657" s="811" t="s">
        <v>1641</v>
      </c>
    </row>
    <row r="658" spans="1:17" x14ac:dyDescent="0.35">
      <c r="A658" s="811" t="s">
        <v>1622</v>
      </c>
      <c r="B658" s="811" t="s">
        <v>2413</v>
      </c>
      <c r="C658" s="812">
        <v>33129600</v>
      </c>
      <c r="D658" s="811" t="s">
        <v>1414</v>
      </c>
      <c r="E658" s="811" t="s">
        <v>1414</v>
      </c>
      <c r="F658" s="811" t="s">
        <v>1645</v>
      </c>
      <c r="G658" s="811" t="s">
        <v>1625</v>
      </c>
      <c r="H658" s="811" t="s">
        <v>1626</v>
      </c>
      <c r="I658" s="811" t="s">
        <v>1627</v>
      </c>
      <c r="J658" s="813">
        <v>33129600</v>
      </c>
      <c r="K658" s="811" t="s">
        <v>1628</v>
      </c>
      <c r="L658" s="811" t="s">
        <v>1210</v>
      </c>
      <c r="M658" s="811" t="s">
        <v>1608</v>
      </c>
      <c r="N658" s="811" t="s">
        <v>1608</v>
      </c>
      <c r="O658" s="811" t="s">
        <v>1640</v>
      </c>
      <c r="P658" s="811" t="s">
        <v>1630</v>
      </c>
      <c r="Q658" s="811" t="s">
        <v>1641</v>
      </c>
    </row>
    <row r="659" spans="1:17" x14ac:dyDescent="0.35">
      <c r="A659" s="811" t="s">
        <v>1622</v>
      </c>
      <c r="B659" s="811" t="s">
        <v>2414</v>
      </c>
      <c r="C659" s="812">
        <v>42636000</v>
      </c>
      <c r="D659" s="811" t="s">
        <v>1414</v>
      </c>
      <c r="E659" s="811" t="s">
        <v>1414</v>
      </c>
      <c r="F659" s="811" t="s">
        <v>1662</v>
      </c>
      <c r="G659" s="811" t="s">
        <v>1625</v>
      </c>
      <c r="H659" s="811" t="s">
        <v>1626</v>
      </c>
      <c r="I659" s="811" t="s">
        <v>1627</v>
      </c>
      <c r="J659" s="813">
        <v>42636000</v>
      </c>
      <c r="K659" s="811" t="s">
        <v>1628</v>
      </c>
      <c r="L659" s="811" t="s">
        <v>1210</v>
      </c>
      <c r="M659" s="811" t="s">
        <v>1608</v>
      </c>
      <c r="N659" s="811" t="s">
        <v>1608</v>
      </c>
      <c r="O659" s="811" t="s">
        <v>1640</v>
      </c>
      <c r="P659" s="811" t="s">
        <v>1630</v>
      </c>
      <c r="Q659" s="811" t="s">
        <v>1641</v>
      </c>
    </row>
    <row r="660" spans="1:17" x14ac:dyDescent="0.35">
      <c r="A660" s="811" t="s">
        <v>1622</v>
      </c>
      <c r="B660" s="811" t="s">
        <v>2415</v>
      </c>
      <c r="C660" s="812">
        <v>72000000</v>
      </c>
      <c r="D660" s="811" t="s">
        <v>1420</v>
      </c>
      <c r="E660" s="811" t="s">
        <v>1420</v>
      </c>
      <c r="F660" s="811" t="s">
        <v>1624</v>
      </c>
      <c r="G660" s="811" t="s">
        <v>1625</v>
      </c>
      <c r="H660" s="811" t="s">
        <v>1626</v>
      </c>
      <c r="I660" s="811" t="s">
        <v>1627</v>
      </c>
      <c r="J660" s="813">
        <v>72000000</v>
      </c>
      <c r="K660" s="811" t="s">
        <v>1628</v>
      </c>
      <c r="L660" s="811" t="s">
        <v>1210</v>
      </c>
      <c r="M660" s="811" t="s">
        <v>1608</v>
      </c>
      <c r="N660" s="811" t="s">
        <v>1608</v>
      </c>
      <c r="O660" s="811" t="s">
        <v>1702</v>
      </c>
      <c r="P660" s="811" t="s">
        <v>1630</v>
      </c>
      <c r="Q660" s="811" t="s">
        <v>1637</v>
      </c>
    </row>
    <row r="661" spans="1:17" x14ac:dyDescent="0.35">
      <c r="A661" s="811" t="s">
        <v>1622</v>
      </c>
      <c r="B661" s="811" t="s">
        <v>2416</v>
      </c>
      <c r="C661" s="812">
        <v>60000000</v>
      </c>
      <c r="D661" s="811" t="s">
        <v>1420</v>
      </c>
      <c r="E661" s="811" t="s">
        <v>1420</v>
      </c>
      <c r="F661" s="811" t="s">
        <v>1624</v>
      </c>
      <c r="G661" s="811" t="s">
        <v>1625</v>
      </c>
      <c r="H661" s="811" t="s">
        <v>1626</v>
      </c>
      <c r="I661" s="811" t="s">
        <v>1627</v>
      </c>
      <c r="J661" s="813">
        <v>60000000</v>
      </c>
      <c r="K661" s="811" t="s">
        <v>1628</v>
      </c>
      <c r="L661" s="811" t="s">
        <v>1210</v>
      </c>
      <c r="M661" s="811" t="s">
        <v>1608</v>
      </c>
      <c r="N661" s="811" t="s">
        <v>1608</v>
      </c>
      <c r="O661" s="811" t="s">
        <v>1702</v>
      </c>
      <c r="P661" s="811" t="s">
        <v>1630</v>
      </c>
      <c r="Q661" s="811" t="s">
        <v>1637</v>
      </c>
    </row>
    <row r="662" spans="1:17" x14ac:dyDescent="0.35">
      <c r="A662" s="811" t="s">
        <v>1622</v>
      </c>
      <c r="B662" s="811" t="s">
        <v>2417</v>
      </c>
      <c r="C662" s="812">
        <v>96000000</v>
      </c>
      <c r="D662" s="811" t="s">
        <v>1420</v>
      </c>
      <c r="E662" s="811" t="s">
        <v>1420</v>
      </c>
      <c r="F662" s="811" t="s">
        <v>1624</v>
      </c>
      <c r="G662" s="811" t="s">
        <v>1625</v>
      </c>
      <c r="H662" s="811" t="s">
        <v>1626</v>
      </c>
      <c r="I662" s="811" t="s">
        <v>1627</v>
      </c>
      <c r="J662" s="813">
        <v>96000000</v>
      </c>
      <c r="K662" s="811" t="s">
        <v>1628</v>
      </c>
      <c r="L662" s="811" t="s">
        <v>1210</v>
      </c>
      <c r="M662" s="811" t="s">
        <v>1608</v>
      </c>
      <c r="N662" s="811" t="s">
        <v>1608</v>
      </c>
      <c r="O662" s="811" t="s">
        <v>1702</v>
      </c>
      <c r="P662" s="811" t="s">
        <v>1630</v>
      </c>
      <c r="Q662" s="811" t="s">
        <v>1637</v>
      </c>
    </row>
    <row r="663" spans="1:17" x14ac:dyDescent="0.35">
      <c r="A663" s="811" t="s">
        <v>1622</v>
      </c>
      <c r="B663" s="811" t="s">
        <v>2418</v>
      </c>
      <c r="C663" s="812">
        <v>72000000</v>
      </c>
      <c r="D663" s="811" t="s">
        <v>1420</v>
      </c>
      <c r="E663" s="811" t="s">
        <v>1420</v>
      </c>
      <c r="F663" s="811" t="s">
        <v>1624</v>
      </c>
      <c r="G663" s="811" t="s">
        <v>1625</v>
      </c>
      <c r="H663" s="811" t="s">
        <v>1626</v>
      </c>
      <c r="I663" s="811" t="s">
        <v>1627</v>
      </c>
      <c r="J663" s="813">
        <v>72000000</v>
      </c>
      <c r="K663" s="811" t="s">
        <v>1628</v>
      </c>
      <c r="L663" s="811" t="s">
        <v>1210</v>
      </c>
      <c r="M663" s="811" t="s">
        <v>1608</v>
      </c>
      <c r="N663" s="811" t="s">
        <v>1608</v>
      </c>
      <c r="O663" s="811" t="s">
        <v>1702</v>
      </c>
      <c r="P663" s="811" t="s">
        <v>1630</v>
      </c>
      <c r="Q663" s="811" t="s">
        <v>1637</v>
      </c>
    </row>
    <row r="664" spans="1:17" x14ac:dyDescent="0.35">
      <c r="A664" s="811" t="s">
        <v>1622</v>
      </c>
      <c r="B664" s="811" t="s">
        <v>2419</v>
      </c>
      <c r="C664" s="812">
        <v>56000000</v>
      </c>
      <c r="D664" s="811" t="s">
        <v>1420</v>
      </c>
      <c r="E664" s="811" t="s">
        <v>1420</v>
      </c>
      <c r="F664" s="811" t="s">
        <v>1624</v>
      </c>
      <c r="G664" s="811" t="s">
        <v>1625</v>
      </c>
      <c r="H664" s="811" t="s">
        <v>1626</v>
      </c>
      <c r="I664" s="811" t="s">
        <v>1627</v>
      </c>
      <c r="J664" s="813">
        <v>56000000</v>
      </c>
      <c r="K664" s="811" t="s">
        <v>1628</v>
      </c>
      <c r="L664" s="811" t="s">
        <v>1210</v>
      </c>
      <c r="M664" s="811" t="s">
        <v>1608</v>
      </c>
      <c r="N664" s="811" t="s">
        <v>1608</v>
      </c>
      <c r="O664" s="811" t="s">
        <v>1702</v>
      </c>
      <c r="P664" s="811" t="s">
        <v>1630</v>
      </c>
      <c r="Q664" s="811" t="s">
        <v>1637</v>
      </c>
    </row>
    <row r="665" spans="1:17" x14ac:dyDescent="0.35">
      <c r="A665" s="811" t="s">
        <v>1622</v>
      </c>
      <c r="B665" s="811" t="s">
        <v>2420</v>
      </c>
      <c r="C665" s="812">
        <v>63000000</v>
      </c>
      <c r="D665" s="811" t="s">
        <v>1420</v>
      </c>
      <c r="E665" s="811" t="s">
        <v>1420</v>
      </c>
      <c r="F665" s="811" t="s">
        <v>1639</v>
      </c>
      <c r="G665" s="811" t="s">
        <v>1625</v>
      </c>
      <c r="H665" s="811" t="s">
        <v>1626</v>
      </c>
      <c r="I665" s="811" t="s">
        <v>1627</v>
      </c>
      <c r="J665" s="813">
        <v>63000000</v>
      </c>
      <c r="K665" s="811" t="s">
        <v>1628</v>
      </c>
      <c r="L665" s="811" t="s">
        <v>1210</v>
      </c>
      <c r="M665" s="811" t="s">
        <v>1608</v>
      </c>
      <c r="N665" s="811" t="s">
        <v>1608</v>
      </c>
      <c r="O665" s="811" t="s">
        <v>1702</v>
      </c>
      <c r="P665" s="811" t="s">
        <v>1630</v>
      </c>
      <c r="Q665" s="811" t="s">
        <v>1637</v>
      </c>
    </row>
    <row r="666" spans="1:17" x14ac:dyDescent="0.35">
      <c r="A666" s="811" t="s">
        <v>1622</v>
      </c>
      <c r="B666" s="811" t="s">
        <v>2421</v>
      </c>
      <c r="C666" s="812">
        <v>61600000</v>
      </c>
      <c r="D666" s="811" t="s">
        <v>1420</v>
      </c>
      <c r="E666" s="811" t="s">
        <v>1420</v>
      </c>
      <c r="F666" s="811" t="s">
        <v>1624</v>
      </c>
      <c r="G666" s="811" t="s">
        <v>1625</v>
      </c>
      <c r="H666" s="811" t="s">
        <v>1626</v>
      </c>
      <c r="I666" s="811" t="s">
        <v>1627</v>
      </c>
      <c r="J666" s="813">
        <v>61600000</v>
      </c>
      <c r="K666" s="811" t="s">
        <v>1628</v>
      </c>
      <c r="L666" s="811" t="s">
        <v>1210</v>
      </c>
      <c r="M666" s="811" t="s">
        <v>1608</v>
      </c>
      <c r="N666" s="811" t="s">
        <v>1608</v>
      </c>
      <c r="O666" s="811" t="s">
        <v>1702</v>
      </c>
      <c r="P666" s="811" t="s">
        <v>1630</v>
      </c>
      <c r="Q666" s="811" t="s">
        <v>1637</v>
      </c>
    </row>
    <row r="667" spans="1:17" x14ac:dyDescent="0.35">
      <c r="A667" s="811" t="s">
        <v>1622</v>
      </c>
      <c r="B667" s="811" t="s">
        <v>2422</v>
      </c>
      <c r="C667" s="812">
        <v>39975144</v>
      </c>
      <c r="D667" s="811" t="s">
        <v>1420</v>
      </c>
      <c r="E667" s="811" t="s">
        <v>1420</v>
      </c>
      <c r="F667" s="811" t="s">
        <v>1624</v>
      </c>
      <c r="G667" s="811" t="s">
        <v>1625</v>
      </c>
      <c r="H667" s="811" t="s">
        <v>1626</v>
      </c>
      <c r="I667" s="811" t="s">
        <v>1627</v>
      </c>
      <c r="J667" s="813">
        <v>39975144</v>
      </c>
      <c r="K667" s="811" t="s">
        <v>1628</v>
      </c>
      <c r="L667" s="811" t="s">
        <v>1210</v>
      </c>
      <c r="M667" s="811" t="s">
        <v>1608</v>
      </c>
      <c r="N667" s="811" t="s">
        <v>1608</v>
      </c>
      <c r="O667" s="811" t="s">
        <v>1702</v>
      </c>
      <c r="P667" s="811" t="s">
        <v>1630</v>
      </c>
      <c r="Q667" s="811" t="s">
        <v>1637</v>
      </c>
    </row>
    <row r="668" spans="1:17" x14ac:dyDescent="0.35">
      <c r="A668" s="811" t="s">
        <v>1622</v>
      </c>
      <c r="B668" s="811" t="s">
        <v>2423</v>
      </c>
      <c r="C668" s="812">
        <v>90000000</v>
      </c>
      <c r="D668" s="811" t="s">
        <v>1420</v>
      </c>
      <c r="E668" s="811" t="s">
        <v>1420</v>
      </c>
      <c r="F668" s="811" t="s">
        <v>1639</v>
      </c>
      <c r="G668" s="811" t="s">
        <v>1625</v>
      </c>
      <c r="H668" s="811" t="s">
        <v>1626</v>
      </c>
      <c r="I668" s="811" t="s">
        <v>1627</v>
      </c>
      <c r="J668" s="813">
        <v>90000000</v>
      </c>
      <c r="K668" s="811" t="s">
        <v>1628</v>
      </c>
      <c r="L668" s="811" t="s">
        <v>1210</v>
      </c>
      <c r="M668" s="811" t="s">
        <v>1608</v>
      </c>
      <c r="N668" s="811" t="s">
        <v>1608</v>
      </c>
      <c r="O668" s="811" t="s">
        <v>1654</v>
      </c>
      <c r="P668" s="811" t="s">
        <v>1630</v>
      </c>
      <c r="Q668" s="811" t="s">
        <v>1655</v>
      </c>
    </row>
    <row r="669" spans="1:17" x14ac:dyDescent="0.35">
      <c r="A669" s="811" t="s">
        <v>1622</v>
      </c>
      <c r="B669" s="811" t="s">
        <v>2424</v>
      </c>
      <c r="C669" s="812">
        <v>36794250</v>
      </c>
      <c r="D669" s="811" t="s">
        <v>1420</v>
      </c>
      <c r="E669" s="811" t="s">
        <v>1420</v>
      </c>
      <c r="F669" s="811" t="s">
        <v>1639</v>
      </c>
      <c r="G669" s="811" t="s">
        <v>1625</v>
      </c>
      <c r="H669" s="811" t="s">
        <v>1626</v>
      </c>
      <c r="I669" s="811" t="s">
        <v>1627</v>
      </c>
      <c r="J669" s="813">
        <v>36794250</v>
      </c>
      <c r="K669" s="811" t="s">
        <v>1628</v>
      </c>
      <c r="L669" s="811" t="s">
        <v>1210</v>
      </c>
      <c r="M669" s="811" t="s">
        <v>1608</v>
      </c>
      <c r="N669" s="811" t="s">
        <v>1608</v>
      </c>
      <c r="O669" s="811" t="s">
        <v>1654</v>
      </c>
      <c r="P669" s="811" t="s">
        <v>1630</v>
      </c>
      <c r="Q669" s="811" t="s">
        <v>1655</v>
      </c>
    </row>
    <row r="670" spans="1:17" x14ac:dyDescent="0.35">
      <c r="A670" s="811" t="s">
        <v>1622</v>
      </c>
      <c r="B670" s="811" t="s">
        <v>1951</v>
      </c>
      <c r="C670" s="812">
        <v>64900000</v>
      </c>
      <c r="D670" s="811" t="s">
        <v>1424</v>
      </c>
      <c r="E670" s="811" t="s">
        <v>1424</v>
      </c>
      <c r="F670" s="811" t="s">
        <v>1662</v>
      </c>
      <c r="G670" s="811" t="s">
        <v>1625</v>
      </c>
      <c r="H670" s="811" t="s">
        <v>1626</v>
      </c>
      <c r="I670" s="811" t="s">
        <v>1627</v>
      </c>
      <c r="J670" s="813">
        <v>64900000</v>
      </c>
      <c r="K670" s="811" t="s">
        <v>1628</v>
      </c>
      <c r="L670" s="811" t="s">
        <v>1210</v>
      </c>
      <c r="M670" s="811" t="s">
        <v>1608</v>
      </c>
      <c r="N670" s="811" t="s">
        <v>1608</v>
      </c>
      <c r="O670" s="811" t="s">
        <v>1659</v>
      </c>
      <c r="P670" s="811" t="s">
        <v>1630</v>
      </c>
      <c r="Q670" s="811" t="s">
        <v>1631</v>
      </c>
    </row>
    <row r="671" spans="1:17" x14ac:dyDescent="0.35">
      <c r="A671" s="811" t="s">
        <v>1622</v>
      </c>
      <c r="B671" s="811" t="s">
        <v>1951</v>
      </c>
      <c r="C671" s="812">
        <v>64900000</v>
      </c>
      <c r="D671" s="811" t="s">
        <v>1424</v>
      </c>
      <c r="E671" s="811" t="s">
        <v>1424</v>
      </c>
      <c r="F671" s="811" t="s">
        <v>1662</v>
      </c>
      <c r="G671" s="811" t="s">
        <v>1625</v>
      </c>
      <c r="H671" s="811" t="s">
        <v>1626</v>
      </c>
      <c r="I671" s="811" t="s">
        <v>1627</v>
      </c>
      <c r="J671" s="813">
        <v>64900000</v>
      </c>
      <c r="K671" s="811" t="s">
        <v>1628</v>
      </c>
      <c r="L671" s="811" t="s">
        <v>1210</v>
      </c>
      <c r="M671" s="811" t="s">
        <v>1608</v>
      </c>
      <c r="N671" s="811" t="s">
        <v>1608</v>
      </c>
      <c r="O671" s="811" t="s">
        <v>1659</v>
      </c>
      <c r="P671" s="811" t="s">
        <v>1630</v>
      </c>
      <c r="Q671" s="811" t="s">
        <v>1631</v>
      </c>
    </row>
    <row r="672" spans="1:17" x14ac:dyDescent="0.35">
      <c r="A672" s="811" t="s">
        <v>1622</v>
      </c>
      <c r="B672" s="811" t="s">
        <v>1951</v>
      </c>
      <c r="C672" s="812">
        <v>64900000</v>
      </c>
      <c r="D672" s="811" t="s">
        <v>1424</v>
      </c>
      <c r="E672" s="811" t="s">
        <v>1424</v>
      </c>
      <c r="F672" s="811" t="s">
        <v>1645</v>
      </c>
      <c r="G672" s="811" t="s">
        <v>1625</v>
      </c>
      <c r="H672" s="811" t="s">
        <v>1626</v>
      </c>
      <c r="I672" s="811" t="s">
        <v>1627</v>
      </c>
      <c r="J672" s="813">
        <v>64900000</v>
      </c>
      <c r="K672" s="811" t="s">
        <v>1628</v>
      </c>
      <c r="L672" s="811" t="s">
        <v>1210</v>
      </c>
      <c r="M672" s="811" t="s">
        <v>1608</v>
      </c>
      <c r="N672" s="811" t="s">
        <v>1608</v>
      </c>
      <c r="O672" s="811" t="s">
        <v>1659</v>
      </c>
      <c r="P672" s="811" t="s">
        <v>1630</v>
      </c>
      <c r="Q672" s="811" t="s">
        <v>1631</v>
      </c>
    </row>
    <row r="673" spans="1:17" x14ac:dyDescent="0.35">
      <c r="A673" s="811" t="s">
        <v>1622</v>
      </c>
      <c r="B673" s="811" t="s">
        <v>1951</v>
      </c>
      <c r="C673" s="812">
        <v>64900000</v>
      </c>
      <c r="D673" s="811" t="s">
        <v>1424</v>
      </c>
      <c r="E673" s="811" t="s">
        <v>1424</v>
      </c>
      <c r="F673" s="811" t="s">
        <v>1645</v>
      </c>
      <c r="G673" s="811" t="s">
        <v>1625</v>
      </c>
      <c r="H673" s="811" t="s">
        <v>1626</v>
      </c>
      <c r="I673" s="811" t="s">
        <v>1627</v>
      </c>
      <c r="J673" s="813">
        <v>64900000</v>
      </c>
      <c r="K673" s="811" t="s">
        <v>1628</v>
      </c>
      <c r="L673" s="811" t="s">
        <v>1210</v>
      </c>
      <c r="M673" s="811" t="s">
        <v>1608</v>
      </c>
      <c r="N673" s="811" t="s">
        <v>1608</v>
      </c>
      <c r="O673" s="811" t="s">
        <v>1659</v>
      </c>
      <c r="P673" s="811" t="s">
        <v>1630</v>
      </c>
      <c r="Q673" s="811" t="s">
        <v>1631</v>
      </c>
    </row>
    <row r="674" spans="1:17" x14ac:dyDescent="0.35">
      <c r="A674" s="811" t="s">
        <v>1622</v>
      </c>
      <c r="B674" s="811" t="s">
        <v>1951</v>
      </c>
      <c r="C674" s="812">
        <v>64900000</v>
      </c>
      <c r="D674" s="811" t="s">
        <v>1424</v>
      </c>
      <c r="E674" s="811" t="s">
        <v>1424</v>
      </c>
      <c r="F674" s="811" t="s">
        <v>1645</v>
      </c>
      <c r="G674" s="811" t="s">
        <v>1625</v>
      </c>
      <c r="H674" s="811" t="s">
        <v>1626</v>
      </c>
      <c r="I674" s="811" t="s">
        <v>1627</v>
      </c>
      <c r="J674" s="813">
        <v>64900000</v>
      </c>
      <c r="K674" s="811" t="s">
        <v>1628</v>
      </c>
      <c r="L674" s="811" t="s">
        <v>1210</v>
      </c>
      <c r="M674" s="811" t="s">
        <v>1608</v>
      </c>
      <c r="N674" s="811" t="s">
        <v>1608</v>
      </c>
      <c r="O674" s="811" t="s">
        <v>1659</v>
      </c>
      <c r="P674" s="811" t="s">
        <v>1630</v>
      </c>
      <c r="Q674" s="811" t="s">
        <v>1631</v>
      </c>
    </row>
    <row r="675" spans="1:17" x14ac:dyDescent="0.35">
      <c r="A675" s="811" t="s">
        <v>1622</v>
      </c>
      <c r="B675" s="811" t="s">
        <v>1951</v>
      </c>
      <c r="C675" s="812">
        <v>64900000</v>
      </c>
      <c r="D675" s="811" t="s">
        <v>1424</v>
      </c>
      <c r="E675" s="811" t="s">
        <v>1424</v>
      </c>
      <c r="F675" s="811" t="s">
        <v>1645</v>
      </c>
      <c r="G675" s="811" t="s">
        <v>1625</v>
      </c>
      <c r="H675" s="811" t="s">
        <v>1626</v>
      </c>
      <c r="I675" s="811" t="s">
        <v>1627</v>
      </c>
      <c r="J675" s="813">
        <v>64900000</v>
      </c>
      <c r="K675" s="811" t="s">
        <v>1628</v>
      </c>
      <c r="L675" s="811" t="s">
        <v>1210</v>
      </c>
      <c r="M675" s="811" t="s">
        <v>1608</v>
      </c>
      <c r="N675" s="811" t="s">
        <v>1608</v>
      </c>
      <c r="O675" s="811" t="s">
        <v>1659</v>
      </c>
      <c r="P675" s="811" t="s">
        <v>1630</v>
      </c>
      <c r="Q675" s="811" t="s">
        <v>1631</v>
      </c>
    </row>
    <row r="676" spans="1:17" x14ac:dyDescent="0.35">
      <c r="A676" s="811" t="s">
        <v>1622</v>
      </c>
      <c r="B676" s="811" t="s">
        <v>2425</v>
      </c>
      <c r="C676" s="812">
        <v>58900000</v>
      </c>
      <c r="D676" s="811" t="s">
        <v>1424</v>
      </c>
      <c r="E676" s="811" t="s">
        <v>1424</v>
      </c>
      <c r="F676" s="811" t="s">
        <v>1658</v>
      </c>
      <c r="G676" s="811" t="s">
        <v>1625</v>
      </c>
      <c r="H676" s="811" t="s">
        <v>1626</v>
      </c>
      <c r="I676" s="811" t="s">
        <v>1627</v>
      </c>
      <c r="J676" s="813">
        <v>58900000</v>
      </c>
      <c r="K676" s="811" t="s">
        <v>1628</v>
      </c>
      <c r="L676" s="811" t="s">
        <v>1210</v>
      </c>
      <c r="M676" s="811" t="s">
        <v>1608</v>
      </c>
      <c r="N676" s="811" t="s">
        <v>1608</v>
      </c>
      <c r="O676" s="811" t="s">
        <v>1742</v>
      </c>
      <c r="P676" s="811" t="s">
        <v>1630</v>
      </c>
      <c r="Q676" s="811" t="s">
        <v>1678</v>
      </c>
    </row>
    <row r="677" spans="1:17" x14ac:dyDescent="0.35">
      <c r="A677" s="811" t="s">
        <v>1622</v>
      </c>
      <c r="B677" s="811" t="s">
        <v>2426</v>
      </c>
      <c r="C677" s="812">
        <v>54000000</v>
      </c>
      <c r="D677" s="811" t="s">
        <v>1424</v>
      </c>
      <c r="E677" s="811" t="s">
        <v>1424</v>
      </c>
      <c r="F677" s="811" t="s">
        <v>1658</v>
      </c>
      <c r="G677" s="811" t="s">
        <v>1625</v>
      </c>
      <c r="H677" s="811" t="s">
        <v>1626</v>
      </c>
      <c r="I677" s="811" t="s">
        <v>1627</v>
      </c>
      <c r="J677" s="813">
        <v>54000000</v>
      </c>
      <c r="K677" s="811" t="s">
        <v>1628</v>
      </c>
      <c r="L677" s="811" t="s">
        <v>1210</v>
      </c>
      <c r="M677" s="811" t="s">
        <v>1608</v>
      </c>
      <c r="N677" s="811" t="s">
        <v>1608</v>
      </c>
      <c r="O677" s="811" t="s">
        <v>1742</v>
      </c>
      <c r="P677" s="811" t="s">
        <v>1630</v>
      </c>
      <c r="Q677" s="811" t="s">
        <v>1678</v>
      </c>
    </row>
    <row r="678" spans="1:17" x14ac:dyDescent="0.35">
      <c r="A678" s="811" t="s">
        <v>1622</v>
      </c>
      <c r="B678" s="811" t="s">
        <v>2427</v>
      </c>
      <c r="C678" s="812">
        <v>136056666</v>
      </c>
      <c r="D678" s="811" t="s">
        <v>1414</v>
      </c>
      <c r="E678" s="811" t="s">
        <v>1414</v>
      </c>
      <c r="F678" s="811" t="s">
        <v>1645</v>
      </c>
      <c r="G678" s="811" t="s">
        <v>1625</v>
      </c>
      <c r="H678" s="811" t="s">
        <v>1626</v>
      </c>
      <c r="I678" s="811" t="s">
        <v>1627</v>
      </c>
      <c r="J678" s="813">
        <v>136056666</v>
      </c>
      <c r="K678" s="811" t="s">
        <v>1628</v>
      </c>
      <c r="L678" s="811" t="s">
        <v>1210</v>
      </c>
      <c r="M678" s="811" t="s">
        <v>1608</v>
      </c>
      <c r="N678" s="811" t="s">
        <v>1608</v>
      </c>
      <c r="O678" s="811" t="s">
        <v>1742</v>
      </c>
      <c r="P678" s="811" t="s">
        <v>1630</v>
      </c>
      <c r="Q678" s="811" t="s">
        <v>1678</v>
      </c>
    </row>
    <row r="679" spans="1:17" x14ac:dyDescent="0.35">
      <c r="A679" s="811" t="s">
        <v>1622</v>
      </c>
      <c r="B679" s="811" t="s">
        <v>2428</v>
      </c>
      <c r="C679" s="812">
        <v>80000000</v>
      </c>
      <c r="D679" s="811" t="s">
        <v>1424</v>
      </c>
      <c r="E679" s="811" t="s">
        <v>1424</v>
      </c>
      <c r="F679" s="811" t="s">
        <v>1658</v>
      </c>
      <c r="G679" s="811" t="s">
        <v>1625</v>
      </c>
      <c r="H679" s="811" t="s">
        <v>1626</v>
      </c>
      <c r="I679" s="811" t="s">
        <v>1627</v>
      </c>
      <c r="J679" s="813">
        <v>80000000</v>
      </c>
      <c r="K679" s="811" t="s">
        <v>1628</v>
      </c>
      <c r="L679" s="811" t="s">
        <v>1210</v>
      </c>
      <c r="M679" s="811" t="s">
        <v>1608</v>
      </c>
      <c r="N679" s="811" t="s">
        <v>1608</v>
      </c>
      <c r="O679" s="811" t="s">
        <v>1742</v>
      </c>
      <c r="P679" s="811" t="s">
        <v>1630</v>
      </c>
      <c r="Q679" s="811" t="s">
        <v>1678</v>
      </c>
    </row>
    <row r="680" spans="1:17" x14ac:dyDescent="0.35">
      <c r="A680" s="811" t="s">
        <v>1622</v>
      </c>
      <c r="B680" s="811" t="s">
        <v>2429</v>
      </c>
      <c r="C680" s="812">
        <v>24000000</v>
      </c>
      <c r="D680" s="811" t="s">
        <v>1420</v>
      </c>
      <c r="E680" s="811" t="s">
        <v>1420</v>
      </c>
      <c r="F680" s="811" t="s">
        <v>1691</v>
      </c>
      <c r="G680" s="811" t="s">
        <v>1625</v>
      </c>
      <c r="H680" s="811" t="s">
        <v>1626</v>
      </c>
      <c r="I680" s="811" t="s">
        <v>1627</v>
      </c>
      <c r="J680" s="813">
        <v>24000000</v>
      </c>
      <c r="K680" s="811" t="s">
        <v>1628</v>
      </c>
      <c r="L680" s="811" t="s">
        <v>1210</v>
      </c>
      <c r="M680" s="811" t="s">
        <v>1608</v>
      </c>
      <c r="N680" s="811" t="s">
        <v>1608</v>
      </c>
      <c r="O680" s="811" t="s">
        <v>1742</v>
      </c>
      <c r="P680" s="811" t="s">
        <v>1630</v>
      </c>
      <c r="Q680" s="811" t="s">
        <v>1678</v>
      </c>
    </row>
    <row r="681" spans="1:17" x14ac:dyDescent="0.35">
      <c r="A681" s="811" t="s">
        <v>1622</v>
      </c>
      <c r="B681" s="811" t="s">
        <v>2430</v>
      </c>
      <c r="C681" s="812">
        <v>18000000</v>
      </c>
      <c r="D681" s="811" t="s">
        <v>1424</v>
      </c>
      <c r="E681" s="811" t="s">
        <v>1424</v>
      </c>
      <c r="F681" s="811" t="s">
        <v>1691</v>
      </c>
      <c r="G681" s="811" t="s">
        <v>1625</v>
      </c>
      <c r="H681" s="811" t="s">
        <v>1626</v>
      </c>
      <c r="I681" s="811" t="s">
        <v>1627</v>
      </c>
      <c r="J681" s="813">
        <v>18000000</v>
      </c>
      <c r="K681" s="811" t="s">
        <v>1628</v>
      </c>
      <c r="L681" s="811" t="s">
        <v>1210</v>
      </c>
      <c r="M681" s="811" t="s">
        <v>1608</v>
      </c>
      <c r="N681" s="811" t="s">
        <v>1608</v>
      </c>
      <c r="O681" s="811" t="s">
        <v>1742</v>
      </c>
      <c r="P681" s="811" t="s">
        <v>1630</v>
      </c>
      <c r="Q681" s="811" t="s">
        <v>1678</v>
      </c>
    </row>
    <row r="682" spans="1:17" x14ac:dyDescent="0.35">
      <c r="A682" s="811" t="s">
        <v>1622</v>
      </c>
      <c r="B682" s="811" t="s">
        <v>2431</v>
      </c>
      <c r="C682" s="812">
        <v>55000000</v>
      </c>
      <c r="D682" s="811" t="s">
        <v>1424</v>
      </c>
      <c r="E682" s="811" t="s">
        <v>1424</v>
      </c>
      <c r="F682" s="811" t="s">
        <v>1658</v>
      </c>
      <c r="G682" s="811" t="s">
        <v>1625</v>
      </c>
      <c r="H682" s="811" t="s">
        <v>1626</v>
      </c>
      <c r="I682" s="811" t="s">
        <v>1627</v>
      </c>
      <c r="J682" s="813">
        <v>55000000</v>
      </c>
      <c r="K682" s="811" t="s">
        <v>1628</v>
      </c>
      <c r="L682" s="811" t="s">
        <v>1210</v>
      </c>
      <c r="M682" s="811" t="s">
        <v>1608</v>
      </c>
      <c r="N682" s="811" t="s">
        <v>1608</v>
      </c>
      <c r="O682" s="811" t="s">
        <v>1742</v>
      </c>
      <c r="P682" s="811" t="s">
        <v>1630</v>
      </c>
      <c r="Q682" s="811" t="s">
        <v>1678</v>
      </c>
    </row>
    <row r="683" spans="1:17" x14ac:dyDescent="0.35">
      <c r="A683" s="811" t="s">
        <v>1622</v>
      </c>
      <c r="B683" s="811" t="s">
        <v>2432</v>
      </c>
      <c r="C683" s="812">
        <v>52833333</v>
      </c>
      <c r="D683" s="811" t="s">
        <v>1424</v>
      </c>
      <c r="E683" s="811" t="s">
        <v>1424</v>
      </c>
      <c r="F683" s="811" t="s">
        <v>1662</v>
      </c>
      <c r="G683" s="811" t="s">
        <v>1625</v>
      </c>
      <c r="H683" s="811" t="s">
        <v>1626</v>
      </c>
      <c r="I683" s="811" t="s">
        <v>1627</v>
      </c>
      <c r="J683" s="813">
        <v>52833333</v>
      </c>
      <c r="K683" s="811" t="s">
        <v>1628</v>
      </c>
      <c r="L683" s="811" t="s">
        <v>1210</v>
      </c>
      <c r="M683" s="811" t="s">
        <v>1608</v>
      </c>
      <c r="N683" s="811" t="s">
        <v>1608</v>
      </c>
      <c r="O683" s="811" t="s">
        <v>1742</v>
      </c>
      <c r="P683" s="811" t="s">
        <v>1630</v>
      </c>
      <c r="Q683" s="811" t="s">
        <v>1678</v>
      </c>
    </row>
    <row r="684" spans="1:17" x14ac:dyDescent="0.35">
      <c r="A684" s="811" t="s">
        <v>1622</v>
      </c>
      <c r="B684" s="811" t="s">
        <v>2433</v>
      </c>
      <c r="C684" s="812">
        <v>60282833</v>
      </c>
      <c r="D684" s="811" t="s">
        <v>1424</v>
      </c>
      <c r="E684" s="811" t="s">
        <v>1424</v>
      </c>
      <c r="F684" s="811" t="s">
        <v>1662</v>
      </c>
      <c r="G684" s="811" t="s">
        <v>1625</v>
      </c>
      <c r="H684" s="811" t="s">
        <v>1626</v>
      </c>
      <c r="I684" s="811" t="s">
        <v>1627</v>
      </c>
      <c r="J684" s="813">
        <v>60282833</v>
      </c>
      <c r="K684" s="811" t="s">
        <v>1628</v>
      </c>
      <c r="L684" s="811" t="s">
        <v>1210</v>
      </c>
      <c r="M684" s="811" t="s">
        <v>1608</v>
      </c>
      <c r="N684" s="811" t="s">
        <v>1608</v>
      </c>
      <c r="O684" s="811" t="s">
        <v>1742</v>
      </c>
      <c r="P684" s="811" t="s">
        <v>1630</v>
      </c>
      <c r="Q684" s="811" t="s">
        <v>1678</v>
      </c>
    </row>
    <row r="685" spans="1:17" x14ac:dyDescent="0.35">
      <c r="A685" s="811" t="s">
        <v>1622</v>
      </c>
      <c r="B685" s="811" t="s">
        <v>2030</v>
      </c>
      <c r="C685" s="812">
        <v>54661018</v>
      </c>
      <c r="D685" s="811" t="s">
        <v>1414</v>
      </c>
      <c r="E685" s="811" t="s">
        <v>1414</v>
      </c>
      <c r="F685" s="811" t="s">
        <v>1645</v>
      </c>
      <c r="G685" s="811" t="s">
        <v>1625</v>
      </c>
      <c r="H685" s="811" t="s">
        <v>1626</v>
      </c>
      <c r="I685" s="811" t="s">
        <v>1627</v>
      </c>
      <c r="J685" s="813">
        <v>54661018</v>
      </c>
      <c r="K685" s="811" t="s">
        <v>1628</v>
      </c>
      <c r="L685" s="811" t="s">
        <v>1210</v>
      </c>
      <c r="M685" s="811" t="s">
        <v>1608</v>
      </c>
      <c r="N685" s="811" t="s">
        <v>1608</v>
      </c>
      <c r="O685" s="811" t="s">
        <v>1742</v>
      </c>
      <c r="P685" s="811" t="s">
        <v>1630</v>
      </c>
      <c r="Q685" s="811" t="s">
        <v>1678</v>
      </c>
    </row>
    <row r="686" spans="1:17" x14ac:dyDescent="0.35">
      <c r="A686" s="811" t="s">
        <v>1622</v>
      </c>
      <c r="B686" s="811" t="s">
        <v>2434</v>
      </c>
      <c r="C686" s="812">
        <v>72000000</v>
      </c>
      <c r="D686" s="811" t="s">
        <v>1424</v>
      </c>
      <c r="E686" s="811" t="s">
        <v>1424</v>
      </c>
      <c r="F686" s="811" t="s">
        <v>1658</v>
      </c>
      <c r="G686" s="811" t="s">
        <v>1625</v>
      </c>
      <c r="H686" s="811" t="s">
        <v>1626</v>
      </c>
      <c r="I686" s="811" t="s">
        <v>1627</v>
      </c>
      <c r="J686" s="813">
        <v>72000000</v>
      </c>
      <c r="K686" s="811" t="s">
        <v>1628</v>
      </c>
      <c r="L686" s="811" t="s">
        <v>1210</v>
      </c>
      <c r="M686" s="811" t="s">
        <v>1608</v>
      </c>
      <c r="N686" s="811" t="s">
        <v>1608</v>
      </c>
      <c r="O686" s="811" t="s">
        <v>1742</v>
      </c>
      <c r="P686" s="811" t="s">
        <v>1630</v>
      </c>
      <c r="Q686" s="811" t="s">
        <v>1678</v>
      </c>
    </row>
    <row r="687" spans="1:17" x14ac:dyDescent="0.35">
      <c r="A687" s="811" t="s">
        <v>1622</v>
      </c>
      <c r="B687" s="811" t="s">
        <v>2435</v>
      </c>
      <c r="C687" s="812">
        <v>77500000</v>
      </c>
      <c r="D687" s="811" t="s">
        <v>1424</v>
      </c>
      <c r="E687" s="811" t="s">
        <v>1424</v>
      </c>
      <c r="F687" s="811" t="s">
        <v>1662</v>
      </c>
      <c r="G687" s="811" t="s">
        <v>1625</v>
      </c>
      <c r="H687" s="811" t="s">
        <v>1626</v>
      </c>
      <c r="I687" s="811" t="s">
        <v>1627</v>
      </c>
      <c r="J687" s="813">
        <v>77500000</v>
      </c>
      <c r="K687" s="811" t="s">
        <v>1628</v>
      </c>
      <c r="L687" s="811" t="s">
        <v>1210</v>
      </c>
      <c r="M687" s="811" t="s">
        <v>1608</v>
      </c>
      <c r="N687" s="811" t="s">
        <v>1608</v>
      </c>
      <c r="O687" s="811" t="s">
        <v>1742</v>
      </c>
      <c r="P687" s="811" t="s">
        <v>1630</v>
      </c>
      <c r="Q687" s="811" t="s">
        <v>1678</v>
      </c>
    </row>
    <row r="688" spans="1:17" x14ac:dyDescent="0.35">
      <c r="A688" s="811" t="s">
        <v>1940</v>
      </c>
      <c r="B688" s="811" t="s">
        <v>2436</v>
      </c>
      <c r="C688" s="812">
        <v>5580000000</v>
      </c>
      <c r="D688" s="811" t="s">
        <v>1421</v>
      </c>
      <c r="E688" s="811" t="s">
        <v>1428</v>
      </c>
      <c r="F688" s="811" t="s">
        <v>1691</v>
      </c>
      <c r="G688" s="811" t="s">
        <v>1625</v>
      </c>
      <c r="H688" s="811" t="s">
        <v>1757</v>
      </c>
      <c r="I688" s="811" t="s">
        <v>1627</v>
      </c>
      <c r="J688" s="813">
        <v>5580000000</v>
      </c>
      <c r="K688" s="811" t="s">
        <v>1628</v>
      </c>
      <c r="L688" s="811" t="s">
        <v>1210</v>
      </c>
      <c r="M688" s="811" t="s">
        <v>1608</v>
      </c>
      <c r="N688" s="811" t="s">
        <v>1608</v>
      </c>
      <c r="O688" s="811" t="s">
        <v>1659</v>
      </c>
      <c r="P688" s="811" t="s">
        <v>1630</v>
      </c>
      <c r="Q688" s="811" t="s">
        <v>1631</v>
      </c>
    </row>
    <row r="689" spans="1:17" x14ac:dyDescent="0.35">
      <c r="A689" s="811" t="s">
        <v>2437</v>
      </c>
      <c r="B689" s="811" t="s">
        <v>2438</v>
      </c>
      <c r="C689" s="812">
        <v>3720000000</v>
      </c>
      <c r="D689" s="811" t="s">
        <v>2134</v>
      </c>
      <c r="E689" s="811" t="s">
        <v>2134</v>
      </c>
      <c r="F689" s="811" t="s">
        <v>1635</v>
      </c>
      <c r="G689" s="811" t="s">
        <v>1625</v>
      </c>
      <c r="H689" s="811" t="s">
        <v>1626</v>
      </c>
      <c r="I689" s="811" t="s">
        <v>1627</v>
      </c>
      <c r="J689" s="813">
        <v>3720000000</v>
      </c>
      <c r="K689" s="811" t="s">
        <v>1628</v>
      </c>
      <c r="L689" s="811" t="s">
        <v>1210</v>
      </c>
      <c r="M689" s="811" t="s">
        <v>1608</v>
      </c>
      <c r="N689" s="811" t="s">
        <v>1608</v>
      </c>
      <c r="O689" s="811" t="s">
        <v>1659</v>
      </c>
      <c r="P689" s="811" t="s">
        <v>1630</v>
      </c>
      <c r="Q689" s="811" t="s">
        <v>1631</v>
      </c>
    </row>
    <row r="690" spans="1:17" x14ac:dyDescent="0.35">
      <c r="A690" s="811" t="s">
        <v>1622</v>
      </c>
      <c r="B690" s="811" t="s">
        <v>2439</v>
      </c>
      <c r="C690" s="812">
        <v>90000000</v>
      </c>
      <c r="D690" s="811" t="s">
        <v>1420</v>
      </c>
      <c r="E690" s="811" t="s">
        <v>1420</v>
      </c>
      <c r="F690" s="811" t="s">
        <v>1635</v>
      </c>
      <c r="G690" s="811" t="s">
        <v>1625</v>
      </c>
      <c r="H690" s="811" t="s">
        <v>1626</v>
      </c>
      <c r="I690" s="811" t="s">
        <v>1627</v>
      </c>
      <c r="J690" s="813">
        <v>90000000</v>
      </c>
      <c r="K690" s="811" t="s">
        <v>1628</v>
      </c>
      <c r="L690" s="811" t="s">
        <v>1210</v>
      </c>
      <c r="M690" s="811" t="s">
        <v>1608</v>
      </c>
      <c r="N690" s="811" t="s">
        <v>1608</v>
      </c>
      <c r="O690" s="811" t="s">
        <v>1702</v>
      </c>
      <c r="P690" s="811" t="s">
        <v>1630</v>
      </c>
      <c r="Q690" s="811" t="s">
        <v>1637</v>
      </c>
    </row>
    <row r="691" spans="1:17" x14ac:dyDescent="0.35">
      <c r="A691" s="811" t="s">
        <v>1622</v>
      </c>
      <c r="B691" s="811" t="s">
        <v>2440</v>
      </c>
      <c r="C691" s="812">
        <v>90000000</v>
      </c>
      <c r="D691" s="811" t="s">
        <v>1420</v>
      </c>
      <c r="E691" s="811" t="s">
        <v>1420</v>
      </c>
      <c r="F691" s="811" t="s">
        <v>1635</v>
      </c>
      <c r="G691" s="811" t="s">
        <v>1625</v>
      </c>
      <c r="H691" s="811" t="s">
        <v>1626</v>
      </c>
      <c r="I691" s="811" t="s">
        <v>1627</v>
      </c>
      <c r="J691" s="813">
        <v>90000000</v>
      </c>
      <c r="K691" s="811" t="s">
        <v>1628</v>
      </c>
      <c r="L691" s="811" t="s">
        <v>1210</v>
      </c>
      <c r="M691" s="811" t="s">
        <v>1608</v>
      </c>
      <c r="N691" s="811" t="s">
        <v>1608</v>
      </c>
      <c r="O691" s="811" t="s">
        <v>1702</v>
      </c>
      <c r="P691" s="811" t="s">
        <v>1630</v>
      </c>
      <c r="Q691" s="811" t="s">
        <v>1637</v>
      </c>
    </row>
    <row r="692" spans="1:17" x14ac:dyDescent="0.35">
      <c r="A692" s="811" t="s">
        <v>1622</v>
      </c>
      <c r="B692" s="811" t="s">
        <v>2441</v>
      </c>
      <c r="C692" s="812">
        <v>72000000</v>
      </c>
      <c r="D692" s="811" t="s">
        <v>1420</v>
      </c>
      <c r="E692" s="811" t="s">
        <v>1420</v>
      </c>
      <c r="F692" s="811" t="s">
        <v>1635</v>
      </c>
      <c r="G692" s="811" t="s">
        <v>1625</v>
      </c>
      <c r="H692" s="811" t="s">
        <v>1626</v>
      </c>
      <c r="I692" s="811" t="s">
        <v>1627</v>
      </c>
      <c r="J692" s="813">
        <v>72000000</v>
      </c>
      <c r="K692" s="811" t="s">
        <v>1628</v>
      </c>
      <c r="L692" s="811" t="s">
        <v>1210</v>
      </c>
      <c r="M692" s="811" t="s">
        <v>1608</v>
      </c>
      <c r="N692" s="811" t="s">
        <v>1608</v>
      </c>
      <c r="O692" s="811" t="s">
        <v>1702</v>
      </c>
      <c r="P692" s="811" t="s">
        <v>1630</v>
      </c>
      <c r="Q692" s="811" t="s">
        <v>1637</v>
      </c>
    </row>
    <row r="693" spans="1:17" x14ac:dyDescent="0.35">
      <c r="A693" s="811" t="s">
        <v>1622</v>
      </c>
      <c r="B693" s="811" t="s">
        <v>2442</v>
      </c>
      <c r="C693" s="812">
        <v>72000000</v>
      </c>
      <c r="D693" s="811" t="s">
        <v>1420</v>
      </c>
      <c r="E693" s="811" t="s">
        <v>1420</v>
      </c>
      <c r="F693" s="811" t="s">
        <v>1635</v>
      </c>
      <c r="G693" s="811" t="s">
        <v>1625</v>
      </c>
      <c r="H693" s="811" t="s">
        <v>1626</v>
      </c>
      <c r="I693" s="811" t="s">
        <v>1627</v>
      </c>
      <c r="J693" s="813">
        <v>72000000</v>
      </c>
      <c r="K693" s="811" t="s">
        <v>1628</v>
      </c>
      <c r="L693" s="811" t="s">
        <v>1210</v>
      </c>
      <c r="M693" s="811" t="s">
        <v>1608</v>
      </c>
      <c r="N693" s="811" t="s">
        <v>1608</v>
      </c>
      <c r="O693" s="811" t="s">
        <v>1702</v>
      </c>
      <c r="P693" s="811" t="s">
        <v>1630</v>
      </c>
      <c r="Q693" s="811" t="s">
        <v>1637</v>
      </c>
    </row>
    <row r="694" spans="1:17" x14ac:dyDescent="0.35">
      <c r="A694" s="811" t="s">
        <v>1622</v>
      </c>
      <c r="B694" s="811" t="s">
        <v>2443</v>
      </c>
      <c r="C694" s="812">
        <v>48000000</v>
      </c>
      <c r="D694" s="811" t="s">
        <v>1420</v>
      </c>
      <c r="E694" s="811" t="s">
        <v>1420</v>
      </c>
      <c r="F694" s="811" t="s">
        <v>1635</v>
      </c>
      <c r="G694" s="811" t="s">
        <v>1625</v>
      </c>
      <c r="H694" s="811" t="s">
        <v>1626</v>
      </c>
      <c r="I694" s="811" t="s">
        <v>1627</v>
      </c>
      <c r="J694" s="813">
        <v>48000000</v>
      </c>
      <c r="K694" s="811" t="s">
        <v>1628</v>
      </c>
      <c r="L694" s="811" t="s">
        <v>1210</v>
      </c>
      <c r="M694" s="811" t="s">
        <v>1608</v>
      </c>
      <c r="N694" s="811" t="s">
        <v>1608</v>
      </c>
      <c r="O694" s="811" t="s">
        <v>1702</v>
      </c>
      <c r="P694" s="811" t="s">
        <v>1630</v>
      </c>
      <c r="Q694" s="811" t="s">
        <v>1637</v>
      </c>
    </row>
    <row r="695" spans="1:17" x14ac:dyDescent="0.35">
      <c r="A695" s="811" t="s">
        <v>1622</v>
      </c>
      <c r="B695" s="811" t="s">
        <v>2444</v>
      </c>
      <c r="C695" s="812">
        <v>48000000</v>
      </c>
      <c r="D695" s="811" t="s">
        <v>1420</v>
      </c>
      <c r="E695" s="811" t="s">
        <v>1420</v>
      </c>
      <c r="F695" s="811" t="s">
        <v>1635</v>
      </c>
      <c r="G695" s="811" t="s">
        <v>1625</v>
      </c>
      <c r="H695" s="811" t="s">
        <v>1626</v>
      </c>
      <c r="I695" s="811" t="s">
        <v>1627</v>
      </c>
      <c r="J695" s="813">
        <v>48000000</v>
      </c>
      <c r="K695" s="811" t="s">
        <v>1628</v>
      </c>
      <c r="L695" s="811" t="s">
        <v>1210</v>
      </c>
      <c r="M695" s="811" t="s">
        <v>1608</v>
      </c>
      <c r="N695" s="811" t="s">
        <v>1608</v>
      </c>
      <c r="O695" s="811" t="s">
        <v>1702</v>
      </c>
      <c r="P695" s="811" t="s">
        <v>1630</v>
      </c>
      <c r="Q695" s="811" t="s">
        <v>1637</v>
      </c>
    </row>
    <row r="696" spans="1:17" x14ac:dyDescent="0.35">
      <c r="A696" s="811" t="s">
        <v>1622</v>
      </c>
      <c r="B696" s="811" t="s">
        <v>2445</v>
      </c>
      <c r="C696" s="812">
        <v>48000000</v>
      </c>
      <c r="D696" s="811" t="s">
        <v>1420</v>
      </c>
      <c r="E696" s="811" t="s">
        <v>1420</v>
      </c>
      <c r="F696" s="811" t="s">
        <v>1635</v>
      </c>
      <c r="G696" s="811" t="s">
        <v>1625</v>
      </c>
      <c r="H696" s="811" t="s">
        <v>1626</v>
      </c>
      <c r="I696" s="811" t="s">
        <v>1627</v>
      </c>
      <c r="J696" s="813">
        <v>48000000</v>
      </c>
      <c r="K696" s="811" t="s">
        <v>1628</v>
      </c>
      <c r="L696" s="811" t="s">
        <v>1210</v>
      </c>
      <c r="M696" s="811" t="s">
        <v>1608</v>
      </c>
      <c r="N696" s="811" t="s">
        <v>1608</v>
      </c>
      <c r="O696" s="811" t="s">
        <v>1702</v>
      </c>
      <c r="P696" s="811" t="s">
        <v>1630</v>
      </c>
      <c r="Q696" s="811" t="s">
        <v>1637</v>
      </c>
    </row>
    <row r="697" spans="1:17" x14ac:dyDescent="0.35">
      <c r="A697" s="811" t="s">
        <v>1622</v>
      </c>
      <c r="B697" s="811" t="s">
        <v>2446</v>
      </c>
      <c r="C697" s="812">
        <v>48000000</v>
      </c>
      <c r="D697" s="811" t="s">
        <v>1420</v>
      </c>
      <c r="E697" s="811" t="s">
        <v>1420</v>
      </c>
      <c r="F697" s="811" t="s">
        <v>1635</v>
      </c>
      <c r="G697" s="811" t="s">
        <v>1625</v>
      </c>
      <c r="H697" s="811" t="s">
        <v>1626</v>
      </c>
      <c r="I697" s="811" t="s">
        <v>1627</v>
      </c>
      <c r="J697" s="813">
        <v>48000000</v>
      </c>
      <c r="K697" s="811" t="s">
        <v>1628</v>
      </c>
      <c r="L697" s="811" t="s">
        <v>1210</v>
      </c>
      <c r="M697" s="811" t="s">
        <v>1608</v>
      </c>
      <c r="N697" s="811" t="s">
        <v>1608</v>
      </c>
      <c r="O697" s="811" t="s">
        <v>1702</v>
      </c>
      <c r="P697" s="811" t="s">
        <v>1630</v>
      </c>
      <c r="Q697" s="811" t="s">
        <v>1637</v>
      </c>
    </row>
    <row r="698" spans="1:17" x14ac:dyDescent="0.35">
      <c r="A698" s="811" t="s">
        <v>1622</v>
      </c>
      <c r="B698" s="811" t="s">
        <v>2447</v>
      </c>
      <c r="C698" s="812">
        <v>13625000</v>
      </c>
      <c r="D698" s="811" t="s">
        <v>1445</v>
      </c>
      <c r="E698" s="811" t="s">
        <v>1445</v>
      </c>
      <c r="F698" s="811" t="s">
        <v>1712</v>
      </c>
      <c r="G698" s="811" t="s">
        <v>1625</v>
      </c>
      <c r="H698" s="811" t="s">
        <v>1626</v>
      </c>
      <c r="I698" s="811" t="s">
        <v>1627</v>
      </c>
      <c r="J698" s="813">
        <v>13625000</v>
      </c>
      <c r="K698" s="811" t="s">
        <v>1628</v>
      </c>
      <c r="L698" s="811" t="s">
        <v>1210</v>
      </c>
      <c r="M698" s="811" t="s">
        <v>1608</v>
      </c>
      <c r="N698" s="811" t="s">
        <v>1608</v>
      </c>
      <c r="O698" s="811" t="s">
        <v>1640</v>
      </c>
      <c r="P698" s="811" t="s">
        <v>1630</v>
      </c>
      <c r="Q698" s="811" t="s">
        <v>1641</v>
      </c>
    </row>
    <row r="699" spans="1:17" x14ac:dyDescent="0.35">
      <c r="A699" s="811" t="s">
        <v>1622</v>
      </c>
      <c r="B699" s="811" t="s">
        <v>2448</v>
      </c>
      <c r="C699" s="812">
        <v>13625000</v>
      </c>
      <c r="D699" s="811" t="s">
        <v>1445</v>
      </c>
      <c r="E699" s="811" t="s">
        <v>1445</v>
      </c>
      <c r="F699" s="811" t="s">
        <v>1712</v>
      </c>
      <c r="G699" s="811" t="s">
        <v>1625</v>
      </c>
      <c r="H699" s="811" t="s">
        <v>1626</v>
      </c>
      <c r="I699" s="811" t="s">
        <v>1627</v>
      </c>
      <c r="J699" s="813">
        <v>13625000</v>
      </c>
      <c r="K699" s="811" t="s">
        <v>1628</v>
      </c>
      <c r="L699" s="811" t="s">
        <v>1210</v>
      </c>
      <c r="M699" s="811" t="s">
        <v>1608</v>
      </c>
      <c r="N699" s="811" t="s">
        <v>1608</v>
      </c>
      <c r="O699" s="811" t="s">
        <v>1640</v>
      </c>
      <c r="P699" s="811" t="s">
        <v>1630</v>
      </c>
      <c r="Q699" s="811" t="s">
        <v>1641</v>
      </c>
    </row>
    <row r="700" spans="1:17" x14ac:dyDescent="0.35">
      <c r="A700" s="811" t="s">
        <v>1622</v>
      </c>
      <c r="B700" s="811" t="s">
        <v>2449</v>
      </c>
      <c r="C700" s="812">
        <v>13625000</v>
      </c>
      <c r="D700" s="811" t="s">
        <v>1445</v>
      </c>
      <c r="E700" s="811" t="s">
        <v>1445</v>
      </c>
      <c r="F700" s="811" t="s">
        <v>1712</v>
      </c>
      <c r="G700" s="811" t="s">
        <v>1625</v>
      </c>
      <c r="H700" s="811" t="s">
        <v>1626</v>
      </c>
      <c r="I700" s="811" t="s">
        <v>1627</v>
      </c>
      <c r="J700" s="813">
        <v>13625000</v>
      </c>
      <c r="K700" s="811" t="s">
        <v>1628</v>
      </c>
      <c r="L700" s="811" t="s">
        <v>1210</v>
      </c>
      <c r="M700" s="811" t="s">
        <v>1608</v>
      </c>
      <c r="N700" s="811" t="s">
        <v>1608</v>
      </c>
      <c r="O700" s="811" t="s">
        <v>1640</v>
      </c>
      <c r="P700" s="811" t="s">
        <v>1630</v>
      </c>
      <c r="Q700" s="811" t="s">
        <v>1641</v>
      </c>
    </row>
    <row r="701" spans="1:17" x14ac:dyDescent="0.35">
      <c r="A701" s="811" t="s">
        <v>1622</v>
      </c>
      <c r="B701" s="811" t="s">
        <v>2450</v>
      </c>
      <c r="C701" s="812">
        <v>13625000</v>
      </c>
      <c r="D701" s="811" t="s">
        <v>1445</v>
      </c>
      <c r="E701" s="811" t="s">
        <v>1445</v>
      </c>
      <c r="F701" s="811" t="s">
        <v>1712</v>
      </c>
      <c r="G701" s="811" t="s">
        <v>1625</v>
      </c>
      <c r="H701" s="811" t="s">
        <v>1626</v>
      </c>
      <c r="I701" s="811" t="s">
        <v>1627</v>
      </c>
      <c r="J701" s="813">
        <v>13625000</v>
      </c>
      <c r="K701" s="811" t="s">
        <v>1628</v>
      </c>
      <c r="L701" s="811" t="s">
        <v>1210</v>
      </c>
      <c r="M701" s="811" t="s">
        <v>1608</v>
      </c>
      <c r="N701" s="811" t="s">
        <v>1608</v>
      </c>
      <c r="O701" s="811" t="s">
        <v>1640</v>
      </c>
      <c r="P701" s="811" t="s">
        <v>1630</v>
      </c>
      <c r="Q701" s="811" t="s">
        <v>1641</v>
      </c>
    </row>
    <row r="702" spans="1:17" x14ac:dyDescent="0.35">
      <c r="A702" s="811" t="s">
        <v>1622</v>
      </c>
      <c r="B702" s="811" t="s">
        <v>2451</v>
      </c>
      <c r="C702" s="812">
        <v>13625000</v>
      </c>
      <c r="D702" s="811" t="s">
        <v>1445</v>
      </c>
      <c r="E702" s="811" t="s">
        <v>1445</v>
      </c>
      <c r="F702" s="811" t="s">
        <v>1712</v>
      </c>
      <c r="G702" s="811" t="s">
        <v>1625</v>
      </c>
      <c r="H702" s="811" t="s">
        <v>1626</v>
      </c>
      <c r="I702" s="811" t="s">
        <v>1627</v>
      </c>
      <c r="J702" s="813">
        <v>13625000</v>
      </c>
      <c r="K702" s="811" t="s">
        <v>1628</v>
      </c>
      <c r="L702" s="811" t="s">
        <v>1210</v>
      </c>
      <c r="M702" s="811" t="s">
        <v>1608</v>
      </c>
      <c r="N702" s="811" t="s">
        <v>1608</v>
      </c>
      <c r="O702" s="811" t="s">
        <v>1640</v>
      </c>
      <c r="P702" s="811" t="s">
        <v>1630</v>
      </c>
      <c r="Q702" s="811" t="s">
        <v>1641</v>
      </c>
    </row>
    <row r="703" spans="1:17" x14ac:dyDescent="0.35">
      <c r="A703" s="811" t="s">
        <v>1622</v>
      </c>
      <c r="B703" s="811" t="s">
        <v>2452</v>
      </c>
      <c r="C703" s="812">
        <v>13625000</v>
      </c>
      <c r="D703" s="811" t="s">
        <v>1445</v>
      </c>
      <c r="E703" s="811" t="s">
        <v>1445</v>
      </c>
      <c r="F703" s="811" t="s">
        <v>1712</v>
      </c>
      <c r="G703" s="811" t="s">
        <v>1625</v>
      </c>
      <c r="H703" s="811" t="s">
        <v>1626</v>
      </c>
      <c r="I703" s="811" t="s">
        <v>1627</v>
      </c>
      <c r="J703" s="813">
        <v>13625000</v>
      </c>
      <c r="K703" s="811" t="s">
        <v>1628</v>
      </c>
      <c r="L703" s="811" t="s">
        <v>1210</v>
      </c>
      <c r="M703" s="811" t="s">
        <v>1608</v>
      </c>
      <c r="N703" s="811" t="s">
        <v>1608</v>
      </c>
      <c r="O703" s="811" t="s">
        <v>1640</v>
      </c>
      <c r="P703" s="811" t="s">
        <v>1630</v>
      </c>
      <c r="Q703" s="811" t="s">
        <v>1641</v>
      </c>
    </row>
    <row r="704" spans="1:17" x14ac:dyDescent="0.35">
      <c r="A704" s="811" t="s">
        <v>1622</v>
      </c>
      <c r="B704" s="811" t="s">
        <v>2453</v>
      </c>
      <c r="C704" s="812">
        <v>13625000</v>
      </c>
      <c r="D704" s="811" t="s">
        <v>1445</v>
      </c>
      <c r="E704" s="811" t="s">
        <v>1445</v>
      </c>
      <c r="F704" s="811" t="s">
        <v>1712</v>
      </c>
      <c r="G704" s="811" t="s">
        <v>1625</v>
      </c>
      <c r="H704" s="811" t="s">
        <v>1626</v>
      </c>
      <c r="I704" s="811" t="s">
        <v>1627</v>
      </c>
      <c r="J704" s="813">
        <v>13625000</v>
      </c>
      <c r="K704" s="811" t="s">
        <v>1628</v>
      </c>
      <c r="L704" s="811" t="s">
        <v>1210</v>
      </c>
      <c r="M704" s="811" t="s">
        <v>1608</v>
      </c>
      <c r="N704" s="811" t="s">
        <v>1608</v>
      </c>
      <c r="O704" s="811" t="s">
        <v>1640</v>
      </c>
      <c r="P704" s="811" t="s">
        <v>1630</v>
      </c>
      <c r="Q704" s="811" t="s">
        <v>1641</v>
      </c>
    </row>
    <row r="705" spans="1:17" x14ac:dyDescent="0.35">
      <c r="A705" s="811" t="s">
        <v>1622</v>
      </c>
      <c r="B705" s="811" t="s">
        <v>2454</v>
      </c>
      <c r="C705" s="812">
        <v>13625000</v>
      </c>
      <c r="D705" s="811" t="s">
        <v>1445</v>
      </c>
      <c r="E705" s="811" t="s">
        <v>1445</v>
      </c>
      <c r="F705" s="811" t="s">
        <v>1712</v>
      </c>
      <c r="G705" s="811" t="s">
        <v>1625</v>
      </c>
      <c r="H705" s="811" t="s">
        <v>1626</v>
      </c>
      <c r="I705" s="811" t="s">
        <v>1627</v>
      </c>
      <c r="J705" s="813">
        <v>13625000</v>
      </c>
      <c r="K705" s="811" t="s">
        <v>1628</v>
      </c>
      <c r="L705" s="811" t="s">
        <v>1210</v>
      </c>
      <c r="M705" s="811" t="s">
        <v>1608</v>
      </c>
      <c r="N705" s="811" t="s">
        <v>1608</v>
      </c>
      <c r="O705" s="811" t="s">
        <v>1640</v>
      </c>
      <c r="P705" s="811" t="s">
        <v>1630</v>
      </c>
      <c r="Q705" s="811" t="s">
        <v>1641</v>
      </c>
    </row>
    <row r="706" spans="1:17" x14ac:dyDescent="0.35">
      <c r="A706" s="811" t="s">
        <v>1622</v>
      </c>
      <c r="B706" s="811" t="s">
        <v>2455</v>
      </c>
      <c r="C706" s="812">
        <v>13625000</v>
      </c>
      <c r="D706" s="811" t="s">
        <v>1445</v>
      </c>
      <c r="E706" s="811" t="s">
        <v>1445</v>
      </c>
      <c r="F706" s="811" t="s">
        <v>1712</v>
      </c>
      <c r="G706" s="811" t="s">
        <v>1625</v>
      </c>
      <c r="H706" s="811" t="s">
        <v>1626</v>
      </c>
      <c r="I706" s="811" t="s">
        <v>1627</v>
      </c>
      <c r="J706" s="813">
        <v>13625000</v>
      </c>
      <c r="K706" s="811" t="s">
        <v>1628</v>
      </c>
      <c r="L706" s="811" t="s">
        <v>1210</v>
      </c>
      <c r="M706" s="811" t="s">
        <v>1608</v>
      </c>
      <c r="N706" s="811" t="s">
        <v>1608</v>
      </c>
      <c r="O706" s="811" t="s">
        <v>1640</v>
      </c>
      <c r="P706" s="811" t="s">
        <v>1630</v>
      </c>
      <c r="Q706" s="811" t="s">
        <v>1641</v>
      </c>
    </row>
    <row r="707" spans="1:17" x14ac:dyDescent="0.35">
      <c r="A707" s="811" t="s">
        <v>1622</v>
      </c>
      <c r="B707" s="811" t="s">
        <v>2456</v>
      </c>
      <c r="C707" s="812">
        <v>13625000</v>
      </c>
      <c r="D707" s="811" t="s">
        <v>1445</v>
      </c>
      <c r="E707" s="811" t="s">
        <v>1445</v>
      </c>
      <c r="F707" s="811" t="s">
        <v>1712</v>
      </c>
      <c r="G707" s="811" t="s">
        <v>1625</v>
      </c>
      <c r="H707" s="811" t="s">
        <v>1626</v>
      </c>
      <c r="I707" s="811" t="s">
        <v>1627</v>
      </c>
      <c r="J707" s="813">
        <v>13625000</v>
      </c>
      <c r="K707" s="811" t="s">
        <v>1628</v>
      </c>
      <c r="L707" s="811" t="s">
        <v>1210</v>
      </c>
      <c r="M707" s="811" t="s">
        <v>1608</v>
      </c>
      <c r="N707" s="811" t="s">
        <v>1608</v>
      </c>
      <c r="O707" s="811" t="s">
        <v>1640</v>
      </c>
      <c r="P707" s="811" t="s">
        <v>1630</v>
      </c>
      <c r="Q707" s="811" t="s">
        <v>1641</v>
      </c>
    </row>
    <row r="708" spans="1:17" x14ac:dyDescent="0.35">
      <c r="A708" s="811" t="s">
        <v>1622</v>
      </c>
      <c r="B708" s="811" t="s">
        <v>2457</v>
      </c>
      <c r="C708" s="812">
        <v>13625000</v>
      </c>
      <c r="D708" s="811" t="s">
        <v>1445</v>
      </c>
      <c r="E708" s="811" t="s">
        <v>1445</v>
      </c>
      <c r="F708" s="811" t="s">
        <v>1712</v>
      </c>
      <c r="G708" s="811" t="s">
        <v>1625</v>
      </c>
      <c r="H708" s="811" t="s">
        <v>1626</v>
      </c>
      <c r="I708" s="811" t="s">
        <v>1627</v>
      </c>
      <c r="J708" s="813">
        <v>13625000</v>
      </c>
      <c r="K708" s="811" t="s">
        <v>1628</v>
      </c>
      <c r="L708" s="811" t="s">
        <v>1210</v>
      </c>
      <c r="M708" s="811" t="s">
        <v>1608</v>
      </c>
      <c r="N708" s="811" t="s">
        <v>1608</v>
      </c>
      <c r="O708" s="811" t="s">
        <v>1640</v>
      </c>
      <c r="P708" s="811" t="s">
        <v>1630</v>
      </c>
      <c r="Q708" s="811" t="s">
        <v>1641</v>
      </c>
    </row>
    <row r="709" spans="1:17" x14ac:dyDescent="0.35">
      <c r="A709" s="811" t="s">
        <v>1622</v>
      </c>
      <c r="B709" s="811" t="s">
        <v>2458</v>
      </c>
      <c r="C709" s="812">
        <v>13625000</v>
      </c>
      <c r="D709" s="811" t="s">
        <v>1445</v>
      </c>
      <c r="E709" s="811" t="s">
        <v>1445</v>
      </c>
      <c r="F709" s="811" t="s">
        <v>1712</v>
      </c>
      <c r="G709" s="811" t="s">
        <v>1625</v>
      </c>
      <c r="H709" s="811" t="s">
        <v>1626</v>
      </c>
      <c r="I709" s="811" t="s">
        <v>1627</v>
      </c>
      <c r="J709" s="813">
        <v>13625000</v>
      </c>
      <c r="K709" s="811" t="s">
        <v>1628</v>
      </c>
      <c r="L709" s="811" t="s">
        <v>1210</v>
      </c>
      <c r="M709" s="811" t="s">
        <v>1608</v>
      </c>
      <c r="N709" s="811" t="s">
        <v>1608</v>
      </c>
      <c r="O709" s="811" t="s">
        <v>1640</v>
      </c>
      <c r="P709" s="811" t="s">
        <v>1630</v>
      </c>
      <c r="Q709" s="811" t="s">
        <v>1641</v>
      </c>
    </row>
    <row r="710" spans="1:17" x14ac:dyDescent="0.35">
      <c r="A710" s="811" t="s">
        <v>1622</v>
      </c>
      <c r="B710" s="811" t="s">
        <v>2459</v>
      </c>
      <c r="C710" s="812">
        <v>13625000</v>
      </c>
      <c r="D710" s="811" t="s">
        <v>1445</v>
      </c>
      <c r="E710" s="811" t="s">
        <v>1445</v>
      </c>
      <c r="F710" s="811" t="s">
        <v>1712</v>
      </c>
      <c r="G710" s="811" t="s">
        <v>1625</v>
      </c>
      <c r="H710" s="811" t="s">
        <v>1626</v>
      </c>
      <c r="I710" s="811" t="s">
        <v>1627</v>
      </c>
      <c r="J710" s="813">
        <v>13625000</v>
      </c>
      <c r="K710" s="811" t="s">
        <v>1628</v>
      </c>
      <c r="L710" s="811" t="s">
        <v>1210</v>
      </c>
      <c r="M710" s="811" t="s">
        <v>1608</v>
      </c>
      <c r="N710" s="811" t="s">
        <v>1608</v>
      </c>
      <c r="O710" s="811" t="s">
        <v>1640</v>
      </c>
      <c r="P710" s="811" t="s">
        <v>1630</v>
      </c>
      <c r="Q710" s="811" t="s">
        <v>1641</v>
      </c>
    </row>
    <row r="711" spans="1:17" x14ac:dyDescent="0.35">
      <c r="A711" s="811" t="s">
        <v>1622</v>
      </c>
      <c r="B711" s="811" t="s">
        <v>2460</v>
      </c>
      <c r="C711" s="812">
        <v>13625000</v>
      </c>
      <c r="D711" s="811" t="s">
        <v>1445</v>
      </c>
      <c r="E711" s="811" t="s">
        <v>1445</v>
      </c>
      <c r="F711" s="811" t="s">
        <v>1712</v>
      </c>
      <c r="G711" s="811" t="s">
        <v>1625</v>
      </c>
      <c r="H711" s="811" t="s">
        <v>1626</v>
      </c>
      <c r="I711" s="811" t="s">
        <v>1627</v>
      </c>
      <c r="J711" s="813">
        <v>13625000</v>
      </c>
      <c r="K711" s="811" t="s">
        <v>1628</v>
      </c>
      <c r="L711" s="811" t="s">
        <v>1210</v>
      </c>
      <c r="M711" s="811" t="s">
        <v>1608</v>
      </c>
      <c r="N711" s="811" t="s">
        <v>1608</v>
      </c>
      <c r="O711" s="811" t="s">
        <v>1640</v>
      </c>
      <c r="P711" s="811" t="s">
        <v>1630</v>
      </c>
      <c r="Q711" s="811" t="s">
        <v>1641</v>
      </c>
    </row>
    <row r="712" spans="1:17" x14ac:dyDescent="0.35">
      <c r="A712" s="811" t="s">
        <v>1622</v>
      </c>
      <c r="B712" s="811" t="s">
        <v>2461</v>
      </c>
      <c r="C712" s="812">
        <v>13625000</v>
      </c>
      <c r="D712" s="811" t="s">
        <v>1445</v>
      </c>
      <c r="E712" s="811" t="s">
        <v>1445</v>
      </c>
      <c r="F712" s="811" t="s">
        <v>1712</v>
      </c>
      <c r="G712" s="811" t="s">
        <v>1625</v>
      </c>
      <c r="H712" s="811" t="s">
        <v>1626</v>
      </c>
      <c r="I712" s="811" t="s">
        <v>1627</v>
      </c>
      <c r="J712" s="813">
        <v>13625000</v>
      </c>
      <c r="K712" s="811" t="s">
        <v>1628</v>
      </c>
      <c r="L712" s="811" t="s">
        <v>1210</v>
      </c>
      <c r="M712" s="811" t="s">
        <v>1608</v>
      </c>
      <c r="N712" s="811" t="s">
        <v>1608</v>
      </c>
      <c r="O712" s="811" t="s">
        <v>1640</v>
      </c>
      <c r="P712" s="811" t="s">
        <v>1630</v>
      </c>
      <c r="Q712" s="811" t="s">
        <v>1641</v>
      </c>
    </row>
    <row r="713" spans="1:17" x14ac:dyDescent="0.35">
      <c r="A713" s="811" t="s">
        <v>1622</v>
      </c>
      <c r="B713" s="811" t="s">
        <v>2462</v>
      </c>
      <c r="C713" s="812">
        <v>24950000</v>
      </c>
      <c r="D713" s="811" t="s">
        <v>1429</v>
      </c>
      <c r="E713" s="811" t="s">
        <v>1429</v>
      </c>
      <c r="F713" s="811" t="s">
        <v>1712</v>
      </c>
      <c r="G713" s="811" t="s">
        <v>1625</v>
      </c>
      <c r="H713" s="811" t="s">
        <v>1626</v>
      </c>
      <c r="I713" s="811" t="s">
        <v>1627</v>
      </c>
      <c r="J713" s="813">
        <v>24950000</v>
      </c>
      <c r="K713" s="811" t="s">
        <v>1628</v>
      </c>
      <c r="L713" s="811" t="s">
        <v>1210</v>
      </c>
      <c r="M713" s="811" t="s">
        <v>1608</v>
      </c>
      <c r="N713" s="811" t="s">
        <v>1608</v>
      </c>
      <c r="O713" s="811" t="s">
        <v>1669</v>
      </c>
      <c r="P713" s="811" t="s">
        <v>1630</v>
      </c>
      <c r="Q713" s="811" t="s">
        <v>1655</v>
      </c>
    </row>
    <row r="714" spans="1:17" x14ac:dyDescent="0.35">
      <c r="A714" s="811" t="s">
        <v>1622</v>
      </c>
      <c r="B714" s="811" t="s">
        <v>2463</v>
      </c>
      <c r="C714" s="812">
        <v>24000000</v>
      </c>
      <c r="D714" s="811" t="s">
        <v>1429</v>
      </c>
      <c r="E714" s="811" t="s">
        <v>1429</v>
      </c>
      <c r="F714" s="811" t="s">
        <v>1712</v>
      </c>
      <c r="G714" s="811" t="s">
        <v>1625</v>
      </c>
      <c r="H714" s="811" t="s">
        <v>1626</v>
      </c>
      <c r="I714" s="811" t="s">
        <v>1627</v>
      </c>
      <c r="J714" s="813">
        <v>24000000</v>
      </c>
      <c r="K714" s="811" t="s">
        <v>1628</v>
      </c>
      <c r="L714" s="811" t="s">
        <v>1210</v>
      </c>
      <c r="M714" s="811" t="s">
        <v>1608</v>
      </c>
      <c r="N714" s="811" t="s">
        <v>1608</v>
      </c>
      <c r="O714" s="811" t="s">
        <v>1669</v>
      </c>
      <c r="P714" s="811" t="s">
        <v>1630</v>
      </c>
      <c r="Q714" s="811" t="s">
        <v>1655</v>
      </c>
    </row>
    <row r="715" spans="1:17" x14ac:dyDescent="0.35">
      <c r="A715" s="811" t="s">
        <v>1622</v>
      </c>
      <c r="B715" s="811" t="s">
        <v>2464</v>
      </c>
      <c r="C715" s="812">
        <v>54000000</v>
      </c>
      <c r="D715" s="811" t="s">
        <v>1429</v>
      </c>
      <c r="E715" s="811" t="s">
        <v>1429</v>
      </c>
      <c r="F715" s="811" t="s">
        <v>1712</v>
      </c>
      <c r="G715" s="811" t="s">
        <v>1625</v>
      </c>
      <c r="H715" s="811" t="s">
        <v>1626</v>
      </c>
      <c r="I715" s="811" t="s">
        <v>1627</v>
      </c>
      <c r="J715" s="813">
        <v>54000000</v>
      </c>
      <c r="K715" s="811" t="s">
        <v>1628</v>
      </c>
      <c r="L715" s="811" t="s">
        <v>1210</v>
      </c>
      <c r="M715" s="811" t="s">
        <v>1608</v>
      </c>
      <c r="N715" s="811" t="s">
        <v>1608</v>
      </c>
      <c r="O715" s="811" t="s">
        <v>1669</v>
      </c>
      <c r="P715" s="811" t="s">
        <v>1630</v>
      </c>
      <c r="Q715" s="811" t="s">
        <v>1655</v>
      </c>
    </row>
    <row r="716" spans="1:17" x14ac:dyDescent="0.35">
      <c r="A716" s="811" t="s">
        <v>1622</v>
      </c>
      <c r="B716" s="811" t="s">
        <v>2465</v>
      </c>
      <c r="C716" s="812">
        <v>15900000</v>
      </c>
      <c r="D716" s="811" t="s">
        <v>1445</v>
      </c>
      <c r="E716" s="811" t="s">
        <v>1445</v>
      </c>
      <c r="F716" s="811" t="s">
        <v>1712</v>
      </c>
      <c r="G716" s="811" t="s">
        <v>1625</v>
      </c>
      <c r="H716" s="811" t="s">
        <v>1626</v>
      </c>
      <c r="I716" s="811" t="s">
        <v>1627</v>
      </c>
      <c r="J716" s="813">
        <v>15900000</v>
      </c>
      <c r="K716" s="811" t="s">
        <v>1628</v>
      </c>
      <c r="L716" s="811" t="s">
        <v>1210</v>
      </c>
      <c r="M716" s="811" t="s">
        <v>1608</v>
      </c>
      <c r="N716" s="811" t="s">
        <v>1608</v>
      </c>
      <c r="O716" s="811" t="s">
        <v>1766</v>
      </c>
      <c r="P716" s="811" t="s">
        <v>1630</v>
      </c>
      <c r="Q716" s="811" t="s">
        <v>1683</v>
      </c>
    </row>
    <row r="717" spans="1:17" x14ac:dyDescent="0.35">
      <c r="A717" s="811" t="s">
        <v>1622</v>
      </c>
      <c r="B717" s="811" t="s">
        <v>2466</v>
      </c>
      <c r="C717" s="812">
        <v>15900000</v>
      </c>
      <c r="D717" s="811" t="s">
        <v>1445</v>
      </c>
      <c r="E717" s="811" t="s">
        <v>1445</v>
      </c>
      <c r="F717" s="811" t="s">
        <v>1712</v>
      </c>
      <c r="G717" s="811" t="s">
        <v>1625</v>
      </c>
      <c r="H717" s="811" t="s">
        <v>1626</v>
      </c>
      <c r="I717" s="811" t="s">
        <v>1627</v>
      </c>
      <c r="J717" s="813">
        <v>15900000</v>
      </c>
      <c r="K717" s="811" t="s">
        <v>1628</v>
      </c>
      <c r="L717" s="811" t="s">
        <v>1210</v>
      </c>
      <c r="M717" s="811" t="s">
        <v>1608</v>
      </c>
      <c r="N717" s="811" t="s">
        <v>1608</v>
      </c>
      <c r="O717" s="811" t="s">
        <v>1766</v>
      </c>
      <c r="P717" s="811" t="s">
        <v>1630</v>
      </c>
      <c r="Q717" s="811" t="s">
        <v>1683</v>
      </c>
    </row>
    <row r="718" spans="1:17" x14ac:dyDescent="0.35">
      <c r="A718" s="811" t="s">
        <v>1622</v>
      </c>
      <c r="B718" s="811" t="s">
        <v>2467</v>
      </c>
      <c r="C718" s="812">
        <v>15900000</v>
      </c>
      <c r="D718" s="811" t="s">
        <v>1445</v>
      </c>
      <c r="E718" s="811" t="s">
        <v>1445</v>
      </c>
      <c r="F718" s="811" t="s">
        <v>1712</v>
      </c>
      <c r="G718" s="811" t="s">
        <v>1625</v>
      </c>
      <c r="H718" s="811" t="s">
        <v>1626</v>
      </c>
      <c r="I718" s="811" t="s">
        <v>1627</v>
      </c>
      <c r="J718" s="813">
        <v>15900000</v>
      </c>
      <c r="K718" s="811" t="s">
        <v>1628</v>
      </c>
      <c r="L718" s="811" t="s">
        <v>1210</v>
      </c>
      <c r="M718" s="811" t="s">
        <v>1608</v>
      </c>
      <c r="N718" s="811" t="s">
        <v>1608</v>
      </c>
      <c r="O718" s="811" t="s">
        <v>1766</v>
      </c>
      <c r="P718" s="811" t="s">
        <v>1630</v>
      </c>
      <c r="Q718" s="811" t="s">
        <v>1683</v>
      </c>
    </row>
    <row r="719" spans="1:17" x14ac:dyDescent="0.35">
      <c r="A719" s="811" t="s">
        <v>1622</v>
      </c>
      <c r="B719" s="811" t="s">
        <v>2468</v>
      </c>
      <c r="C719" s="812">
        <v>16000000</v>
      </c>
      <c r="D719" s="811" t="s">
        <v>1445</v>
      </c>
      <c r="E719" s="811" t="s">
        <v>1445</v>
      </c>
      <c r="F719" s="811" t="s">
        <v>1712</v>
      </c>
      <c r="G719" s="811" t="s">
        <v>1625</v>
      </c>
      <c r="H719" s="811" t="s">
        <v>1626</v>
      </c>
      <c r="I719" s="811" t="s">
        <v>1627</v>
      </c>
      <c r="J719" s="813">
        <v>16000000</v>
      </c>
      <c r="K719" s="811" t="s">
        <v>1628</v>
      </c>
      <c r="L719" s="811" t="s">
        <v>1210</v>
      </c>
      <c r="M719" s="811" t="s">
        <v>1608</v>
      </c>
      <c r="N719" s="811" t="s">
        <v>1608</v>
      </c>
      <c r="O719" s="811" t="s">
        <v>1766</v>
      </c>
      <c r="P719" s="811" t="s">
        <v>1630</v>
      </c>
      <c r="Q719" s="811" t="s">
        <v>1683</v>
      </c>
    </row>
    <row r="720" spans="1:17" x14ac:dyDescent="0.35">
      <c r="A720" s="811" t="s">
        <v>1622</v>
      </c>
      <c r="B720" s="811" t="s">
        <v>2469</v>
      </c>
      <c r="C720" s="812">
        <v>25000000</v>
      </c>
      <c r="D720" s="811" t="s">
        <v>1445</v>
      </c>
      <c r="E720" s="811" t="s">
        <v>1445</v>
      </c>
      <c r="F720" s="811" t="s">
        <v>1712</v>
      </c>
      <c r="G720" s="811" t="s">
        <v>1625</v>
      </c>
      <c r="H720" s="811" t="s">
        <v>1626</v>
      </c>
      <c r="I720" s="811" t="s">
        <v>1627</v>
      </c>
      <c r="J720" s="813">
        <v>25000000</v>
      </c>
      <c r="K720" s="811" t="s">
        <v>1628</v>
      </c>
      <c r="L720" s="811" t="s">
        <v>1210</v>
      </c>
      <c r="M720" s="811" t="s">
        <v>1608</v>
      </c>
      <c r="N720" s="811" t="s">
        <v>1608</v>
      </c>
      <c r="O720" s="811" t="s">
        <v>1766</v>
      </c>
      <c r="P720" s="811" t="s">
        <v>1630</v>
      </c>
      <c r="Q720" s="811" t="s">
        <v>1683</v>
      </c>
    </row>
    <row r="721" spans="1:17" x14ac:dyDescent="0.35">
      <c r="A721" s="811" t="s">
        <v>1622</v>
      </c>
      <c r="B721" s="811" t="s">
        <v>2470</v>
      </c>
      <c r="C721" s="812">
        <v>24500000</v>
      </c>
      <c r="D721" s="811" t="s">
        <v>1445</v>
      </c>
      <c r="E721" s="811" t="s">
        <v>1445</v>
      </c>
      <c r="F721" s="811" t="s">
        <v>1712</v>
      </c>
      <c r="G721" s="811" t="s">
        <v>1625</v>
      </c>
      <c r="H721" s="811" t="s">
        <v>1626</v>
      </c>
      <c r="I721" s="811" t="s">
        <v>1627</v>
      </c>
      <c r="J721" s="813">
        <v>24500000</v>
      </c>
      <c r="K721" s="811" t="s">
        <v>1628</v>
      </c>
      <c r="L721" s="811" t="s">
        <v>1210</v>
      </c>
      <c r="M721" s="811" t="s">
        <v>1608</v>
      </c>
      <c r="N721" s="811" t="s">
        <v>1608</v>
      </c>
      <c r="O721" s="811" t="s">
        <v>1766</v>
      </c>
      <c r="P721" s="811" t="s">
        <v>1630</v>
      </c>
      <c r="Q721" s="811" t="s">
        <v>1683</v>
      </c>
    </row>
    <row r="722" spans="1:17" x14ac:dyDescent="0.35">
      <c r="A722" s="811" t="s">
        <v>1622</v>
      </c>
      <c r="B722" s="811" t="s">
        <v>2471</v>
      </c>
      <c r="C722" s="812">
        <v>15900000</v>
      </c>
      <c r="D722" s="811" t="s">
        <v>1445</v>
      </c>
      <c r="E722" s="811" t="s">
        <v>1445</v>
      </c>
      <c r="F722" s="811" t="s">
        <v>1712</v>
      </c>
      <c r="G722" s="811" t="s">
        <v>1625</v>
      </c>
      <c r="H722" s="811" t="s">
        <v>1626</v>
      </c>
      <c r="I722" s="811" t="s">
        <v>1627</v>
      </c>
      <c r="J722" s="813">
        <v>15900000</v>
      </c>
      <c r="K722" s="811" t="s">
        <v>1628</v>
      </c>
      <c r="L722" s="811" t="s">
        <v>1210</v>
      </c>
      <c r="M722" s="811" t="s">
        <v>1608</v>
      </c>
      <c r="N722" s="811" t="s">
        <v>1608</v>
      </c>
      <c r="O722" s="811" t="s">
        <v>1766</v>
      </c>
      <c r="P722" s="811" t="s">
        <v>1630</v>
      </c>
      <c r="Q722" s="811" t="s">
        <v>1683</v>
      </c>
    </row>
    <row r="723" spans="1:17" x14ac:dyDescent="0.35">
      <c r="A723" s="811" t="s">
        <v>1622</v>
      </c>
      <c r="B723" s="811" t="s">
        <v>2472</v>
      </c>
      <c r="C723" s="812">
        <v>36345000</v>
      </c>
      <c r="D723" s="811" t="s">
        <v>1445</v>
      </c>
      <c r="E723" s="811" t="s">
        <v>1445</v>
      </c>
      <c r="F723" s="811" t="s">
        <v>1712</v>
      </c>
      <c r="G723" s="811" t="s">
        <v>1625</v>
      </c>
      <c r="H723" s="811" t="s">
        <v>1626</v>
      </c>
      <c r="I723" s="811" t="s">
        <v>1627</v>
      </c>
      <c r="J723" s="813">
        <v>36345000</v>
      </c>
      <c r="K723" s="811" t="s">
        <v>1628</v>
      </c>
      <c r="L723" s="811" t="s">
        <v>1210</v>
      </c>
      <c r="M723" s="811" t="s">
        <v>1608</v>
      </c>
      <c r="N723" s="811" t="s">
        <v>1608</v>
      </c>
      <c r="O723" s="811" t="s">
        <v>1766</v>
      </c>
      <c r="P723" s="811" t="s">
        <v>1630</v>
      </c>
      <c r="Q723" s="811" t="s">
        <v>1683</v>
      </c>
    </row>
    <row r="724" spans="1:17" x14ac:dyDescent="0.35">
      <c r="A724" s="811" t="s">
        <v>1622</v>
      </c>
      <c r="B724" s="811" t="s">
        <v>2473</v>
      </c>
      <c r="C724" s="812">
        <v>49608000</v>
      </c>
      <c r="D724" s="811" t="s">
        <v>1424</v>
      </c>
      <c r="E724" s="811" t="s">
        <v>1424</v>
      </c>
      <c r="F724" s="811" t="s">
        <v>1662</v>
      </c>
      <c r="G724" s="811" t="s">
        <v>1625</v>
      </c>
      <c r="H724" s="811" t="s">
        <v>1626</v>
      </c>
      <c r="I724" s="811" t="s">
        <v>1627</v>
      </c>
      <c r="J724" s="813">
        <v>49608000</v>
      </c>
      <c r="K724" s="811" t="s">
        <v>1628</v>
      </c>
      <c r="L724" s="811" t="s">
        <v>1210</v>
      </c>
      <c r="M724" s="811" t="s">
        <v>1608</v>
      </c>
      <c r="N724" s="811" t="s">
        <v>1608</v>
      </c>
      <c r="O724" s="811" t="s">
        <v>1659</v>
      </c>
      <c r="P724" s="811" t="s">
        <v>1630</v>
      </c>
      <c r="Q724" s="811" t="s">
        <v>1631</v>
      </c>
    </row>
    <row r="725" spans="1:17" x14ac:dyDescent="0.35">
      <c r="A725" s="811" t="s">
        <v>1622</v>
      </c>
      <c r="B725" s="811" t="s">
        <v>2474</v>
      </c>
      <c r="C725" s="812">
        <v>67500000</v>
      </c>
      <c r="D725" s="811" t="s">
        <v>1420</v>
      </c>
      <c r="E725" s="811" t="s">
        <v>1420</v>
      </c>
      <c r="F725" s="811" t="s">
        <v>1639</v>
      </c>
      <c r="G725" s="811" t="s">
        <v>1625</v>
      </c>
      <c r="H725" s="811" t="s">
        <v>1626</v>
      </c>
      <c r="I725" s="811" t="s">
        <v>1627</v>
      </c>
      <c r="J725" s="813">
        <v>67500000</v>
      </c>
      <c r="K725" s="811" t="s">
        <v>1628</v>
      </c>
      <c r="L725" s="811" t="s">
        <v>1210</v>
      </c>
      <c r="M725" s="811" t="s">
        <v>1608</v>
      </c>
      <c r="N725" s="811" t="s">
        <v>1608</v>
      </c>
      <c r="O725" s="811" t="s">
        <v>1677</v>
      </c>
      <c r="P725" s="811" t="s">
        <v>1630</v>
      </c>
      <c r="Q725" s="811" t="s">
        <v>1678</v>
      </c>
    </row>
    <row r="726" spans="1:17" x14ac:dyDescent="0.35">
      <c r="A726" s="811" t="s">
        <v>1622</v>
      </c>
      <c r="B726" s="811" t="s">
        <v>2475</v>
      </c>
      <c r="C726" s="812">
        <v>35550000</v>
      </c>
      <c r="D726" s="811" t="s">
        <v>1515</v>
      </c>
      <c r="E726" s="811" t="s">
        <v>1515</v>
      </c>
      <c r="F726" s="811" t="s">
        <v>1639</v>
      </c>
      <c r="G726" s="811" t="s">
        <v>1625</v>
      </c>
      <c r="H726" s="811" t="s">
        <v>1626</v>
      </c>
      <c r="I726" s="811" t="s">
        <v>1627</v>
      </c>
      <c r="J726" s="813">
        <v>35550000</v>
      </c>
      <c r="K726" s="811" t="s">
        <v>1628</v>
      </c>
      <c r="L726" s="811" t="s">
        <v>1210</v>
      </c>
      <c r="M726" s="811" t="s">
        <v>1608</v>
      </c>
      <c r="N726" s="811" t="s">
        <v>1608</v>
      </c>
      <c r="O726" s="811" t="s">
        <v>1677</v>
      </c>
      <c r="P726" s="811" t="s">
        <v>1630</v>
      </c>
      <c r="Q726" s="811" t="s">
        <v>1678</v>
      </c>
    </row>
    <row r="727" spans="1:17" x14ac:dyDescent="0.35">
      <c r="A727" s="811" t="s">
        <v>1622</v>
      </c>
      <c r="B727" s="811" t="s">
        <v>2476</v>
      </c>
      <c r="C727" s="812">
        <v>18800000</v>
      </c>
      <c r="D727" s="811" t="s">
        <v>1424</v>
      </c>
      <c r="E727" s="811" t="s">
        <v>1424</v>
      </c>
      <c r="F727" s="811" t="s">
        <v>1691</v>
      </c>
      <c r="G727" s="811" t="s">
        <v>1625</v>
      </c>
      <c r="H727" s="811" t="s">
        <v>1626</v>
      </c>
      <c r="I727" s="811" t="s">
        <v>1627</v>
      </c>
      <c r="J727" s="813">
        <v>18800000</v>
      </c>
      <c r="K727" s="811" t="s">
        <v>1628</v>
      </c>
      <c r="L727" s="811" t="s">
        <v>1210</v>
      </c>
      <c r="M727" s="811" t="s">
        <v>1608</v>
      </c>
      <c r="N727" s="811" t="s">
        <v>1608</v>
      </c>
      <c r="O727" s="811" t="s">
        <v>1677</v>
      </c>
      <c r="P727" s="811" t="s">
        <v>1630</v>
      </c>
      <c r="Q727" s="811" t="s">
        <v>1678</v>
      </c>
    </row>
    <row r="728" spans="1:17" x14ac:dyDescent="0.35">
      <c r="A728" s="811" t="s">
        <v>1622</v>
      </c>
      <c r="B728" s="811" t="s">
        <v>2477</v>
      </c>
      <c r="C728" s="812">
        <v>48000000</v>
      </c>
      <c r="D728" s="811" t="s">
        <v>1421</v>
      </c>
      <c r="E728" s="811" t="s">
        <v>1421</v>
      </c>
      <c r="F728" s="811" t="s">
        <v>1624</v>
      </c>
      <c r="G728" s="811" t="s">
        <v>1625</v>
      </c>
      <c r="H728" s="811" t="s">
        <v>1626</v>
      </c>
      <c r="I728" s="811" t="s">
        <v>1627</v>
      </c>
      <c r="J728" s="813">
        <v>48000000</v>
      </c>
      <c r="K728" s="811" t="s">
        <v>1628</v>
      </c>
      <c r="L728" s="811" t="s">
        <v>1210</v>
      </c>
      <c r="M728" s="811" t="s">
        <v>1608</v>
      </c>
      <c r="N728" s="811" t="s">
        <v>1608</v>
      </c>
      <c r="O728" s="811" t="s">
        <v>1677</v>
      </c>
      <c r="P728" s="811" t="s">
        <v>1630</v>
      </c>
      <c r="Q728" s="811" t="s">
        <v>1678</v>
      </c>
    </row>
    <row r="729" spans="1:17" x14ac:dyDescent="0.35">
      <c r="A729" s="811" t="s">
        <v>1622</v>
      </c>
      <c r="B729" s="811" t="s">
        <v>2478</v>
      </c>
      <c r="C729" s="812">
        <v>20000000</v>
      </c>
      <c r="D729" s="811" t="s">
        <v>1424</v>
      </c>
      <c r="E729" s="811" t="s">
        <v>1424</v>
      </c>
      <c r="F729" s="811" t="s">
        <v>1691</v>
      </c>
      <c r="G729" s="811" t="s">
        <v>1625</v>
      </c>
      <c r="H729" s="811" t="s">
        <v>1626</v>
      </c>
      <c r="I729" s="811" t="s">
        <v>1627</v>
      </c>
      <c r="J729" s="813">
        <v>20000000</v>
      </c>
      <c r="K729" s="811" t="s">
        <v>1628</v>
      </c>
      <c r="L729" s="811" t="s">
        <v>1210</v>
      </c>
      <c r="M729" s="811" t="s">
        <v>1608</v>
      </c>
      <c r="N729" s="811" t="s">
        <v>1608</v>
      </c>
      <c r="O729" s="811" t="s">
        <v>1677</v>
      </c>
      <c r="P729" s="811" t="s">
        <v>1630</v>
      </c>
      <c r="Q729" s="811" t="s">
        <v>1678</v>
      </c>
    </row>
    <row r="730" spans="1:17" x14ac:dyDescent="0.35">
      <c r="A730" s="811" t="s">
        <v>1622</v>
      </c>
      <c r="B730" s="811" t="s">
        <v>2479</v>
      </c>
      <c r="C730" s="812">
        <v>52500000</v>
      </c>
      <c r="D730" s="811" t="s">
        <v>1421</v>
      </c>
      <c r="E730" s="811" t="s">
        <v>1421</v>
      </c>
      <c r="F730" s="811" t="s">
        <v>1671</v>
      </c>
      <c r="G730" s="811" t="s">
        <v>1625</v>
      </c>
      <c r="H730" s="811" t="s">
        <v>1626</v>
      </c>
      <c r="I730" s="811" t="s">
        <v>1627</v>
      </c>
      <c r="J730" s="813">
        <v>52500000</v>
      </c>
      <c r="K730" s="811" t="s">
        <v>1628</v>
      </c>
      <c r="L730" s="811" t="s">
        <v>1210</v>
      </c>
      <c r="M730" s="811" t="s">
        <v>1608</v>
      </c>
      <c r="N730" s="811" t="s">
        <v>1608</v>
      </c>
      <c r="O730" s="811" t="s">
        <v>1677</v>
      </c>
      <c r="P730" s="811" t="s">
        <v>1630</v>
      </c>
      <c r="Q730" s="811" t="s">
        <v>1678</v>
      </c>
    </row>
    <row r="731" spans="1:17" x14ac:dyDescent="0.35">
      <c r="A731" s="811" t="s">
        <v>1622</v>
      </c>
      <c r="B731" s="811" t="s">
        <v>2480</v>
      </c>
      <c r="C731" s="812">
        <v>27000000</v>
      </c>
      <c r="D731" s="811" t="s">
        <v>1420</v>
      </c>
      <c r="E731" s="811" t="s">
        <v>1420</v>
      </c>
      <c r="F731" s="811" t="s">
        <v>1639</v>
      </c>
      <c r="G731" s="811" t="s">
        <v>1625</v>
      </c>
      <c r="H731" s="811" t="s">
        <v>1626</v>
      </c>
      <c r="I731" s="811" t="s">
        <v>1627</v>
      </c>
      <c r="J731" s="813">
        <v>27000000</v>
      </c>
      <c r="K731" s="811" t="s">
        <v>1628</v>
      </c>
      <c r="L731" s="811" t="s">
        <v>1210</v>
      </c>
      <c r="M731" s="811" t="s">
        <v>1608</v>
      </c>
      <c r="N731" s="811" t="s">
        <v>1608</v>
      </c>
      <c r="O731" s="811" t="s">
        <v>1677</v>
      </c>
      <c r="P731" s="811" t="s">
        <v>1630</v>
      </c>
      <c r="Q731" s="811" t="s">
        <v>1678</v>
      </c>
    </row>
    <row r="732" spans="1:17" x14ac:dyDescent="0.35">
      <c r="A732" s="811" t="s">
        <v>1622</v>
      </c>
      <c r="B732" s="811" t="s">
        <v>2481</v>
      </c>
      <c r="C732" s="812">
        <v>33900000</v>
      </c>
      <c r="D732" s="811" t="s">
        <v>1414</v>
      </c>
      <c r="E732" s="811" t="s">
        <v>1414</v>
      </c>
      <c r="F732" s="811" t="s">
        <v>1645</v>
      </c>
      <c r="G732" s="811" t="s">
        <v>1625</v>
      </c>
      <c r="H732" s="811" t="s">
        <v>1626</v>
      </c>
      <c r="I732" s="811" t="s">
        <v>1627</v>
      </c>
      <c r="J732" s="813">
        <v>33900000</v>
      </c>
      <c r="K732" s="811" t="s">
        <v>1628</v>
      </c>
      <c r="L732" s="811" t="s">
        <v>1210</v>
      </c>
      <c r="M732" s="811" t="s">
        <v>1608</v>
      </c>
      <c r="N732" s="811" t="s">
        <v>1608</v>
      </c>
      <c r="O732" s="811" t="s">
        <v>1677</v>
      </c>
      <c r="P732" s="811" t="s">
        <v>1630</v>
      </c>
      <c r="Q732" s="811" t="s">
        <v>1678</v>
      </c>
    </row>
    <row r="733" spans="1:17" x14ac:dyDescent="0.35">
      <c r="A733" s="811" t="s">
        <v>1622</v>
      </c>
      <c r="B733" s="811" t="s">
        <v>2482</v>
      </c>
      <c r="C733" s="812">
        <v>72000000</v>
      </c>
      <c r="D733" s="811" t="s">
        <v>1420</v>
      </c>
      <c r="E733" s="811" t="s">
        <v>1420</v>
      </c>
      <c r="F733" s="811" t="s">
        <v>1639</v>
      </c>
      <c r="G733" s="811" t="s">
        <v>1625</v>
      </c>
      <c r="H733" s="811" t="s">
        <v>1626</v>
      </c>
      <c r="I733" s="811" t="s">
        <v>1627</v>
      </c>
      <c r="J733" s="813">
        <v>72000000</v>
      </c>
      <c r="K733" s="811" t="s">
        <v>1628</v>
      </c>
      <c r="L733" s="811" t="s">
        <v>1210</v>
      </c>
      <c r="M733" s="811" t="s">
        <v>1608</v>
      </c>
      <c r="N733" s="811" t="s">
        <v>1608</v>
      </c>
      <c r="O733" s="811" t="s">
        <v>1677</v>
      </c>
      <c r="P733" s="811" t="s">
        <v>1630</v>
      </c>
      <c r="Q733" s="811" t="s">
        <v>1678</v>
      </c>
    </row>
    <row r="734" spans="1:17" x14ac:dyDescent="0.35">
      <c r="A734" s="811" t="s">
        <v>1622</v>
      </c>
      <c r="B734" s="811" t="s">
        <v>2483</v>
      </c>
      <c r="C734" s="812">
        <v>52000000</v>
      </c>
      <c r="D734" s="811" t="s">
        <v>1420</v>
      </c>
      <c r="E734" s="811" t="s">
        <v>1420</v>
      </c>
      <c r="F734" s="811" t="s">
        <v>1624</v>
      </c>
      <c r="G734" s="811" t="s">
        <v>1625</v>
      </c>
      <c r="H734" s="811" t="s">
        <v>1626</v>
      </c>
      <c r="I734" s="811" t="s">
        <v>1627</v>
      </c>
      <c r="J734" s="813">
        <v>52000000</v>
      </c>
      <c r="K734" s="811" t="s">
        <v>1628</v>
      </c>
      <c r="L734" s="811" t="s">
        <v>1210</v>
      </c>
      <c r="M734" s="811" t="s">
        <v>1608</v>
      </c>
      <c r="N734" s="811" t="s">
        <v>1608</v>
      </c>
      <c r="O734" s="811" t="s">
        <v>1702</v>
      </c>
      <c r="P734" s="811" t="s">
        <v>1630</v>
      </c>
      <c r="Q734" s="811" t="s">
        <v>1637</v>
      </c>
    </row>
    <row r="735" spans="1:17" x14ac:dyDescent="0.35">
      <c r="A735" s="811" t="s">
        <v>1622</v>
      </c>
      <c r="B735" s="811" t="s">
        <v>2484</v>
      </c>
      <c r="C735" s="812">
        <v>22400000</v>
      </c>
      <c r="D735" s="811" t="s">
        <v>1420</v>
      </c>
      <c r="E735" s="811" t="s">
        <v>1420</v>
      </c>
      <c r="F735" s="811" t="s">
        <v>1624</v>
      </c>
      <c r="G735" s="811" t="s">
        <v>1625</v>
      </c>
      <c r="H735" s="811" t="s">
        <v>1626</v>
      </c>
      <c r="I735" s="811" t="s">
        <v>1627</v>
      </c>
      <c r="J735" s="813">
        <v>22400000</v>
      </c>
      <c r="K735" s="811" t="s">
        <v>1628</v>
      </c>
      <c r="L735" s="811" t="s">
        <v>1210</v>
      </c>
      <c r="M735" s="811" t="s">
        <v>1608</v>
      </c>
      <c r="N735" s="811" t="s">
        <v>1608</v>
      </c>
      <c r="O735" s="811" t="s">
        <v>1702</v>
      </c>
      <c r="P735" s="811" t="s">
        <v>1630</v>
      </c>
      <c r="Q735" s="811" t="s">
        <v>1637</v>
      </c>
    </row>
    <row r="736" spans="1:17" x14ac:dyDescent="0.35">
      <c r="A736" s="811" t="s">
        <v>1622</v>
      </c>
      <c r="B736" s="811" t="s">
        <v>2485</v>
      </c>
      <c r="C736" s="812">
        <v>90000000</v>
      </c>
      <c r="D736" s="811" t="s">
        <v>1420</v>
      </c>
      <c r="E736" s="811" t="s">
        <v>1420</v>
      </c>
      <c r="F736" s="811" t="s">
        <v>1658</v>
      </c>
      <c r="G736" s="811" t="s">
        <v>1625</v>
      </c>
      <c r="H736" s="811" t="s">
        <v>1626</v>
      </c>
      <c r="I736" s="811" t="s">
        <v>1627</v>
      </c>
      <c r="J736" s="813">
        <v>90000000</v>
      </c>
      <c r="K736" s="811" t="s">
        <v>1628</v>
      </c>
      <c r="L736" s="811" t="s">
        <v>1210</v>
      </c>
      <c r="M736" s="811" t="s">
        <v>1608</v>
      </c>
      <c r="N736" s="811" t="s">
        <v>1608</v>
      </c>
      <c r="O736" s="811" t="s">
        <v>1702</v>
      </c>
      <c r="P736" s="811" t="s">
        <v>1630</v>
      </c>
      <c r="Q736" s="811" t="s">
        <v>1637</v>
      </c>
    </row>
    <row r="737" spans="1:17" x14ac:dyDescent="0.35">
      <c r="A737" s="811" t="s">
        <v>1622</v>
      </c>
      <c r="B737" s="811" t="s">
        <v>2486</v>
      </c>
      <c r="C737" s="812">
        <v>21804000</v>
      </c>
      <c r="D737" s="811" t="s">
        <v>1429</v>
      </c>
      <c r="E737" s="811" t="s">
        <v>1429</v>
      </c>
      <c r="F737" s="811" t="s">
        <v>1635</v>
      </c>
      <c r="G737" s="811" t="s">
        <v>1625</v>
      </c>
      <c r="H737" s="811" t="s">
        <v>1626</v>
      </c>
      <c r="I737" s="811" t="s">
        <v>1627</v>
      </c>
      <c r="J737" s="813">
        <v>21804000</v>
      </c>
      <c r="K737" s="811" t="s">
        <v>1628</v>
      </c>
      <c r="L737" s="811" t="s">
        <v>1210</v>
      </c>
      <c r="M737" s="811" t="s">
        <v>1608</v>
      </c>
      <c r="N737" s="811" t="s">
        <v>1608</v>
      </c>
      <c r="O737" s="811" t="s">
        <v>1742</v>
      </c>
      <c r="P737" s="811" t="s">
        <v>1630</v>
      </c>
      <c r="Q737" s="811" t="s">
        <v>1678</v>
      </c>
    </row>
    <row r="738" spans="1:17" x14ac:dyDescent="0.35">
      <c r="A738" s="811" t="s">
        <v>1622</v>
      </c>
      <c r="B738" s="811" t="s">
        <v>2487</v>
      </c>
      <c r="C738" s="812">
        <v>21000000</v>
      </c>
      <c r="D738" s="811" t="s">
        <v>1428</v>
      </c>
      <c r="E738" s="811" t="s">
        <v>1428</v>
      </c>
      <c r="F738" s="811" t="s">
        <v>1671</v>
      </c>
      <c r="G738" s="811" t="s">
        <v>1625</v>
      </c>
      <c r="H738" s="811" t="s">
        <v>1626</v>
      </c>
      <c r="I738" s="811" t="s">
        <v>1627</v>
      </c>
      <c r="J738" s="813">
        <v>21000000</v>
      </c>
      <c r="K738" s="811" t="s">
        <v>1628</v>
      </c>
      <c r="L738" s="811" t="s">
        <v>1210</v>
      </c>
      <c r="M738" s="811" t="s">
        <v>1608</v>
      </c>
      <c r="N738" s="811" t="s">
        <v>1608</v>
      </c>
      <c r="O738" s="811" t="s">
        <v>1742</v>
      </c>
      <c r="P738" s="811" t="s">
        <v>1630</v>
      </c>
      <c r="Q738" s="811" t="s">
        <v>1678</v>
      </c>
    </row>
    <row r="740" spans="1:17" x14ac:dyDescent="0.35">
      <c r="C740" s="815">
        <f>SUBTOTAL(9,C6:C739)</f>
        <v>156031739796</v>
      </c>
    </row>
  </sheetData>
  <autoFilter ref="A2:R2" xr:uid="{00000000-0009-0000-0000-00000A000000}"/>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53125" defaultRowHeight="14.5" x14ac:dyDescent="0.35"/>
  <cols>
    <col min="1" max="1" width="15.81640625" style="476" customWidth="1"/>
    <col min="2" max="2" width="17" style="477" customWidth="1"/>
    <col min="3" max="3" width="13" style="212" customWidth="1"/>
    <col min="4" max="4" width="11.453125" style="478" customWidth="1"/>
    <col min="5" max="5" width="16.453125" style="478" customWidth="1"/>
    <col min="6" max="6" width="11.453125" style="479" customWidth="1"/>
    <col min="7" max="7" width="23.1796875" style="478" customWidth="1"/>
    <col min="8" max="8" width="11.453125" style="212" customWidth="1"/>
    <col min="9" max="9" width="27.54296875" style="212" customWidth="1"/>
    <col min="10" max="10" width="16.7265625" style="475" customWidth="1"/>
    <col min="11" max="11" width="14.1796875" style="212" customWidth="1"/>
    <col min="12" max="12" width="14.81640625" style="212" customWidth="1"/>
    <col min="13" max="17" width="11.453125" style="212" customWidth="1"/>
    <col min="18" max="18" width="9.1796875" style="212" customWidth="1"/>
    <col min="19" max="19" width="11.453125" style="479" customWidth="1"/>
    <col min="20" max="20" width="13.54296875" style="212" customWidth="1"/>
    <col min="21" max="21" width="18.81640625" style="475" customWidth="1"/>
    <col min="22" max="22" width="17.26953125" style="405" customWidth="1"/>
    <col min="23" max="23" width="16.54296875" style="307" customWidth="1"/>
    <col min="24" max="24" width="11.453125" style="308" customWidth="1"/>
    <col min="25" max="25" width="11.453125" style="472" customWidth="1"/>
    <col min="26" max="26" width="15.1796875" style="472" customWidth="1"/>
    <col min="27" max="27" width="11.453125" style="472" customWidth="1"/>
    <col min="28" max="28" width="11.453125" style="2" customWidth="1"/>
    <col min="29" max="29" width="15.81640625" style="211" customWidth="1"/>
    <col min="30" max="30" width="12" style="2" customWidth="1"/>
    <col min="31" max="31" width="20.453125" style="212" customWidth="1"/>
    <col min="32" max="32" width="16.7265625" style="473" customWidth="1"/>
    <col min="33" max="33" width="16.453125" style="212" customWidth="1"/>
    <col min="34" max="34" width="14.81640625" style="475" customWidth="1"/>
    <col min="35" max="35" width="16.453125" style="475" customWidth="1"/>
    <col min="36" max="38" width="15.54296875" style="475" customWidth="1"/>
    <col min="39" max="39" width="17.81640625" style="306" customWidth="1"/>
    <col min="40" max="16384" width="11.453125" style="212"/>
  </cols>
  <sheetData>
    <row r="1" spans="1:50" s="389" customFormat="1" x14ac:dyDescent="0.35">
      <c r="A1" s="689" t="s">
        <v>2488</v>
      </c>
      <c r="B1" s="416" t="s">
        <v>2489</v>
      </c>
      <c r="C1" s="367" t="s">
        <v>2490</v>
      </c>
      <c r="D1" s="368" t="s">
        <v>2491</v>
      </c>
      <c r="E1" s="368" t="s">
        <v>2492</v>
      </c>
      <c r="F1" s="369" t="s">
        <v>2493</v>
      </c>
      <c r="G1" s="368" t="s">
        <v>2494</v>
      </c>
      <c r="H1" s="367" t="s">
        <v>2495</v>
      </c>
      <c r="I1" s="367" t="s">
        <v>2496</v>
      </c>
      <c r="J1" s="423" t="s">
        <v>2497</v>
      </c>
      <c r="K1" s="367" t="s">
        <v>12</v>
      </c>
      <c r="L1" s="367" t="s">
        <v>2498</v>
      </c>
      <c r="M1" s="367" t="s">
        <v>2499</v>
      </c>
      <c r="N1" s="367" t="s">
        <v>2500</v>
      </c>
      <c r="O1" s="367" t="s">
        <v>2501</v>
      </c>
      <c r="P1" s="367" t="s">
        <v>2502</v>
      </c>
      <c r="Q1" s="367" t="s">
        <v>2503</v>
      </c>
      <c r="R1" s="370" t="s">
        <v>2504</v>
      </c>
      <c r="S1" s="371" t="s">
        <v>2505</v>
      </c>
      <c r="T1" s="370" t="s">
        <v>2488</v>
      </c>
      <c r="U1" s="412" t="s">
        <v>2506</v>
      </c>
      <c r="V1" s="413" t="s">
        <v>2507</v>
      </c>
      <c r="W1" s="372" t="s">
        <v>2508</v>
      </c>
      <c r="X1" s="373" t="s">
        <v>2509</v>
      </c>
      <c r="Y1" s="374" t="s">
        <v>2510</v>
      </c>
      <c r="Z1" s="374" t="s">
        <v>2511</v>
      </c>
      <c r="AA1" s="374" t="s">
        <v>2512</v>
      </c>
      <c r="AB1" s="375" t="s">
        <v>2513</v>
      </c>
      <c r="AC1" s="462" t="s">
        <v>2514</v>
      </c>
      <c r="AD1" s="375" t="s">
        <v>2515</v>
      </c>
      <c r="AE1" s="376" t="s">
        <v>2516</v>
      </c>
      <c r="AF1" s="409" t="s">
        <v>2517</v>
      </c>
      <c r="AG1" s="376" t="s">
        <v>2518</v>
      </c>
      <c r="AH1" s="403" t="s">
        <v>2519</v>
      </c>
      <c r="AI1" s="404" t="s">
        <v>2520</v>
      </c>
      <c r="AJ1" s="404" t="s">
        <v>2521</v>
      </c>
      <c r="AK1" s="404" t="s">
        <v>2522</v>
      </c>
      <c r="AL1" s="404" t="s">
        <v>2523</v>
      </c>
      <c r="AM1" s="702" t="s">
        <v>2524</v>
      </c>
      <c r="AN1" s="389" t="s">
        <v>2525</v>
      </c>
      <c r="AO1" s="389" t="s">
        <v>2526</v>
      </c>
      <c r="AP1" s="389" t="s">
        <v>2527</v>
      </c>
      <c r="AQ1" s="389" t="s">
        <v>2528</v>
      </c>
      <c r="AR1" s="389" t="s">
        <v>2529</v>
      </c>
      <c r="AS1" s="389" t="s">
        <v>2530</v>
      </c>
      <c r="AT1" s="389" t="s">
        <v>2531</v>
      </c>
      <c r="AU1" s="389" t="s">
        <v>2532</v>
      </c>
      <c r="AV1" s="389" t="s">
        <v>2533</v>
      </c>
      <c r="AW1" s="389" t="s">
        <v>2534</v>
      </c>
      <c r="AX1" s="389" t="s">
        <v>2535</v>
      </c>
    </row>
    <row r="2" spans="1:50" ht="15" hidden="1" customHeight="1" x14ac:dyDescent="0.35">
      <c r="A2" s="466" t="s">
        <v>2536</v>
      </c>
      <c r="B2" s="467" t="s">
        <v>97</v>
      </c>
      <c r="C2" s="468" t="s">
        <v>2537</v>
      </c>
      <c r="D2" s="468">
        <v>1</v>
      </c>
      <c r="E2" s="469">
        <v>20213000000153</v>
      </c>
      <c r="F2" s="470">
        <v>44202</v>
      </c>
      <c r="G2" s="469" t="s">
        <v>2538</v>
      </c>
      <c r="H2" s="468" t="s">
        <v>2539</v>
      </c>
      <c r="I2" s="468" t="s">
        <v>432</v>
      </c>
      <c r="J2" s="471">
        <v>2000000</v>
      </c>
      <c r="K2" s="212" t="s">
        <v>342</v>
      </c>
      <c r="L2" s="468" t="s">
        <v>351</v>
      </c>
      <c r="M2" s="468" t="s">
        <v>149</v>
      </c>
      <c r="N2" s="468" t="s">
        <v>150</v>
      </c>
      <c r="O2" s="468" t="s">
        <v>251</v>
      </c>
      <c r="P2" s="468" t="s">
        <v>674</v>
      </c>
      <c r="Q2" s="468"/>
      <c r="R2" s="468">
        <v>1</v>
      </c>
      <c r="S2" s="470">
        <v>44202</v>
      </c>
      <c r="T2" s="468" t="s">
        <v>2540</v>
      </c>
      <c r="U2" s="471">
        <v>2000000</v>
      </c>
      <c r="V2" s="414"/>
      <c r="W2" s="379"/>
      <c r="X2" s="211">
        <v>1</v>
      </c>
      <c r="Y2" s="472">
        <v>44204</v>
      </c>
      <c r="Z2" s="472">
        <v>44204</v>
      </c>
      <c r="AA2" s="472">
        <v>44227</v>
      </c>
      <c r="AB2" s="2" t="s">
        <v>2541</v>
      </c>
      <c r="AC2" s="211">
        <v>6198641399</v>
      </c>
      <c r="AD2" s="2">
        <v>830037248</v>
      </c>
      <c r="AE2" s="212" t="s">
        <v>2542</v>
      </c>
      <c r="AF2" s="473">
        <f>108350+16900+35446</f>
        <v>160696</v>
      </c>
      <c r="AG2" s="474">
        <f t="shared" ref="AG2:AG65" si="0">+U2-AF2</f>
        <v>1839304</v>
      </c>
      <c r="AH2" s="475">
        <v>108350</v>
      </c>
      <c r="AI2" s="471">
        <v>16900</v>
      </c>
      <c r="AJ2" s="471"/>
      <c r="AK2" s="471"/>
      <c r="AL2" s="471">
        <f>70892-35446</f>
        <v>35446</v>
      </c>
      <c r="AM2" s="212"/>
    </row>
    <row r="3" spans="1:50" ht="15" hidden="1" customHeight="1" x14ac:dyDescent="0.35">
      <c r="A3" s="476" t="s">
        <v>2536</v>
      </c>
      <c r="B3" s="477" t="s">
        <v>2543</v>
      </c>
      <c r="C3" s="212" t="s">
        <v>2544</v>
      </c>
      <c r="D3" s="212">
        <v>2</v>
      </c>
      <c r="E3" s="478">
        <v>20217000000203</v>
      </c>
      <c r="F3" s="479">
        <v>44200</v>
      </c>
      <c r="G3" s="478" t="s">
        <v>2545</v>
      </c>
      <c r="H3" s="212" t="s">
        <v>2546</v>
      </c>
      <c r="I3" s="212" t="s">
        <v>164</v>
      </c>
      <c r="J3" s="475">
        <v>19662787</v>
      </c>
      <c r="K3" s="212" t="s">
        <v>138</v>
      </c>
      <c r="L3" s="212" t="s">
        <v>139</v>
      </c>
      <c r="M3" s="212" t="s">
        <v>44</v>
      </c>
      <c r="N3" s="212" t="s">
        <v>45</v>
      </c>
      <c r="O3" s="212" t="s">
        <v>142</v>
      </c>
      <c r="P3" s="212" t="s">
        <v>43</v>
      </c>
      <c r="R3" s="212">
        <v>2</v>
      </c>
      <c r="S3" s="479">
        <v>44204</v>
      </c>
      <c r="T3" s="212" t="s">
        <v>2547</v>
      </c>
      <c r="U3" s="475">
        <v>19662787</v>
      </c>
      <c r="V3" s="406"/>
      <c r="W3" s="362"/>
      <c r="X3" s="211">
        <v>2</v>
      </c>
      <c r="Y3" s="472">
        <v>44204</v>
      </c>
      <c r="Z3" s="472">
        <v>44204</v>
      </c>
      <c r="AA3" s="472">
        <v>44287</v>
      </c>
      <c r="AB3" s="2" t="s">
        <v>2548</v>
      </c>
      <c r="AC3" s="211">
        <v>311</v>
      </c>
      <c r="AD3" s="2">
        <v>1020743056</v>
      </c>
      <c r="AE3" s="212" t="s">
        <v>2549</v>
      </c>
      <c r="AF3" s="473">
        <v>19662787</v>
      </c>
      <c r="AG3" s="474">
        <f t="shared" si="0"/>
        <v>0</v>
      </c>
      <c r="AI3" s="480">
        <v>7022424</v>
      </c>
      <c r="AJ3" s="475">
        <v>7022424</v>
      </c>
      <c r="AK3" s="475">
        <v>5383859</v>
      </c>
      <c r="AM3" s="212"/>
    </row>
    <row r="4" spans="1:50" s="312" customFormat="1" ht="15" hidden="1" customHeight="1" x14ac:dyDescent="0.35">
      <c r="A4" s="361" t="s">
        <v>1810</v>
      </c>
      <c r="B4" s="417">
        <v>29700000</v>
      </c>
      <c r="C4" s="312" t="s">
        <v>2544</v>
      </c>
      <c r="D4" s="312">
        <v>3</v>
      </c>
      <c r="E4" s="325">
        <v>20211400000233</v>
      </c>
      <c r="F4" s="315">
        <v>44204</v>
      </c>
      <c r="G4" s="325" t="s">
        <v>2545</v>
      </c>
      <c r="H4" s="312" t="s">
        <v>2546</v>
      </c>
      <c r="I4" s="312" t="s">
        <v>184</v>
      </c>
      <c r="J4" s="405">
        <v>22500000</v>
      </c>
      <c r="K4" s="312" t="s">
        <v>138</v>
      </c>
      <c r="L4" s="312" t="s">
        <v>2550</v>
      </c>
      <c r="M4" s="312" t="s">
        <v>44</v>
      </c>
      <c r="N4" s="312" t="s">
        <v>45</v>
      </c>
      <c r="O4" s="312" t="s">
        <v>142</v>
      </c>
      <c r="P4" s="312" t="s">
        <v>43</v>
      </c>
      <c r="R4" s="312">
        <v>9</v>
      </c>
      <c r="S4" s="315">
        <v>44204</v>
      </c>
      <c r="T4" s="312" t="s">
        <v>2551</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x14ac:dyDescent="0.35">
      <c r="A5" s="476" t="s">
        <v>1811</v>
      </c>
      <c r="B5" s="477">
        <v>68000000</v>
      </c>
      <c r="C5" s="212" t="s">
        <v>2544</v>
      </c>
      <c r="D5" s="212">
        <v>4</v>
      </c>
      <c r="E5" s="478">
        <v>20211400000243</v>
      </c>
      <c r="F5" s="479">
        <v>44204</v>
      </c>
      <c r="G5" s="478" t="s">
        <v>2545</v>
      </c>
      <c r="H5" s="212" t="s">
        <v>2546</v>
      </c>
      <c r="I5" s="212" t="s">
        <v>184</v>
      </c>
      <c r="J5" s="475">
        <v>68000000</v>
      </c>
      <c r="K5" s="212" t="s">
        <v>138</v>
      </c>
      <c r="L5" s="212" t="s">
        <v>2550</v>
      </c>
      <c r="M5" s="212" t="s">
        <v>44</v>
      </c>
      <c r="N5" s="212" t="s">
        <v>45</v>
      </c>
      <c r="O5" s="212" t="s">
        <v>142</v>
      </c>
      <c r="P5" s="212" t="s">
        <v>43</v>
      </c>
      <c r="R5" s="212">
        <v>10</v>
      </c>
      <c r="S5" s="479">
        <v>44204</v>
      </c>
      <c r="T5" s="212" t="s">
        <v>2552</v>
      </c>
      <c r="U5" s="475">
        <f>68000000-8500000</f>
        <v>59500000</v>
      </c>
      <c r="V5" s="406">
        <v>8500000</v>
      </c>
      <c r="W5" s="362"/>
      <c r="X5" s="211">
        <v>32</v>
      </c>
      <c r="Y5" s="472">
        <v>44222</v>
      </c>
      <c r="Z5" s="472">
        <v>44222</v>
      </c>
      <c r="AA5" s="472">
        <v>44434</v>
      </c>
      <c r="AB5" s="2" t="s">
        <v>2548</v>
      </c>
      <c r="AC5" s="211">
        <v>13</v>
      </c>
      <c r="AD5" s="2">
        <v>79755928</v>
      </c>
      <c r="AE5" s="212" t="s">
        <v>2553</v>
      </c>
      <c r="AF5" s="473">
        <v>59500000</v>
      </c>
      <c r="AG5" s="474">
        <f t="shared" si="0"/>
        <v>0</v>
      </c>
      <c r="AJ5" s="481">
        <v>9350000</v>
      </c>
      <c r="AK5" s="475">
        <v>8500000</v>
      </c>
      <c r="AL5" s="475">
        <v>8500000</v>
      </c>
      <c r="AM5" s="306">
        <v>8500000</v>
      </c>
    </row>
    <row r="6" spans="1:50" ht="15" hidden="1" customHeight="1" x14ac:dyDescent="0.35">
      <c r="A6" s="476" t="s">
        <v>1746</v>
      </c>
      <c r="B6" s="477">
        <v>112560000</v>
      </c>
      <c r="C6" s="212" t="s">
        <v>2544</v>
      </c>
      <c r="D6" s="212">
        <v>5</v>
      </c>
      <c r="E6" s="478">
        <v>20215000000073</v>
      </c>
      <c r="F6" s="479">
        <v>44204</v>
      </c>
      <c r="G6" s="478" t="s">
        <v>2538</v>
      </c>
      <c r="H6" s="212" t="s">
        <v>2539</v>
      </c>
      <c r="I6" s="212" t="s">
        <v>228</v>
      </c>
      <c r="J6" s="475">
        <v>112560000</v>
      </c>
      <c r="K6" s="212" t="s">
        <v>223</v>
      </c>
      <c r="L6" s="212" t="s">
        <v>233</v>
      </c>
      <c r="M6" s="212" t="s">
        <v>44</v>
      </c>
      <c r="N6" s="212" t="s">
        <v>45</v>
      </c>
      <c r="O6" s="212" t="s">
        <v>63</v>
      </c>
      <c r="P6" s="212" t="s">
        <v>674</v>
      </c>
      <c r="R6" s="212">
        <v>3</v>
      </c>
      <c r="S6" s="479">
        <v>44204</v>
      </c>
      <c r="T6" s="212" t="s">
        <v>2554</v>
      </c>
      <c r="U6" s="475">
        <f>112560000-9380000</f>
        <v>103180000</v>
      </c>
      <c r="V6" s="411">
        <v>9380000</v>
      </c>
      <c r="W6" s="397"/>
      <c r="X6" s="211">
        <v>15</v>
      </c>
      <c r="Y6" s="472">
        <v>44215</v>
      </c>
      <c r="Z6" s="472">
        <v>44215</v>
      </c>
      <c r="AA6" s="472">
        <v>44549</v>
      </c>
      <c r="AB6" s="2" t="s">
        <v>2548</v>
      </c>
      <c r="AC6" s="211">
        <v>1</v>
      </c>
      <c r="AD6" s="2">
        <v>1026260799</v>
      </c>
      <c r="AE6" s="212" t="s">
        <v>2555</v>
      </c>
      <c r="AF6" s="473">
        <v>103180000</v>
      </c>
      <c r="AG6" s="474">
        <f t="shared" si="0"/>
        <v>0</v>
      </c>
      <c r="AI6" s="475">
        <v>3126667</v>
      </c>
      <c r="AJ6" s="475">
        <v>9380000</v>
      </c>
      <c r="AK6" s="475">
        <v>9380000</v>
      </c>
      <c r="AL6" s="475">
        <v>9380000</v>
      </c>
      <c r="AM6" s="306">
        <v>9380000</v>
      </c>
    </row>
    <row r="7" spans="1:50" ht="15" hidden="1" customHeight="1" x14ac:dyDescent="0.35">
      <c r="A7" s="476" t="s">
        <v>1664</v>
      </c>
      <c r="B7" s="477">
        <v>112604000</v>
      </c>
      <c r="C7" s="212" t="s">
        <v>2544</v>
      </c>
      <c r="D7" s="212">
        <v>6</v>
      </c>
      <c r="E7" s="478">
        <v>20215000000083</v>
      </c>
      <c r="F7" s="479">
        <v>44204</v>
      </c>
      <c r="G7" s="478" t="s">
        <v>2538</v>
      </c>
      <c r="H7" s="212" t="s">
        <v>2539</v>
      </c>
      <c r="I7" s="212" t="s">
        <v>228</v>
      </c>
      <c r="J7" s="475">
        <v>112604000</v>
      </c>
      <c r="K7" s="212" t="s">
        <v>223</v>
      </c>
      <c r="L7" s="212" t="s">
        <v>283</v>
      </c>
      <c r="M7" s="212" t="s">
        <v>44</v>
      </c>
      <c r="N7" s="212" t="s">
        <v>45</v>
      </c>
      <c r="O7" s="212" t="s">
        <v>63</v>
      </c>
      <c r="P7" s="212" t="s">
        <v>674</v>
      </c>
      <c r="R7" s="212">
        <v>4</v>
      </c>
      <c r="S7" s="479">
        <v>44204</v>
      </c>
      <c r="T7" s="212" t="s">
        <v>2556</v>
      </c>
      <c r="U7" s="475">
        <f>112604000-6297333</f>
        <v>106306667</v>
      </c>
      <c r="V7" s="411">
        <v>6297333</v>
      </c>
      <c r="W7" s="397"/>
      <c r="X7" s="211">
        <v>21</v>
      </c>
      <c r="Y7" s="472">
        <v>44216</v>
      </c>
      <c r="Z7" s="472">
        <v>44216</v>
      </c>
      <c r="AA7" s="472">
        <v>44550</v>
      </c>
      <c r="AB7" s="2" t="s">
        <v>2548</v>
      </c>
      <c r="AC7" s="211">
        <v>9</v>
      </c>
      <c r="AD7" s="2">
        <v>80171259</v>
      </c>
      <c r="AE7" s="212" t="s">
        <v>2557</v>
      </c>
      <c r="AF7" s="473">
        <v>106306667</v>
      </c>
      <c r="AG7" s="474">
        <f t="shared" si="0"/>
        <v>0</v>
      </c>
      <c r="AI7" s="475">
        <v>3126667</v>
      </c>
      <c r="AJ7" s="475">
        <v>9380000</v>
      </c>
      <c r="AK7" s="475">
        <v>9380000</v>
      </c>
      <c r="AL7" s="475">
        <v>9380000</v>
      </c>
      <c r="AM7" s="212"/>
    </row>
    <row r="8" spans="1:50" ht="15" hidden="1" customHeight="1" x14ac:dyDescent="0.35">
      <c r="A8" s="476" t="s">
        <v>1747</v>
      </c>
      <c r="B8" s="477">
        <v>112604000</v>
      </c>
      <c r="C8" s="212" t="s">
        <v>2544</v>
      </c>
      <c r="D8" s="212">
        <v>7</v>
      </c>
      <c r="E8" s="478">
        <v>20215000000093</v>
      </c>
      <c r="F8" s="479">
        <v>44204</v>
      </c>
      <c r="G8" s="478" t="s">
        <v>2538</v>
      </c>
      <c r="H8" s="212" t="s">
        <v>2539</v>
      </c>
      <c r="I8" s="212" t="s">
        <v>228</v>
      </c>
      <c r="J8" s="475">
        <v>112604000</v>
      </c>
      <c r="K8" s="212" t="s">
        <v>223</v>
      </c>
      <c r="L8" s="212" t="s">
        <v>269</v>
      </c>
      <c r="M8" s="212" t="s">
        <v>44</v>
      </c>
      <c r="N8" s="212" t="s">
        <v>45</v>
      </c>
      <c r="O8" s="212" t="s">
        <v>63</v>
      </c>
      <c r="P8" s="212" t="s">
        <v>674</v>
      </c>
      <c r="R8" s="212">
        <v>5</v>
      </c>
      <c r="S8" s="479">
        <v>44204</v>
      </c>
      <c r="T8" s="212" t="s">
        <v>2558</v>
      </c>
      <c r="U8" s="475">
        <f>112604000-24604000</f>
        <v>88000000</v>
      </c>
      <c r="V8" s="411">
        <v>24604000</v>
      </c>
      <c r="W8" s="397"/>
      <c r="X8" s="211">
        <v>16</v>
      </c>
      <c r="Y8" s="472">
        <v>44216</v>
      </c>
      <c r="Z8" s="472">
        <v>44216</v>
      </c>
      <c r="AA8" s="472">
        <v>44550</v>
      </c>
      <c r="AB8" s="2" t="s">
        <v>2548</v>
      </c>
      <c r="AC8" s="211">
        <v>6</v>
      </c>
      <c r="AD8" s="2">
        <v>79910411</v>
      </c>
      <c r="AE8" s="212" t="s">
        <v>2559</v>
      </c>
      <c r="AF8" s="473">
        <v>88000000</v>
      </c>
      <c r="AG8" s="474">
        <f t="shared" si="0"/>
        <v>0</v>
      </c>
      <c r="AI8" s="475">
        <v>2666666</v>
      </c>
      <c r="AJ8" s="475">
        <v>8000000</v>
      </c>
      <c r="AK8" s="475">
        <v>8000000</v>
      </c>
      <c r="AL8" s="475">
        <v>8000000</v>
      </c>
      <c r="AM8" s="306">
        <v>8000000</v>
      </c>
    </row>
    <row r="9" spans="1:50" ht="15" hidden="1" customHeight="1" x14ac:dyDescent="0.35">
      <c r="A9" s="476" t="s">
        <v>1664</v>
      </c>
      <c r="B9" s="477">
        <v>47736000</v>
      </c>
      <c r="C9" s="212" t="s">
        <v>2544</v>
      </c>
      <c r="D9" s="212">
        <v>8</v>
      </c>
      <c r="E9" s="478">
        <v>20215000000123</v>
      </c>
      <c r="F9" s="479">
        <v>44204</v>
      </c>
      <c r="G9" s="478" t="s">
        <v>2538</v>
      </c>
      <c r="H9" s="212" t="s">
        <v>2539</v>
      </c>
      <c r="I9" s="212" t="s">
        <v>228</v>
      </c>
      <c r="J9" s="475">
        <v>47736000</v>
      </c>
      <c r="K9" s="212" t="s">
        <v>223</v>
      </c>
      <c r="L9" s="212" t="s">
        <v>283</v>
      </c>
      <c r="M9" s="212" t="s">
        <v>44</v>
      </c>
      <c r="N9" s="212" t="s">
        <v>45</v>
      </c>
      <c r="O9" s="212" t="s">
        <v>63</v>
      </c>
      <c r="P9" s="212" t="s">
        <v>674</v>
      </c>
      <c r="R9" s="212">
        <v>6</v>
      </c>
      <c r="S9" s="479">
        <v>44204</v>
      </c>
      <c r="T9" s="212" t="s">
        <v>2556</v>
      </c>
      <c r="U9" s="475">
        <f>47736000-3978000</f>
        <v>43758000</v>
      </c>
      <c r="V9" s="411">
        <v>3978000</v>
      </c>
      <c r="W9" s="397"/>
      <c r="X9" s="211">
        <v>22</v>
      </c>
      <c r="Y9" s="472">
        <v>44216</v>
      </c>
      <c r="Z9" s="472">
        <v>44216</v>
      </c>
      <c r="AA9" s="472">
        <v>44550</v>
      </c>
      <c r="AB9" s="2" t="s">
        <v>2548</v>
      </c>
      <c r="AC9" s="211">
        <v>3</v>
      </c>
      <c r="AD9" s="2">
        <v>1121706848</v>
      </c>
      <c r="AE9" s="212" t="s">
        <v>2560</v>
      </c>
      <c r="AF9" s="473">
        <v>43758000</v>
      </c>
      <c r="AG9" s="474">
        <f t="shared" si="0"/>
        <v>0</v>
      </c>
      <c r="AI9" s="475">
        <v>1458600</v>
      </c>
      <c r="AJ9" s="475">
        <v>3978000</v>
      </c>
      <c r="AK9" s="475">
        <v>3978000</v>
      </c>
      <c r="AL9" s="475">
        <v>3978000</v>
      </c>
      <c r="AM9" s="306">
        <v>3978000</v>
      </c>
    </row>
    <row r="10" spans="1:50" ht="15" hidden="1" customHeight="1" x14ac:dyDescent="0.35">
      <c r="A10" s="476" t="s">
        <v>2561</v>
      </c>
      <c r="B10" s="477">
        <v>57000000</v>
      </c>
      <c r="C10" s="212" t="s">
        <v>2562</v>
      </c>
      <c r="D10" s="212">
        <v>9</v>
      </c>
      <c r="E10" s="478">
        <v>20215000000133</v>
      </c>
      <c r="F10" s="479">
        <v>44204</v>
      </c>
      <c r="G10" s="478" t="s">
        <v>2538</v>
      </c>
      <c r="H10" s="212" t="s">
        <v>2539</v>
      </c>
      <c r="I10" s="212" t="s">
        <v>228</v>
      </c>
      <c r="J10" s="475">
        <v>57000000</v>
      </c>
      <c r="K10" s="212" t="s">
        <v>223</v>
      </c>
      <c r="L10" s="212" t="s">
        <v>257</v>
      </c>
      <c r="M10" s="212" t="s">
        <v>44</v>
      </c>
      <c r="N10" s="212" t="s">
        <v>45</v>
      </c>
      <c r="O10" s="212" t="s">
        <v>46</v>
      </c>
      <c r="P10" s="212" t="s">
        <v>674</v>
      </c>
      <c r="R10" s="212">
        <v>7</v>
      </c>
      <c r="S10" s="479">
        <v>44204</v>
      </c>
      <c r="T10" s="212" t="s">
        <v>2563</v>
      </c>
      <c r="U10" s="475">
        <f>57000000-9300040</f>
        <v>47699960</v>
      </c>
      <c r="V10" s="411">
        <v>9300040</v>
      </c>
      <c r="W10" s="397"/>
      <c r="X10" s="211">
        <v>4</v>
      </c>
      <c r="Y10" s="472">
        <v>44210</v>
      </c>
      <c r="Z10" s="472">
        <v>44210</v>
      </c>
      <c r="AA10" s="472">
        <v>44269</v>
      </c>
      <c r="AB10" s="2" t="s">
        <v>2564</v>
      </c>
      <c r="AC10" s="211">
        <v>707</v>
      </c>
      <c r="AD10" s="2">
        <v>800199498</v>
      </c>
      <c r="AE10" s="212" t="s">
        <v>2565</v>
      </c>
      <c r="AF10" s="473">
        <v>47699960</v>
      </c>
      <c r="AG10" s="474">
        <f t="shared" si="0"/>
        <v>0</v>
      </c>
      <c r="AK10" s="475">
        <v>47699960</v>
      </c>
      <c r="AM10" s="212"/>
    </row>
    <row r="11" spans="1:50" ht="15" hidden="1" customHeight="1" x14ac:dyDescent="0.35">
      <c r="A11" s="476" t="s">
        <v>2566</v>
      </c>
      <c r="B11" s="477">
        <v>936991795</v>
      </c>
      <c r="C11" s="212" t="s">
        <v>350</v>
      </c>
      <c r="D11" s="212">
        <v>10</v>
      </c>
      <c r="E11" s="478">
        <v>20213000000143</v>
      </c>
      <c r="F11" s="479">
        <v>44204</v>
      </c>
      <c r="G11" s="478" t="s">
        <v>2538</v>
      </c>
      <c r="H11" s="212" t="s">
        <v>2539</v>
      </c>
      <c r="I11" s="212" t="s">
        <v>432</v>
      </c>
      <c r="J11" s="475">
        <v>563008205</v>
      </c>
      <c r="K11" s="212" t="s">
        <v>342</v>
      </c>
      <c r="L11" s="212" t="s">
        <v>343</v>
      </c>
      <c r="M11" s="212" t="s">
        <v>44</v>
      </c>
      <c r="N11" s="212" t="s">
        <v>45</v>
      </c>
      <c r="O11" s="212" t="s">
        <v>310</v>
      </c>
      <c r="P11" s="212" t="s">
        <v>674</v>
      </c>
      <c r="R11" s="212">
        <v>8</v>
      </c>
      <c r="S11" s="479">
        <v>44204</v>
      </c>
      <c r="T11" s="212" t="s">
        <v>2567</v>
      </c>
      <c r="U11" s="475">
        <v>563008205</v>
      </c>
      <c r="V11" s="406"/>
      <c r="W11" s="362"/>
      <c r="X11" s="211">
        <v>7</v>
      </c>
      <c r="Y11" s="472">
        <v>44210</v>
      </c>
      <c r="Z11" s="472">
        <v>44210</v>
      </c>
      <c r="AA11" s="472">
        <v>44269</v>
      </c>
      <c r="AB11" s="2" t="s">
        <v>2568</v>
      </c>
      <c r="AC11" s="211">
        <v>749</v>
      </c>
      <c r="AD11" s="2">
        <v>18412092</v>
      </c>
      <c r="AE11" s="212" t="s">
        <v>2569</v>
      </c>
      <c r="AF11" s="473">
        <v>563008205</v>
      </c>
      <c r="AG11" s="474">
        <f t="shared" si="0"/>
        <v>0</v>
      </c>
      <c r="AK11" s="475">
        <v>225203282</v>
      </c>
      <c r="AM11" s="212"/>
    </row>
    <row r="12" spans="1:50" ht="15" hidden="1" customHeight="1" x14ac:dyDescent="0.35">
      <c r="A12" s="476" t="s">
        <v>2570</v>
      </c>
      <c r="B12" s="477">
        <v>84000000</v>
      </c>
      <c r="C12" s="212" t="s">
        <v>2544</v>
      </c>
      <c r="D12" s="212">
        <v>11</v>
      </c>
      <c r="E12" s="478">
        <v>20214000000463</v>
      </c>
      <c r="F12" s="479">
        <v>44208</v>
      </c>
      <c r="G12" s="478" t="s">
        <v>2571</v>
      </c>
      <c r="H12" s="212" t="s">
        <v>2572</v>
      </c>
      <c r="I12" s="212" t="s">
        <v>117</v>
      </c>
      <c r="J12" s="475">
        <v>80033333</v>
      </c>
      <c r="K12" s="212" t="s">
        <v>112</v>
      </c>
      <c r="L12" s="212" t="s">
        <v>2573</v>
      </c>
      <c r="M12" s="212" t="s">
        <v>44</v>
      </c>
      <c r="N12" s="212" t="s">
        <v>45</v>
      </c>
      <c r="O12" s="212" t="s">
        <v>63</v>
      </c>
      <c r="P12" s="212" t="s">
        <v>43</v>
      </c>
      <c r="R12" s="212">
        <v>12</v>
      </c>
      <c r="S12" s="479">
        <v>44209</v>
      </c>
      <c r="T12" s="212" t="s">
        <v>2574</v>
      </c>
      <c r="U12" s="475">
        <v>80033333</v>
      </c>
      <c r="V12" s="406"/>
      <c r="W12" s="362"/>
      <c r="X12" s="211">
        <v>31</v>
      </c>
      <c r="Y12" s="472">
        <v>44222</v>
      </c>
      <c r="Z12" s="472">
        <v>44222</v>
      </c>
      <c r="AA12" s="472">
        <v>44556</v>
      </c>
      <c r="AB12" s="2" t="s">
        <v>2548</v>
      </c>
      <c r="AC12" s="211">
        <v>11</v>
      </c>
      <c r="AD12" s="2">
        <v>79284479</v>
      </c>
      <c r="AE12" s="212" t="s">
        <v>2575</v>
      </c>
      <c r="AF12" s="473">
        <v>77000000</v>
      </c>
      <c r="AG12" s="474">
        <f t="shared" si="0"/>
        <v>3033333</v>
      </c>
      <c r="AK12" s="475">
        <v>7933333</v>
      </c>
      <c r="AL12" s="475">
        <v>7000000</v>
      </c>
      <c r="AM12" s="306">
        <v>7000000</v>
      </c>
    </row>
    <row r="13" spans="1:50" ht="15" hidden="1" customHeight="1" x14ac:dyDescent="0.35">
      <c r="A13" s="476" t="s">
        <v>2030</v>
      </c>
      <c r="B13" s="477">
        <v>54661018</v>
      </c>
      <c r="C13" s="212" t="s">
        <v>2544</v>
      </c>
      <c r="D13" s="212">
        <v>12</v>
      </c>
      <c r="E13" s="478">
        <v>20214000000473</v>
      </c>
      <c r="F13" s="479">
        <v>44208</v>
      </c>
      <c r="G13" s="478" t="s">
        <v>2571</v>
      </c>
      <c r="H13" s="212" t="s">
        <v>2572</v>
      </c>
      <c r="I13" s="212" t="s">
        <v>117</v>
      </c>
      <c r="J13" s="475">
        <v>54661018</v>
      </c>
      <c r="K13" s="212" t="s">
        <v>112</v>
      </c>
      <c r="L13" s="212" t="s">
        <v>2573</v>
      </c>
      <c r="M13" s="212" t="s">
        <v>44</v>
      </c>
      <c r="N13" s="212" t="s">
        <v>45</v>
      </c>
      <c r="O13" s="212" t="s">
        <v>63</v>
      </c>
      <c r="P13" s="212" t="s">
        <v>43</v>
      </c>
      <c r="R13" s="212">
        <v>13</v>
      </c>
      <c r="S13" s="479">
        <v>44209</v>
      </c>
      <c r="T13" s="212" t="s">
        <v>2576</v>
      </c>
      <c r="U13" s="475">
        <v>54661018</v>
      </c>
      <c r="V13" s="406"/>
      <c r="W13" s="362"/>
      <c r="X13" s="308">
        <v>66</v>
      </c>
      <c r="Y13" s="472">
        <v>44230</v>
      </c>
      <c r="Z13" s="472">
        <v>44230</v>
      </c>
      <c r="AA13" s="472">
        <v>44548</v>
      </c>
      <c r="AB13" s="2" t="s">
        <v>2548</v>
      </c>
      <c r="AC13" s="211">
        <v>34</v>
      </c>
      <c r="AD13" s="2">
        <v>52521018</v>
      </c>
      <c r="AE13" s="212" t="s">
        <v>2577</v>
      </c>
      <c r="AF13" s="473">
        <v>50274000</v>
      </c>
      <c r="AG13" s="474">
        <f t="shared" si="0"/>
        <v>4387018</v>
      </c>
      <c r="AJ13" s="475">
        <v>3293333</v>
      </c>
      <c r="AK13" s="475">
        <v>3800000</v>
      </c>
      <c r="AL13" s="475">
        <v>3800000</v>
      </c>
      <c r="AM13" s="306">
        <v>3800000</v>
      </c>
    </row>
    <row r="14" spans="1:50" ht="15" hidden="1" customHeight="1" x14ac:dyDescent="0.35">
      <c r="A14" s="476" t="s">
        <v>2030</v>
      </c>
      <c r="B14" s="477">
        <v>32232315</v>
      </c>
      <c r="C14" s="212" t="s">
        <v>2544</v>
      </c>
      <c r="D14" s="212">
        <v>12</v>
      </c>
      <c r="E14" s="478">
        <v>20214000000473</v>
      </c>
      <c r="F14" s="479">
        <v>44208</v>
      </c>
      <c r="G14" s="478" t="s">
        <v>2578</v>
      </c>
      <c r="H14" s="212" t="s">
        <v>2579</v>
      </c>
      <c r="I14" s="212" t="s">
        <v>47</v>
      </c>
      <c r="J14" s="475">
        <v>32232315</v>
      </c>
      <c r="K14" s="212" t="s">
        <v>37</v>
      </c>
      <c r="L14" s="212" t="s">
        <v>2580</v>
      </c>
      <c r="M14" s="212" t="s">
        <v>44</v>
      </c>
      <c r="N14" s="212" t="s">
        <v>45</v>
      </c>
      <c r="O14" s="212" t="s">
        <v>310</v>
      </c>
      <c r="P14" s="212" t="s">
        <v>43</v>
      </c>
      <c r="R14" s="329">
        <v>13</v>
      </c>
      <c r="S14" s="479">
        <v>44209</v>
      </c>
      <c r="T14" s="212" t="s">
        <v>2576</v>
      </c>
      <c r="U14" s="475">
        <v>32232315</v>
      </c>
      <c r="V14" s="406"/>
      <c r="W14" s="362"/>
      <c r="X14" s="308">
        <v>66</v>
      </c>
      <c r="Y14" s="472">
        <v>44230</v>
      </c>
      <c r="Z14" s="472">
        <v>44230</v>
      </c>
      <c r="AA14" s="472">
        <v>44548</v>
      </c>
      <c r="AB14" s="2" t="s">
        <v>2548</v>
      </c>
      <c r="AC14" s="211">
        <v>34</v>
      </c>
      <c r="AD14" s="2">
        <v>52521018</v>
      </c>
      <c r="AE14" s="212" t="s">
        <v>2577</v>
      </c>
      <c r="AF14" s="473">
        <v>29526000</v>
      </c>
      <c r="AG14" s="474">
        <f t="shared" si="0"/>
        <v>2706315</v>
      </c>
      <c r="AJ14" s="475">
        <v>3293333</v>
      </c>
      <c r="AK14" s="475">
        <v>3800000</v>
      </c>
      <c r="AL14" s="475">
        <v>3800000</v>
      </c>
      <c r="AM14" s="306">
        <v>3800000</v>
      </c>
    </row>
    <row r="15" spans="1:50" ht="15" hidden="1" customHeight="1" x14ac:dyDescent="0.35">
      <c r="A15" s="476" t="s">
        <v>2536</v>
      </c>
      <c r="B15" s="477" t="s">
        <v>2581</v>
      </c>
      <c r="C15" s="212" t="s">
        <v>2581</v>
      </c>
      <c r="D15" s="212">
        <v>13</v>
      </c>
      <c r="E15" s="478">
        <v>20217000000483</v>
      </c>
      <c r="F15" s="479">
        <v>44208</v>
      </c>
      <c r="G15" s="478" t="s">
        <v>2545</v>
      </c>
      <c r="H15" s="212" t="s">
        <v>2546</v>
      </c>
      <c r="I15" s="212" t="s">
        <v>164</v>
      </c>
      <c r="J15" s="475">
        <v>10796975</v>
      </c>
      <c r="K15" s="212" t="s">
        <v>138</v>
      </c>
      <c r="L15" s="212" t="s">
        <v>139</v>
      </c>
      <c r="M15" s="212" t="s">
        <v>44</v>
      </c>
      <c r="N15" s="212" t="s">
        <v>45</v>
      </c>
      <c r="O15" s="212" t="s">
        <v>142</v>
      </c>
      <c r="P15" s="212" t="s">
        <v>43</v>
      </c>
      <c r="R15" s="212">
        <v>14</v>
      </c>
      <c r="S15" s="479">
        <v>44209</v>
      </c>
      <c r="T15" s="212" t="s">
        <v>2582</v>
      </c>
      <c r="U15" s="475">
        <v>10796975</v>
      </c>
      <c r="V15" s="406"/>
      <c r="W15" s="362"/>
      <c r="X15" s="211">
        <v>39</v>
      </c>
      <c r="Y15" s="472">
        <v>44223</v>
      </c>
      <c r="Z15" s="472">
        <v>44228</v>
      </c>
      <c r="AA15" s="472">
        <v>44308</v>
      </c>
      <c r="AB15" s="2" t="s">
        <v>2548</v>
      </c>
      <c r="AC15" s="211">
        <v>361</v>
      </c>
      <c r="AD15" s="2">
        <v>1019060772</v>
      </c>
      <c r="AE15" s="212" t="s">
        <v>2583</v>
      </c>
      <c r="AF15" s="473">
        <v>10796975</v>
      </c>
      <c r="AG15" s="474">
        <f t="shared" si="0"/>
        <v>0</v>
      </c>
      <c r="AJ15" s="475">
        <v>3950113</v>
      </c>
      <c r="AK15" s="475">
        <v>3950113</v>
      </c>
      <c r="AL15" s="475">
        <v>2896749</v>
      </c>
      <c r="AM15" s="212"/>
    </row>
    <row r="16" spans="1:50" ht="15" hidden="1" customHeight="1" x14ac:dyDescent="0.35">
      <c r="A16" s="476" t="s">
        <v>2091</v>
      </c>
      <c r="B16" s="477">
        <v>22500000</v>
      </c>
      <c r="C16" s="212" t="s">
        <v>2544</v>
      </c>
      <c r="D16" s="212">
        <v>14</v>
      </c>
      <c r="E16" s="478">
        <v>20211200000503</v>
      </c>
      <c r="F16" s="479">
        <v>44208</v>
      </c>
      <c r="G16" s="478" t="s">
        <v>2545</v>
      </c>
      <c r="H16" s="212" t="s">
        <v>2546</v>
      </c>
      <c r="I16" s="212" t="s">
        <v>143</v>
      </c>
      <c r="J16" s="475">
        <v>22500000</v>
      </c>
      <c r="K16" s="212" t="s">
        <v>138</v>
      </c>
      <c r="L16" s="212" t="s">
        <v>139</v>
      </c>
      <c r="M16" s="212" t="s">
        <v>44</v>
      </c>
      <c r="N16" s="212" t="s">
        <v>45</v>
      </c>
      <c r="O16" s="212" t="s">
        <v>142</v>
      </c>
      <c r="P16" s="212" t="s">
        <v>43</v>
      </c>
      <c r="R16" s="212">
        <v>15</v>
      </c>
      <c r="S16" s="479">
        <v>44209</v>
      </c>
      <c r="T16" s="212" t="s">
        <v>2584</v>
      </c>
      <c r="U16" s="475">
        <v>22500000</v>
      </c>
      <c r="V16" s="406"/>
      <c r="W16" s="362"/>
      <c r="X16" s="211">
        <v>5</v>
      </c>
      <c r="Y16" s="472">
        <v>44210</v>
      </c>
      <c r="Z16" s="472">
        <v>44210</v>
      </c>
      <c r="AA16" s="472">
        <v>44269</v>
      </c>
      <c r="AB16" s="2" t="s">
        <v>2548</v>
      </c>
      <c r="AC16" s="211">
        <v>756</v>
      </c>
      <c r="AD16" s="2">
        <v>36312413</v>
      </c>
      <c r="AE16" s="212" t="s">
        <v>2585</v>
      </c>
      <c r="AF16" s="473">
        <v>22500000</v>
      </c>
      <c r="AG16" s="474">
        <f t="shared" si="0"/>
        <v>0</v>
      </c>
      <c r="AI16" s="480">
        <v>4250000</v>
      </c>
      <c r="AJ16" s="475">
        <v>7500000</v>
      </c>
      <c r="AK16" s="475">
        <v>7500000</v>
      </c>
      <c r="AM16" s="306">
        <v>3250000</v>
      </c>
    </row>
    <row r="17" spans="1:42" hidden="1" x14ac:dyDescent="0.35">
      <c r="A17" s="476" t="s">
        <v>2095</v>
      </c>
      <c r="B17" s="477">
        <v>16500000</v>
      </c>
      <c r="C17" s="212" t="s">
        <v>2544</v>
      </c>
      <c r="D17" s="212">
        <v>15</v>
      </c>
      <c r="E17" s="478">
        <v>20211200000563</v>
      </c>
      <c r="F17" s="479">
        <v>44208</v>
      </c>
      <c r="G17" s="478" t="s">
        <v>2545</v>
      </c>
      <c r="H17" s="212" t="s">
        <v>2546</v>
      </c>
      <c r="I17" s="212" t="s">
        <v>143</v>
      </c>
      <c r="J17" s="475">
        <v>16500000</v>
      </c>
      <c r="K17" s="212" t="s">
        <v>138</v>
      </c>
      <c r="L17" s="212" t="s">
        <v>139</v>
      </c>
      <c r="M17" s="212" t="s">
        <v>44</v>
      </c>
      <c r="N17" s="212" t="s">
        <v>45</v>
      </c>
      <c r="O17" s="212" t="s">
        <v>142</v>
      </c>
      <c r="P17" s="212" t="s">
        <v>43</v>
      </c>
      <c r="R17" s="212">
        <v>16</v>
      </c>
      <c r="S17" s="479">
        <v>44209</v>
      </c>
      <c r="T17" s="212" t="s">
        <v>2586</v>
      </c>
      <c r="U17" s="475">
        <v>16500000</v>
      </c>
      <c r="V17" s="406"/>
      <c r="W17" s="362"/>
      <c r="X17" s="211">
        <v>3</v>
      </c>
      <c r="Y17" s="472">
        <v>44210</v>
      </c>
      <c r="Z17" s="472">
        <v>44210</v>
      </c>
      <c r="AA17" s="472">
        <v>44269</v>
      </c>
      <c r="AB17" s="2" t="s">
        <v>2548</v>
      </c>
      <c r="AC17" s="211">
        <v>758</v>
      </c>
      <c r="AD17" s="2">
        <v>1020754898</v>
      </c>
      <c r="AE17" s="212" t="s">
        <v>2587</v>
      </c>
      <c r="AF17" s="473">
        <v>16500000</v>
      </c>
      <c r="AG17" s="474">
        <f t="shared" si="0"/>
        <v>0</v>
      </c>
      <c r="AI17" s="480">
        <v>3116666</v>
      </c>
      <c r="AJ17" s="475">
        <v>5500000</v>
      </c>
      <c r="AK17" s="475">
        <v>5500000</v>
      </c>
      <c r="AL17" s="475">
        <v>2383333</v>
      </c>
      <c r="AM17" s="212"/>
    </row>
    <row r="18" spans="1:42" hidden="1" x14ac:dyDescent="0.35">
      <c r="A18" s="476" t="s">
        <v>2536</v>
      </c>
      <c r="B18" s="477" t="s">
        <v>2536</v>
      </c>
      <c r="C18" s="212" t="s">
        <v>2588</v>
      </c>
      <c r="D18" s="212">
        <v>16</v>
      </c>
      <c r="E18" s="478">
        <v>20215000000593</v>
      </c>
      <c r="F18" s="479">
        <v>44209</v>
      </c>
      <c r="G18" s="478" t="s">
        <v>2538</v>
      </c>
      <c r="H18" s="212" t="s">
        <v>2539</v>
      </c>
      <c r="I18" s="212" t="s">
        <v>228</v>
      </c>
      <c r="J18" s="475">
        <v>94600000</v>
      </c>
      <c r="K18" s="212" t="s">
        <v>223</v>
      </c>
      <c r="L18" s="212" t="s">
        <v>224</v>
      </c>
      <c r="M18" s="212" t="s">
        <v>44</v>
      </c>
      <c r="N18" s="212" t="s">
        <v>45</v>
      </c>
      <c r="O18" s="212" t="s">
        <v>251</v>
      </c>
      <c r="P18" s="212" t="s">
        <v>674</v>
      </c>
      <c r="R18" s="212">
        <v>17</v>
      </c>
      <c r="S18" s="479">
        <v>44209</v>
      </c>
      <c r="T18" s="212" t="s">
        <v>2589</v>
      </c>
      <c r="U18" s="475">
        <v>94600000</v>
      </c>
      <c r="V18" s="406"/>
      <c r="W18" s="362"/>
      <c r="X18" s="211">
        <v>8</v>
      </c>
      <c r="Y18" s="472">
        <v>44211</v>
      </c>
      <c r="Z18" s="472">
        <v>44211</v>
      </c>
      <c r="AA18" s="472">
        <v>44561</v>
      </c>
      <c r="AB18" s="2" t="s">
        <v>2590</v>
      </c>
      <c r="AC18" s="482">
        <v>20215000001243</v>
      </c>
      <c r="AD18" s="2">
        <v>901145808</v>
      </c>
      <c r="AE18" s="212" t="s">
        <v>2591</v>
      </c>
      <c r="AF18" s="473">
        <v>94600000</v>
      </c>
      <c r="AG18" s="474">
        <f t="shared" si="0"/>
        <v>0</v>
      </c>
      <c r="AH18" s="475">
        <v>2842060</v>
      </c>
      <c r="AJ18" s="475">
        <v>13893730</v>
      </c>
      <c r="AK18" s="475">
        <v>18666130</v>
      </c>
      <c r="AL18" s="475">
        <f>508608-34189</f>
        <v>474419</v>
      </c>
      <c r="AM18" s="306">
        <v>8220469</v>
      </c>
    </row>
    <row r="19" spans="1:42" hidden="1" x14ac:dyDescent="0.35">
      <c r="A19" s="476" t="s">
        <v>1748</v>
      </c>
      <c r="B19" s="477">
        <v>49608000</v>
      </c>
      <c r="C19" s="212" t="s">
        <v>2544</v>
      </c>
      <c r="D19" s="212">
        <v>17</v>
      </c>
      <c r="E19" s="478">
        <v>20215000000603</v>
      </c>
      <c r="F19" s="479">
        <v>44209</v>
      </c>
      <c r="G19" s="478" t="s">
        <v>2538</v>
      </c>
      <c r="H19" s="212" t="s">
        <v>2539</v>
      </c>
      <c r="I19" s="212" t="s">
        <v>228</v>
      </c>
      <c r="J19" s="475">
        <v>49608000</v>
      </c>
      <c r="K19" s="212" t="s">
        <v>223</v>
      </c>
      <c r="L19" s="212" t="s">
        <v>236</v>
      </c>
      <c r="M19" s="212" t="s">
        <v>44</v>
      </c>
      <c r="N19" s="212" t="s">
        <v>45</v>
      </c>
      <c r="O19" s="212" t="s">
        <v>63</v>
      </c>
      <c r="P19" s="212" t="s">
        <v>674</v>
      </c>
      <c r="R19" s="212">
        <v>18</v>
      </c>
      <c r="S19" s="479">
        <v>44209</v>
      </c>
      <c r="T19" s="212" t="s">
        <v>2592</v>
      </c>
      <c r="U19" s="475">
        <f>49608000-5608000</f>
        <v>44000000</v>
      </c>
      <c r="V19" s="411">
        <v>5608000</v>
      </c>
      <c r="W19" s="397"/>
      <c r="X19" s="211">
        <v>14</v>
      </c>
      <c r="Y19" s="472">
        <v>44215</v>
      </c>
      <c r="Z19" s="472">
        <v>44215</v>
      </c>
      <c r="AA19" s="472">
        <v>44549</v>
      </c>
      <c r="AB19" s="2" t="s">
        <v>2548</v>
      </c>
      <c r="AC19" s="211">
        <v>2</v>
      </c>
      <c r="AD19" s="2">
        <v>79787402</v>
      </c>
      <c r="AE19" s="212" t="s">
        <v>2593</v>
      </c>
      <c r="AF19" s="473">
        <v>44000000</v>
      </c>
      <c r="AG19" s="474">
        <f t="shared" si="0"/>
        <v>0</v>
      </c>
      <c r="AJ19" s="475">
        <v>5466667</v>
      </c>
      <c r="AK19" s="475">
        <v>4000000</v>
      </c>
      <c r="AL19" s="475">
        <v>4000000</v>
      </c>
      <c r="AM19" s="306">
        <v>4000000</v>
      </c>
    </row>
    <row r="20" spans="1:42" hidden="1" x14ac:dyDescent="0.35">
      <c r="B20" s="477" t="s">
        <v>2581</v>
      </c>
      <c r="C20" s="212" t="s">
        <v>2544</v>
      </c>
      <c r="D20" s="212">
        <v>18</v>
      </c>
      <c r="E20" s="478">
        <v>20217000000613</v>
      </c>
      <c r="F20" s="479">
        <v>44209</v>
      </c>
      <c r="G20" s="478" t="s">
        <v>2545</v>
      </c>
      <c r="H20" s="212" t="s">
        <v>2546</v>
      </c>
      <c r="I20" s="212" t="s">
        <v>164</v>
      </c>
      <c r="J20" s="475">
        <v>5266818</v>
      </c>
      <c r="K20" s="212" t="s">
        <v>138</v>
      </c>
      <c r="L20" s="212" t="s">
        <v>139</v>
      </c>
      <c r="M20" s="212" t="s">
        <v>44</v>
      </c>
      <c r="N20" s="212" t="s">
        <v>45</v>
      </c>
      <c r="O20" s="212" t="s">
        <v>142</v>
      </c>
      <c r="P20" s="212" t="s">
        <v>43</v>
      </c>
      <c r="R20" s="212">
        <v>19</v>
      </c>
      <c r="S20" s="479">
        <v>44209</v>
      </c>
      <c r="T20" s="212" t="s">
        <v>2594</v>
      </c>
      <c r="U20" s="475">
        <v>5266818</v>
      </c>
      <c r="V20" s="406"/>
      <c r="W20" s="362"/>
      <c r="X20" s="211">
        <v>25</v>
      </c>
      <c r="Y20" s="472">
        <v>44218</v>
      </c>
      <c r="Z20" s="472">
        <v>44220</v>
      </c>
      <c r="AA20" s="472">
        <v>44278</v>
      </c>
      <c r="AB20" s="2" t="s">
        <v>2548</v>
      </c>
      <c r="AC20" s="211">
        <v>434</v>
      </c>
      <c r="AD20" s="2">
        <v>79763003</v>
      </c>
      <c r="AE20" s="212" t="s">
        <v>2595</v>
      </c>
      <c r="AF20" s="473">
        <v>5266818</v>
      </c>
      <c r="AG20" s="474">
        <f t="shared" si="0"/>
        <v>0</v>
      </c>
      <c r="AI20" s="480">
        <v>2633409</v>
      </c>
      <c r="AJ20" s="475">
        <v>2633409</v>
      </c>
      <c r="AM20" s="212"/>
    </row>
    <row r="21" spans="1:42" hidden="1" x14ac:dyDescent="0.35">
      <c r="B21" s="477" t="s">
        <v>2581</v>
      </c>
      <c r="C21" s="212" t="s">
        <v>2544</v>
      </c>
      <c r="D21" s="212">
        <v>19</v>
      </c>
      <c r="E21" s="478">
        <v>20217000000633</v>
      </c>
      <c r="F21" s="479">
        <v>44209</v>
      </c>
      <c r="G21" s="478" t="s">
        <v>2545</v>
      </c>
      <c r="H21" s="212" t="s">
        <v>2546</v>
      </c>
      <c r="I21" s="212" t="s">
        <v>164</v>
      </c>
      <c r="J21" s="475">
        <v>5266818</v>
      </c>
      <c r="K21" s="212" t="s">
        <v>138</v>
      </c>
      <c r="L21" s="212" t="s">
        <v>139</v>
      </c>
      <c r="M21" s="212" t="s">
        <v>44</v>
      </c>
      <c r="N21" s="212" t="s">
        <v>45</v>
      </c>
      <c r="O21" s="212" t="s">
        <v>142</v>
      </c>
      <c r="P21" s="212" t="s">
        <v>43</v>
      </c>
      <c r="R21" s="212">
        <v>20</v>
      </c>
      <c r="S21" s="479">
        <v>44209</v>
      </c>
      <c r="T21" s="212" t="s">
        <v>2596</v>
      </c>
      <c r="U21" s="475">
        <v>5266818</v>
      </c>
      <c r="V21" s="406"/>
      <c r="W21" s="362"/>
      <c r="X21" s="211">
        <v>24</v>
      </c>
      <c r="Y21" s="472">
        <v>44218</v>
      </c>
      <c r="Z21" s="472">
        <v>44221</v>
      </c>
      <c r="AA21" s="472">
        <v>44279</v>
      </c>
      <c r="AB21" s="2" t="s">
        <v>2548</v>
      </c>
      <c r="AC21" s="211">
        <v>438</v>
      </c>
      <c r="AD21" s="2">
        <v>52766365</v>
      </c>
      <c r="AE21" s="212" t="s">
        <v>2597</v>
      </c>
      <c r="AF21" s="473">
        <v>5266818</v>
      </c>
      <c r="AG21" s="474">
        <f t="shared" si="0"/>
        <v>0</v>
      </c>
      <c r="AI21" s="480">
        <v>2633409</v>
      </c>
      <c r="AJ21" s="475">
        <v>2633409</v>
      </c>
      <c r="AM21" s="212"/>
    </row>
    <row r="22" spans="1:42" hidden="1" x14ac:dyDescent="0.35">
      <c r="B22" s="477" t="s">
        <v>2581</v>
      </c>
      <c r="C22" s="212" t="s">
        <v>2544</v>
      </c>
      <c r="D22" s="212">
        <v>20</v>
      </c>
      <c r="E22" s="478">
        <v>20217000000673</v>
      </c>
      <c r="F22" s="479">
        <v>44209</v>
      </c>
      <c r="G22" s="478" t="s">
        <v>2545</v>
      </c>
      <c r="H22" s="212" t="s">
        <v>2546</v>
      </c>
      <c r="I22" s="212" t="s">
        <v>164</v>
      </c>
      <c r="J22" s="475">
        <v>14040000</v>
      </c>
      <c r="K22" s="212" t="s">
        <v>138</v>
      </c>
      <c r="L22" s="212" t="s">
        <v>139</v>
      </c>
      <c r="M22" s="212" t="s">
        <v>44</v>
      </c>
      <c r="N22" s="212" t="s">
        <v>45</v>
      </c>
      <c r="O22" s="212" t="s">
        <v>142</v>
      </c>
      <c r="P22" s="212" t="s">
        <v>43</v>
      </c>
      <c r="R22" s="212">
        <v>21</v>
      </c>
      <c r="S22" s="479">
        <v>44209</v>
      </c>
      <c r="T22" s="212" t="s">
        <v>2598</v>
      </c>
      <c r="U22" s="475">
        <v>14040000</v>
      </c>
      <c r="V22" s="406"/>
      <c r="W22" s="362"/>
      <c r="X22" s="211">
        <v>47</v>
      </c>
      <c r="Y22" s="472">
        <v>44224</v>
      </c>
      <c r="Z22" s="472">
        <v>44225</v>
      </c>
      <c r="AA22" s="472">
        <v>44283</v>
      </c>
      <c r="AB22" s="2" t="s">
        <v>2548</v>
      </c>
      <c r="AC22" s="211">
        <v>475</v>
      </c>
      <c r="AD22" s="2">
        <v>79971696</v>
      </c>
      <c r="AE22" s="212" t="s">
        <v>2599</v>
      </c>
      <c r="AF22" s="473">
        <v>14040000</v>
      </c>
      <c r="AG22" s="474">
        <f t="shared" si="0"/>
        <v>0</v>
      </c>
      <c r="AI22" s="475">
        <v>7020000</v>
      </c>
      <c r="AJ22" s="475">
        <v>7020000</v>
      </c>
      <c r="AM22" s="212"/>
    </row>
    <row r="23" spans="1:42" hidden="1" x14ac:dyDescent="0.35">
      <c r="B23" s="477" t="s">
        <v>2581</v>
      </c>
      <c r="C23" s="212" t="s">
        <v>2544</v>
      </c>
      <c r="D23" s="212">
        <v>21</v>
      </c>
      <c r="E23" s="478">
        <v>20217000000683</v>
      </c>
      <c r="F23" s="479">
        <v>44209</v>
      </c>
      <c r="G23" s="478" t="s">
        <v>2545</v>
      </c>
      <c r="H23" s="212" t="s">
        <v>2546</v>
      </c>
      <c r="I23" s="212" t="s">
        <v>164</v>
      </c>
      <c r="J23" s="475">
        <v>17000000</v>
      </c>
      <c r="K23" s="212" t="s">
        <v>138</v>
      </c>
      <c r="L23" s="212" t="s">
        <v>139</v>
      </c>
      <c r="M23" s="212" t="s">
        <v>44</v>
      </c>
      <c r="N23" s="212" t="s">
        <v>45</v>
      </c>
      <c r="O23" s="212" t="s">
        <v>142</v>
      </c>
      <c r="P23" s="212" t="s">
        <v>43</v>
      </c>
      <c r="R23" s="212">
        <v>22</v>
      </c>
      <c r="S23" s="479">
        <v>44209</v>
      </c>
      <c r="T23" s="212" t="s">
        <v>2600</v>
      </c>
      <c r="U23" s="475">
        <v>17000000</v>
      </c>
      <c r="V23" s="406"/>
      <c r="W23" s="362"/>
      <c r="X23" s="211">
        <v>27</v>
      </c>
      <c r="Y23" s="472">
        <v>44218</v>
      </c>
      <c r="Z23" s="472">
        <v>44226</v>
      </c>
      <c r="AA23" s="472">
        <v>44284</v>
      </c>
      <c r="AB23" s="2" t="s">
        <v>2548</v>
      </c>
      <c r="AC23" s="211">
        <v>474</v>
      </c>
      <c r="AD23" s="2">
        <v>79294836</v>
      </c>
      <c r="AE23" s="212" t="s">
        <v>2601</v>
      </c>
      <c r="AF23" s="473">
        <v>17000000</v>
      </c>
      <c r="AG23" s="474">
        <f t="shared" si="0"/>
        <v>0</v>
      </c>
      <c r="AI23" s="475">
        <v>8500000</v>
      </c>
      <c r="AJ23" s="475">
        <v>8500000</v>
      </c>
      <c r="AM23" s="212"/>
    </row>
    <row r="24" spans="1:42" hidden="1" x14ac:dyDescent="0.35">
      <c r="B24" s="477" t="s">
        <v>2581</v>
      </c>
      <c r="C24" s="212" t="s">
        <v>2544</v>
      </c>
      <c r="D24" s="212">
        <v>22</v>
      </c>
      <c r="E24" s="478">
        <v>20217000000693</v>
      </c>
      <c r="F24" s="479">
        <v>44209</v>
      </c>
      <c r="G24" s="478" t="s">
        <v>2545</v>
      </c>
      <c r="H24" s="212" t="s">
        <v>2546</v>
      </c>
      <c r="I24" s="212" t="s">
        <v>164</v>
      </c>
      <c r="J24" s="475">
        <v>13576686</v>
      </c>
      <c r="K24" s="212" t="s">
        <v>138</v>
      </c>
      <c r="L24" s="212" t="s">
        <v>139</v>
      </c>
      <c r="M24" s="212" t="s">
        <v>44</v>
      </c>
      <c r="N24" s="212" t="s">
        <v>45</v>
      </c>
      <c r="O24" s="212" t="s">
        <v>142</v>
      </c>
      <c r="P24" s="212" t="s">
        <v>43</v>
      </c>
      <c r="R24" s="212">
        <v>23</v>
      </c>
      <c r="S24" s="479">
        <v>44209</v>
      </c>
      <c r="T24" s="212" t="s">
        <v>2602</v>
      </c>
      <c r="U24" s="475">
        <v>13576686</v>
      </c>
      <c r="V24" s="406"/>
      <c r="W24" s="362"/>
      <c r="X24" s="483">
        <v>130</v>
      </c>
      <c r="Y24" s="484">
        <v>44239</v>
      </c>
      <c r="Z24" s="484">
        <v>44242</v>
      </c>
      <c r="AA24" s="484">
        <v>44298</v>
      </c>
      <c r="AB24" s="485" t="s">
        <v>2548</v>
      </c>
      <c r="AC24" s="483">
        <v>482</v>
      </c>
      <c r="AD24" s="485">
        <v>53100506</v>
      </c>
      <c r="AE24" s="486" t="s">
        <v>2603</v>
      </c>
      <c r="AF24" s="473">
        <v>13576686</v>
      </c>
      <c r="AG24" s="474">
        <f t="shared" si="0"/>
        <v>0</v>
      </c>
      <c r="AJ24" s="475">
        <v>7022424</v>
      </c>
      <c r="AK24" s="475">
        <v>3745294</v>
      </c>
      <c r="AL24" s="475">
        <v>2808968</v>
      </c>
      <c r="AM24" s="212"/>
    </row>
    <row r="25" spans="1:42" hidden="1" x14ac:dyDescent="0.35">
      <c r="A25" s="476" t="s">
        <v>2604</v>
      </c>
      <c r="B25" s="477">
        <v>136056666</v>
      </c>
      <c r="C25" s="212" t="s">
        <v>2544</v>
      </c>
      <c r="D25" s="212">
        <v>23</v>
      </c>
      <c r="E25" s="478">
        <v>20214000000703</v>
      </c>
      <c r="F25" s="479">
        <v>44210</v>
      </c>
      <c r="G25" s="478" t="s">
        <v>2571</v>
      </c>
      <c r="H25" s="212" t="s">
        <v>2572</v>
      </c>
      <c r="I25" s="212" t="s">
        <v>117</v>
      </c>
      <c r="J25" s="475">
        <v>136056666</v>
      </c>
      <c r="K25" s="212" t="s">
        <v>112</v>
      </c>
      <c r="L25" s="212" t="s">
        <v>2573</v>
      </c>
      <c r="M25" s="212" t="s">
        <v>44</v>
      </c>
      <c r="N25" s="212" t="s">
        <v>45</v>
      </c>
      <c r="O25" s="212" t="s">
        <v>63</v>
      </c>
      <c r="P25" s="212" t="s">
        <v>43</v>
      </c>
      <c r="R25" s="212">
        <v>24</v>
      </c>
      <c r="S25" s="479">
        <v>44210</v>
      </c>
      <c r="T25" s="212" t="s">
        <v>2605</v>
      </c>
      <c r="U25" s="475">
        <v>136056666</v>
      </c>
      <c r="V25" s="406"/>
      <c r="W25" s="362"/>
      <c r="X25" s="32">
        <v>78</v>
      </c>
      <c r="Y25" s="484">
        <v>44232</v>
      </c>
      <c r="Z25" s="484">
        <v>44232</v>
      </c>
      <c r="AA25" s="484">
        <v>44561</v>
      </c>
      <c r="AB25" s="485" t="s">
        <v>2548</v>
      </c>
      <c r="AC25" s="211">
        <v>42</v>
      </c>
      <c r="AD25" s="487">
        <v>901014925</v>
      </c>
      <c r="AE25" s="486" t="s">
        <v>2606</v>
      </c>
      <c r="AF25" s="473">
        <v>126933333</v>
      </c>
      <c r="AG25" s="474">
        <f t="shared" si="0"/>
        <v>9123333</v>
      </c>
      <c r="AK25" s="475">
        <v>11900000</v>
      </c>
      <c r="AL25" s="475">
        <v>23800000</v>
      </c>
      <c r="AM25" s="306">
        <v>11900000</v>
      </c>
    </row>
    <row r="26" spans="1:42" hidden="1" x14ac:dyDescent="0.35">
      <c r="A26" s="476" t="s">
        <v>2146</v>
      </c>
      <c r="B26" s="477">
        <v>27000000</v>
      </c>
      <c r="C26" s="212" t="s">
        <v>2544</v>
      </c>
      <c r="D26" s="212">
        <v>24</v>
      </c>
      <c r="E26" s="478">
        <v>20214000000753</v>
      </c>
      <c r="F26" s="479">
        <v>44210</v>
      </c>
      <c r="G26" s="478" t="s">
        <v>2571</v>
      </c>
      <c r="H26" s="212" t="s">
        <v>2572</v>
      </c>
      <c r="I26" s="212" t="s">
        <v>117</v>
      </c>
      <c r="J26" s="475">
        <v>27000000</v>
      </c>
      <c r="K26" s="212" t="s">
        <v>112</v>
      </c>
      <c r="L26" s="212" t="s">
        <v>2573</v>
      </c>
      <c r="M26" s="212" t="s">
        <v>44</v>
      </c>
      <c r="N26" s="212" t="s">
        <v>45</v>
      </c>
      <c r="O26" s="212" t="s">
        <v>63</v>
      </c>
      <c r="P26" s="212" t="s">
        <v>43</v>
      </c>
      <c r="R26" s="212">
        <v>27</v>
      </c>
      <c r="S26" s="479">
        <v>44210</v>
      </c>
      <c r="T26" s="212" t="s">
        <v>2607</v>
      </c>
      <c r="U26" s="475">
        <v>27000000</v>
      </c>
      <c r="V26" s="406"/>
      <c r="W26" s="362"/>
      <c r="X26" s="308">
        <v>63</v>
      </c>
      <c r="Y26" s="472">
        <v>44229</v>
      </c>
      <c r="Z26" s="472">
        <v>44229</v>
      </c>
      <c r="AA26" s="472">
        <v>44502</v>
      </c>
      <c r="AB26" s="2" t="s">
        <v>2548</v>
      </c>
      <c r="AC26" s="211">
        <v>29</v>
      </c>
      <c r="AD26" s="2">
        <v>80796522</v>
      </c>
      <c r="AE26" s="212" t="s">
        <v>2608</v>
      </c>
      <c r="AF26" s="473">
        <v>27000000</v>
      </c>
      <c r="AG26" s="474">
        <f t="shared" si="0"/>
        <v>0</v>
      </c>
      <c r="AK26" s="475">
        <f>2600000+3000000</f>
        <v>5600000</v>
      </c>
      <c r="AL26" s="475">
        <v>3000000</v>
      </c>
      <c r="AM26" s="306">
        <v>3000000</v>
      </c>
    </row>
    <row r="27" spans="1:42" hidden="1" x14ac:dyDescent="0.35">
      <c r="A27" s="476" t="s">
        <v>1895</v>
      </c>
      <c r="B27" s="477">
        <v>36950520</v>
      </c>
      <c r="C27" s="212" t="s">
        <v>2544</v>
      </c>
      <c r="D27" s="212">
        <v>25</v>
      </c>
      <c r="E27" s="478">
        <v>20212000000723</v>
      </c>
      <c r="F27" s="479">
        <v>44210</v>
      </c>
      <c r="G27" s="478" t="s">
        <v>2538</v>
      </c>
      <c r="H27" s="212" t="s">
        <v>2539</v>
      </c>
      <c r="I27" s="212" t="s">
        <v>391</v>
      </c>
      <c r="J27" s="475">
        <v>35593580</v>
      </c>
      <c r="K27" s="210" t="s">
        <v>2609</v>
      </c>
      <c r="L27" s="212" t="s">
        <v>2610</v>
      </c>
      <c r="M27" s="212" t="s">
        <v>44</v>
      </c>
      <c r="N27" s="212" t="s">
        <v>45</v>
      </c>
      <c r="O27" s="212" t="s">
        <v>63</v>
      </c>
      <c r="P27" s="212" t="s">
        <v>674</v>
      </c>
      <c r="R27" s="212">
        <v>25</v>
      </c>
      <c r="S27" s="479">
        <v>44210</v>
      </c>
      <c r="T27" s="212" t="s">
        <v>2611</v>
      </c>
      <c r="U27" s="475">
        <f>35593580-2713880</f>
        <v>32879700</v>
      </c>
      <c r="V27" s="411">
        <v>2713880</v>
      </c>
      <c r="W27" s="397"/>
      <c r="X27" s="308">
        <v>75</v>
      </c>
      <c r="Y27" s="484">
        <v>44231</v>
      </c>
      <c r="Z27" s="484">
        <v>44231</v>
      </c>
      <c r="AA27" s="484">
        <v>44561</v>
      </c>
      <c r="AB27" s="485" t="s">
        <v>2548</v>
      </c>
      <c r="AC27" s="211">
        <v>32</v>
      </c>
      <c r="AD27" s="487">
        <v>80197560</v>
      </c>
      <c r="AE27" s="486" t="s">
        <v>2612</v>
      </c>
      <c r="AF27" s="473">
        <v>32879700</v>
      </c>
      <c r="AG27" s="474">
        <f t="shared" si="0"/>
        <v>0</v>
      </c>
      <c r="AJ27" s="475">
        <v>2505120</v>
      </c>
      <c r="AK27" s="475">
        <v>3131400</v>
      </c>
      <c r="AL27" s="475">
        <v>3131400</v>
      </c>
      <c r="AM27" s="306">
        <v>3131400</v>
      </c>
    </row>
    <row r="28" spans="1:42" s="312" customFormat="1" hidden="1" x14ac:dyDescent="0.35">
      <c r="A28" s="361"/>
      <c r="B28" s="417"/>
      <c r="C28" s="312" t="s">
        <v>2544</v>
      </c>
      <c r="D28" s="312">
        <v>26</v>
      </c>
      <c r="E28" s="325">
        <v>20212000000733</v>
      </c>
      <c r="F28" s="315">
        <v>44210</v>
      </c>
      <c r="G28" s="325" t="s">
        <v>2538</v>
      </c>
      <c r="H28" s="312" t="s">
        <v>2539</v>
      </c>
      <c r="I28" s="312" t="s">
        <v>391</v>
      </c>
      <c r="J28" s="405">
        <v>41738400</v>
      </c>
      <c r="K28" s="312" t="s">
        <v>2609</v>
      </c>
      <c r="L28" s="312" t="s">
        <v>2610</v>
      </c>
      <c r="M28" s="312" t="s">
        <v>44</v>
      </c>
      <c r="N28" s="312" t="s">
        <v>45</v>
      </c>
      <c r="O28" s="312" t="s">
        <v>63</v>
      </c>
      <c r="P28" s="312" t="s">
        <v>674</v>
      </c>
      <c r="R28" s="312">
        <v>26</v>
      </c>
      <c r="S28" s="315">
        <v>44210</v>
      </c>
      <c r="T28" s="312" t="s">
        <v>2613</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x14ac:dyDescent="0.35">
      <c r="A29" s="476" t="s">
        <v>1807</v>
      </c>
      <c r="B29" s="477">
        <v>40800000</v>
      </c>
      <c r="C29" s="212" t="s">
        <v>2544</v>
      </c>
      <c r="D29" s="212">
        <v>27</v>
      </c>
      <c r="E29" s="478">
        <v>20215000000793</v>
      </c>
      <c r="F29" s="479">
        <v>44210</v>
      </c>
      <c r="G29" s="478" t="s">
        <v>2538</v>
      </c>
      <c r="H29" s="212" t="s">
        <v>2539</v>
      </c>
      <c r="I29" s="212" t="s">
        <v>228</v>
      </c>
      <c r="J29" s="475">
        <v>34000000</v>
      </c>
      <c r="K29" s="212" t="s">
        <v>223</v>
      </c>
      <c r="L29" s="212" t="s">
        <v>236</v>
      </c>
      <c r="M29" s="212" t="s">
        <v>44</v>
      </c>
      <c r="N29" s="212" t="s">
        <v>45</v>
      </c>
      <c r="O29" s="212" t="s">
        <v>63</v>
      </c>
      <c r="P29" s="212" t="s">
        <v>674</v>
      </c>
      <c r="R29" s="212">
        <v>28</v>
      </c>
      <c r="S29" s="479">
        <v>44210</v>
      </c>
      <c r="T29" s="212" t="s">
        <v>2614</v>
      </c>
      <c r="U29" s="475">
        <f>34000000-1000000</f>
        <v>33000000</v>
      </c>
      <c r="V29" s="411">
        <v>1000000</v>
      </c>
      <c r="W29" s="397"/>
      <c r="X29" s="211">
        <v>19</v>
      </c>
      <c r="Y29" s="472">
        <v>44216</v>
      </c>
      <c r="Z29" s="472">
        <v>44216</v>
      </c>
      <c r="AA29" s="472">
        <v>44550</v>
      </c>
      <c r="AB29" s="2" t="s">
        <v>2548</v>
      </c>
      <c r="AC29" s="211">
        <v>7</v>
      </c>
      <c r="AD29" s="2">
        <v>1010044231</v>
      </c>
      <c r="AE29" s="212" t="s">
        <v>2615</v>
      </c>
      <c r="AF29" s="473">
        <v>33000000</v>
      </c>
      <c r="AG29" s="474">
        <f t="shared" si="0"/>
        <v>0</v>
      </c>
      <c r="AJ29" s="475">
        <v>3600000</v>
      </c>
      <c r="AK29" s="475">
        <v>3000000</v>
      </c>
      <c r="AL29" s="475">
        <v>3000000</v>
      </c>
      <c r="AM29" s="306">
        <v>3000000</v>
      </c>
    </row>
    <row r="30" spans="1:42" hidden="1" x14ac:dyDescent="0.35">
      <c r="B30" s="477" t="s">
        <v>2581</v>
      </c>
      <c r="C30" s="212" t="s">
        <v>2544</v>
      </c>
      <c r="D30" s="212">
        <v>28</v>
      </c>
      <c r="E30" s="478">
        <v>20211300001153</v>
      </c>
      <c r="F30" s="479">
        <v>44211</v>
      </c>
      <c r="G30" s="478" t="s">
        <v>2545</v>
      </c>
      <c r="H30" s="212" t="s">
        <v>2546</v>
      </c>
      <c r="I30" s="212" t="s">
        <v>210</v>
      </c>
      <c r="J30" s="475">
        <v>7900000</v>
      </c>
      <c r="K30" s="212" t="s">
        <v>138</v>
      </c>
      <c r="L30" s="212" t="s">
        <v>139</v>
      </c>
      <c r="M30" s="212" t="s">
        <v>44</v>
      </c>
      <c r="N30" s="212" t="s">
        <v>45</v>
      </c>
      <c r="O30" s="212" t="s">
        <v>142</v>
      </c>
      <c r="P30" s="212" t="s">
        <v>43</v>
      </c>
      <c r="R30" s="212">
        <v>42</v>
      </c>
      <c r="S30" s="479">
        <v>44211</v>
      </c>
      <c r="T30" s="212" t="s">
        <v>2616</v>
      </c>
      <c r="U30" s="475">
        <v>7900000</v>
      </c>
      <c r="V30" s="406"/>
      <c r="W30" s="362"/>
      <c r="X30" s="308">
        <v>55</v>
      </c>
      <c r="Y30" s="472">
        <v>44228</v>
      </c>
      <c r="Z30" s="472">
        <v>44228</v>
      </c>
      <c r="AA30" s="472">
        <v>44286</v>
      </c>
      <c r="AB30" s="2" t="s">
        <v>2548</v>
      </c>
      <c r="AC30" s="211">
        <v>427</v>
      </c>
      <c r="AD30" s="2">
        <v>80174339</v>
      </c>
      <c r="AE30" s="212" t="s">
        <v>2617</v>
      </c>
      <c r="AF30" s="473">
        <v>7900000</v>
      </c>
      <c r="AG30" s="474">
        <f t="shared" si="0"/>
        <v>0</v>
      </c>
      <c r="AJ30" s="475">
        <v>3950000</v>
      </c>
      <c r="AL30" s="475">
        <v>3950000</v>
      </c>
      <c r="AM30" s="212"/>
    </row>
    <row r="31" spans="1:42" hidden="1" x14ac:dyDescent="0.35">
      <c r="A31" s="476" t="s">
        <v>1996</v>
      </c>
      <c r="B31" s="477">
        <v>64900000</v>
      </c>
      <c r="C31" s="212" t="s">
        <v>2544</v>
      </c>
      <c r="D31" s="212">
        <v>29</v>
      </c>
      <c r="E31" s="478">
        <v>20215000000833</v>
      </c>
      <c r="F31" s="479">
        <v>44211</v>
      </c>
      <c r="G31" s="478" t="s">
        <v>2538</v>
      </c>
      <c r="H31" s="212" t="s">
        <v>2539</v>
      </c>
      <c r="I31" s="212" t="s">
        <v>228</v>
      </c>
      <c r="J31" s="475">
        <v>64900000</v>
      </c>
      <c r="K31" s="212" t="s">
        <v>223</v>
      </c>
      <c r="L31" s="212" t="s">
        <v>233</v>
      </c>
      <c r="M31" s="212" t="s">
        <v>44</v>
      </c>
      <c r="N31" s="212" t="s">
        <v>45</v>
      </c>
      <c r="O31" s="212" t="s">
        <v>63</v>
      </c>
      <c r="P31" s="212" t="s">
        <v>674</v>
      </c>
      <c r="R31" s="212">
        <v>31</v>
      </c>
      <c r="S31" s="479">
        <v>44211</v>
      </c>
      <c r="T31" s="212" t="s">
        <v>2618</v>
      </c>
      <c r="U31" s="475">
        <v>64900000</v>
      </c>
      <c r="V31" s="406"/>
      <c r="W31" s="362"/>
      <c r="X31" s="211">
        <v>41</v>
      </c>
      <c r="Y31" s="472">
        <v>44224</v>
      </c>
      <c r="Z31" s="472">
        <v>44224</v>
      </c>
      <c r="AA31" s="472">
        <v>44558</v>
      </c>
      <c r="AB31" s="2" t="s">
        <v>2548</v>
      </c>
      <c r="AC31" s="211">
        <v>16</v>
      </c>
      <c r="AD31" s="2">
        <v>1013629185</v>
      </c>
      <c r="AE31" s="212" t="s">
        <v>2619</v>
      </c>
      <c r="AF31" s="473">
        <v>64900000</v>
      </c>
      <c r="AG31" s="474">
        <f t="shared" si="0"/>
        <v>0</v>
      </c>
      <c r="AJ31" s="475">
        <v>6490000</v>
      </c>
      <c r="AK31" s="475">
        <v>5900000</v>
      </c>
      <c r="AL31" s="475">
        <v>5900000</v>
      </c>
      <c r="AM31" s="306">
        <v>5900000</v>
      </c>
    </row>
    <row r="32" spans="1:42" hidden="1" x14ac:dyDescent="0.35">
      <c r="A32" s="476" t="s">
        <v>1996</v>
      </c>
      <c r="B32" s="477">
        <v>64900000</v>
      </c>
      <c r="C32" s="212" t="s">
        <v>2544</v>
      </c>
      <c r="D32" s="212">
        <v>30</v>
      </c>
      <c r="E32" s="478">
        <v>20215000000843</v>
      </c>
      <c r="F32" s="479">
        <v>44211</v>
      </c>
      <c r="G32" s="478" t="s">
        <v>2538</v>
      </c>
      <c r="H32" s="212" t="s">
        <v>2539</v>
      </c>
      <c r="I32" s="212" t="s">
        <v>228</v>
      </c>
      <c r="J32" s="475">
        <v>64900000</v>
      </c>
      <c r="K32" s="212" t="s">
        <v>223</v>
      </c>
      <c r="L32" s="212" t="s">
        <v>233</v>
      </c>
      <c r="M32" s="212" t="s">
        <v>44</v>
      </c>
      <c r="N32" s="212" t="s">
        <v>45</v>
      </c>
      <c r="O32" s="212" t="s">
        <v>63</v>
      </c>
      <c r="P32" s="212" t="s">
        <v>674</v>
      </c>
      <c r="R32" s="212">
        <v>32</v>
      </c>
      <c r="S32" s="479">
        <v>44211</v>
      </c>
      <c r="T32" s="212" t="s">
        <v>2618</v>
      </c>
      <c r="U32" s="475">
        <f>64900000-9250000</f>
        <v>55650000</v>
      </c>
      <c r="V32" s="411">
        <v>9250000</v>
      </c>
      <c r="W32" s="397"/>
      <c r="X32" s="483">
        <v>122</v>
      </c>
      <c r="Y32" s="484">
        <v>44239</v>
      </c>
      <c r="Z32" s="484">
        <v>44239</v>
      </c>
      <c r="AA32" s="484">
        <v>44561</v>
      </c>
      <c r="AB32" s="485" t="s">
        <v>2548</v>
      </c>
      <c r="AC32" s="483">
        <v>75</v>
      </c>
      <c r="AD32" s="485">
        <v>31832625</v>
      </c>
      <c r="AE32" s="486" t="s">
        <v>2620</v>
      </c>
      <c r="AF32" s="473">
        <v>55650000</v>
      </c>
      <c r="AG32" s="474">
        <f t="shared" si="0"/>
        <v>0</v>
      </c>
      <c r="AJ32" s="475">
        <v>3003333</v>
      </c>
      <c r="AK32" s="475">
        <v>5300000</v>
      </c>
      <c r="AL32" s="475">
        <v>5300000</v>
      </c>
      <c r="AM32" s="306">
        <v>5300000</v>
      </c>
      <c r="AP32" s="389"/>
    </row>
    <row r="33" spans="1:39" hidden="1" x14ac:dyDescent="0.35">
      <c r="A33" s="476" t="s">
        <v>1996</v>
      </c>
      <c r="B33" s="477">
        <v>64900000</v>
      </c>
      <c r="C33" s="212" t="s">
        <v>2544</v>
      </c>
      <c r="D33" s="212">
        <v>31</v>
      </c>
      <c r="E33" s="478">
        <v>20215000000853</v>
      </c>
      <c r="F33" s="479">
        <v>44211</v>
      </c>
      <c r="G33" s="478" t="s">
        <v>2538</v>
      </c>
      <c r="H33" s="212" t="s">
        <v>2539</v>
      </c>
      <c r="I33" s="212" t="s">
        <v>228</v>
      </c>
      <c r="J33" s="475">
        <v>64900000</v>
      </c>
      <c r="K33" s="212" t="s">
        <v>223</v>
      </c>
      <c r="L33" s="212" t="s">
        <v>233</v>
      </c>
      <c r="M33" s="212" t="s">
        <v>44</v>
      </c>
      <c r="N33" s="212" t="s">
        <v>45</v>
      </c>
      <c r="O33" s="212" t="s">
        <v>63</v>
      </c>
      <c r="P33" s="212" t="s">
        <v>674</v>
      </c>
      <c r="R33" s="212">
        <v>33</v>
      </c>
      <c r="S33" s="479">
        <v>44211</v>
      </c>
      <c r="T33" s="212" t="s">
        <v>2618</v>
      </c>
      <c r="U33" s="475">
        <v>64900000</v>
      </c>
      <c r="V33" s="406"/>
      <c r="W33" s="362"/>
      <c r="X33" s="211">
        <v>48</v>
      </c>
      <c r="Y33" s="472">
        <v>44224</v>
      </c>
      <c r="Z33" s="472">
        <v>44224</v>
      </c>
      <c r="AA33" s="472">
        <v>44558</v>
      </c>
      <c r="AB33" s="2" t="s">
        <v>2548</v>
      </c>
      <c r="AC33" s="211">
        <v>19</v>
      </c>
      <c r="AD33" s="2">
        <v>1019004199</v>
      </c>
      <c r="AE33" s="212" t="s">
        <v>2621</v>
      </c>
      <c r="AF33" s="473">
        <v>64900000</v>
      </c>
      <c r="AG33" s="474">
        <f t="shared" si="0"/>
        <v>0</v>
      </c>
      <c r="AJ33" s="475">
        <v>6293333</v>
      </c>
      <c r="AK33" s="475">
        <v>5900000</v>
      </c>
      <c r="AL33" s="475">
        <v>5900000</v>
      </c>
      <c r="AM33" s="306">
        <v>5900000</v>
      </c>
    </row>
    <row r="34" spans="1:39" hidden="1" x14ac:dyDescent="0.35">
      <c r="A34" s="476" t="s">
        <v>1996</v>
      </c>
      <c r="B34" s="477">
        <v>64900000</v>
      </c>
      <c r="C34" s="212" t="s">
        <v>2544</v>
      </c>
      <c r="D34" s="212">
        <v>32</v>
      </c>
      <c r="E34" s="478">
        <v>20215000000863</v>
      </c>
      <c r="F34" s="479">
        <v>44211</v>
      </c>
      <c r="G34" s="478" t="s">
        <v>2538</v>
      </c>
      <c r="H34" s="212" t="s">
        <v>2539</v>
      </c>
      <c r="I34" s="212" t="s">
        <v>228</v>
      </c>
      <c r="J34" s="475">
        <v>64900000</v>
      </c>
      <c r="K34" s="212" t="s">
        <v>223</v>
      </c>
      <c r="L34" s="212" t="s">
        <v>233</v>
      </c>
      <c r="M34" s="212" t="s">
        <v>44</v>
      </c>
      <c r="N34" s="212" t="s">
        <v>45</v>
      </c>
      <c r="O34" s="212" t="s">
        <v>63</v>
      </c>
      <c r="P34" s="212" t="s">
        <v>674</v>
      </c>
      <c r="R34" s="212">
        <v>43</v>
      </c>
      <c r="S34" s="479">
        <v>44214</v>
      </c>
      <c r="T34" s="212" t="s">
        <v>2618</v>
      </c>
      <c r="U34" s="475">
        <v>64900000</v>
      </c>
      <c r="V34" s="406"/>
      <c r="W34" s="362"/>
      <c r="X34" s="211">
        <v>46</v>
      </c>
      <c r="Y34" s="472">
        <v>44224</v>
      </c>
      <c r="Z34" s="472">
        <v>44224</v>
      </c>
      <c r="AA34" s="472">
        <v>44558</v>
      </c>
      <c r="AB34" s="2" t="s">
        <v>2548</v>
      </c>
      <c r="AC34" s="211">
        <v>18</v>
      </c>
      <c r="AD34" s="2">
        <v>79751603</v>
      </c>
      <c r="AE34" s="212" t="s">
        <v>2622</v>
      </c>
      <c r="AF34" s="473">
        <v>64900000</v>
      </c>
      <c r="AG34" s="474">
        <f t="shared" si="0"/>
        <v>0</v>
      </c>
      <c r="AJ34" s="475">
        <v>6293333</v>
      </c>
      <c r="AK34" s="475">
        <v>5900000</v>
      </c>
      <c r="AL34" s="475">
        <v>5900000</v>
      </c>
      <c r="AM34" s="306">
        <v>5900000</v>
      </c>
    </row>
    <row r="35" spans="1:39" hidden="1" x14ac:dyDescent="0.35">
      <c r="A35" s="476" t="s">
        <v>2000</v>
      </c>
      <c r="B35" s="477">
        <v>33000000</v>
      </c>
      <c r="C35" s="212" t="s">
        <v>2544</v>
      </c>
      <c r="D35" s="212">
        <v>33</v>
      </c>
      <c r="E35" s="478">
        <v>20215000002823</v>
      </c>
      <c r="F35" s="479">
        <v>44225</v>
      </c>
      <c r="G35" s="478" t="s">
        <v>2538</v>
      </c>
      <c r="H35" s="212" t="s">
        <v>2539</v>
      </c>
      <c r="I35" s="212" t="s">
        <v>228</v>
      </c>
      <c r="J35" s="475">
        <v>33000000</v>
      </c>
      <c r="K35" s="212" t="s">
        <v>223</v>
      </c>
      <c r="L35" s="212" t="s">
        <v>236</v>
      </c>
      <c r="M35" s="212" t="s">
        <v>44</v>
      </c>
      <c r="N35" s="212" t="s">
        <v>45</v>
      </c>
      <c r="O35" s="212" t="s">
        <v>63</v>
      </c>
      <c r="P35" s="212" t="s">
        <v>674</v>
      </c>
      <c r="R35" s="212">
        <v>124</v>
      </c>
      <c r="S35" s="479">
        <v>44225</v>
      </c>
      <c r="T35" s="212" t="s">
        <v>2623</v>
      </c>
      <c r="U35" s="475">
        <f>33000000-6900000</f>
        <v>26100000</v>
      </c>
      <c r="V35" s="444">
        <v>6900000</v>
      </c>
      <c r="W35" s="398"/>
      <c r="X35" s="308">
        <v>206</v>
      </c>
      <c r="Y35" s="484">
        <v>44256</v>
      </c>
      <c r="Z35" s="484">
        <v>44256</v>
      </c>
      <c r="AA35" s="484">
        <v>44561</v>
      </c>
      <c r="AB35" s="485" t="s">
        <v>2548</v>
      </c>
      <c r="AC35" s="211">
        <v>150</v>
      </c>
      <c r="AD35" s="485" t="s">
        <v>2624</v>
      </c>
      <c r="AE35" s="486" t="s">
        <v>2625</v>
      </c>
      <c r="AF35" s="473">
        <v>26100000</v>
      </c>
      <c r="AG35" s="474">
        <f t="shared" si="0"/>
        <v>0</v>
      </c>
      <c r="AK35" s="475">
        <v>2610000</v>
      </c>
      <c r="AL35" s="475">
        <v>2700000</v>
      </c>
      <c r="AM35" s="306">
        <v>2700000</v>
      </c>
    </row>
    <row r="36" spans="1:39" hidden="1" x14ac:dyDescent="0.35">
      <c r="A36" s="476" t="s">
        <v>2150</v>
      </c>
      <c r="B36" s="477">
        <v>59054190</v>
      </c>
      <c r="C36" s="212" t="s">
        <v>2544</v>
      </c>
      <c r="D36" s="212">
        <v>34</v>
      </c>
      <c r="E36" s="478">
        <v>20217000005643</v>
      </c>
      <c r="F36" s="479">
        <v>44231</v>
      </c>
      <c r="G36" s="478" t="s">
        <v>2545</v>
      </c>
      <c r="H36" s="212" t="s">
        <v>2546</v>
      </c>
      <c r="I36" s="212" t="s">
        <v>164</v>
      </c>
      <c r="J36" s="475">
        <v>54511560</v>
      </c>
      <c r="K36" s="212" t="s">
        <v>138</v>
      </c>
      <c r="L36" s="212" t="s">
        <v>139</v>
      </c>
      <c r="M36" s="212" t="s">
        <v>44</v>
      </c>
      <c r="N36" s="212" t="s">
        <v>45</v>
      </c>
      <c r="O36" s="212" t="s">
        <v>142</v>
      </c>
      <c r="P36" s="212" t="s">
        <v>43</v>
      </c>
      <c r="R36" s="212">
        <v>197</v>
      </c>
      <c r="S36" s="479">
        <v>44231</v>
      </c>
      <c r="T36" s="212" t="s">
        <v>2626</v>
      </c>
      <c r="U36" s="475">
        <v>54511560</v>
      </c>
      <c r="V36" s="406"/>
      <c r="W36" s="362"/>
      <c r="X36" s="308">
        <v>207</v>
      </c>
      <c r="Y36" s="484">
        <v>44256</v>
      </c>
      <c r="Z36" s="484">
        <v>44256</v>
      </c>
      <c r="AA36" s="484">
        <v>44500</v>
      </c>
      <c r="AB36" s="485" t="s">
        <v>2548</v>
      </c>
      <c r="AC36" s="211">
        <v>151</v>
      </c>
      <c r="AD36" s="485" t="s">
        <v>2627</v>
      </c>
      <c r="AE36" s="486" t="s">
        <v>2628</v>
      </c>
      <c r="AF36" s="473">
        <v>54511560</v>
      </c>
      <c r="AG36" s="474">
        <f t="shared" si="0"/>
        <v>0</v>
      </c>
      <c r="AK36" s="475">
        <v>6586813</v>
      </c>
      <c r="AL36" s="475">
        <v>6813945</v>
      </c>
      <c r="AM36" s="306">
        <v>6813945</v>
      </c>
    </row>
    <row r="37" spans="1:39" hidden="1" x14ac:dyDescent="0.35">
      <c r="A37" s="476" t="s">
        <v>1996</v>
      </c>
      <c r="B37" s="477">
        <v>64900000</v>
      </c>
      <c r="C37" s="212" t="s">
        <v>2544</v>
      </c>
      <c r="D37" s="212">
        <v>35</v>
      </c>
      <c r="E37" s="478">
        <v>20215000000893</v>
      </c>
      <c r="F37" s="479">
        <v>44211</v>
      </c>
      <c r="G37" s="478" t="s">
        <v>2538</v>
      </c>
      <c r="H37" s="212" t="s">
        <v>2539</v>
      </c>
      <c r="I37" s="212" t="s">
        <v>228</v>
      </c>
      <c r="J37" s="475">
        <v>64900000</v>
      </c>
      <c r="K37" s="212" t="s">
        <v>223</v>
      </c>
      <c r="L37" s="212" t="s">
        <v>233</v>
      </c>
      <c r="M37" s="212" t="s">
        <v>44</v>
      </c>
      <c r="N37" s="212" t="s">
        <v>45</v>
      </c>
      <c r="O37" s="212" t="s">
        <v>63</v>
      </c>
      <c r="P37" s="212" t="s">
        <v>674</v>
      </c>
      <c r="R37" s="212">
        <v>36</v>
      </c>
      <c r="S37" s="479">
        <v>44211</v>
      </c>
      <c r="T37" s="212" t="s">
        <v>2618</v>
      </c>
      <c r="U37" s="475">
        <f>64900000-2950000</f>
        <v>61950000</v>
      </c>
      <c r="V37" s="411">
        <v>2950000</v>
      </c>
      <c r="W37" s="397"/>
      <c r="X37" s="308">
        <v>69</v>
      </c>
      <c r="Y37" s="472">
        <v>44230</v>
      </c>
      <c r="Z37" s="472">
        <v>44230</v>
      </c>
      <c r="AA37" s="472">
        <v>44548</v>
      </c>
      <c r="AB37" s="2" t="s">
        <v>2548</v>
      </c>
      <c r="AC37" s="211">
        <v>24</v>
      </c>
      <c r="AD37" s="2">
        <v>66946576</v>
      </c>
      <c r="AE37" s="212" t="s">
        <v>2629</v>
      </c>
      <c r="AF37" s="473">
        <v>61950000</v>
      </c>
      <c r="AG37" s="474">
        <f t="shared" si="0"/>
        <v>0</v>
      </c>
      <c r="AJ37" s="475">
        <v>5113333</v>
      </c>
      <c r="AK37" s="475">
        <v>5900000</v>
      </c>
      <c r="AL37" s="475">
        <v>5900000</v>
      </c>
      <c r="AM37" s="306">
        <v>5900000</v>
      </c>
    </row>
    <row r="38" spans="1:39" hidden="1" x14ac:dyDescent="0.35">
      <c r="A38" s="476" t="s">
        <v>1996</v>
      </c>
      <c r="B38" s="477">
        <v>44319000</v>
      </c>
      <c r="C38" s="212" t="s">
        <v>2544</v>
      </c>
      <c r="D38" s="212">
        <v>36</v>
      </c>
      <c r="E38" s="478">
        <v>20215000000903</v>
      </c>
      <c r="F38" s="479">
        <v>44211</v>
      </c>
      <c r="G38" s="478" t="s">
        <v>2538</v>
      </c>
      <c r="H38" s="212" t="s">
        <v>2539</v>
      </c>
      <c r="I38" s="212" t="s">
        <v>228</v>
      </c>
      <c r="J38" s="475">
        <v>44319000</v>
      </c>
      <c r="K38" s="212" t="s">
        <v>223</v>
      </c>
      <c r="L38" s="212" t="s">
        <v>233</v>
      </c>
      <c r="M38" s="212" t="s">
        <v>44</v>
      </c>
      <c r="N38" s="212" t="s">
        <v>45</v>
      </c>
      <c r="O38" s="212" t="s">
        <v>63</v>
      </c>
      <c r="P38" s="212" t="s">
        <v>674</v>
      </c>
      <c r="R38" s="212">
        <v>37</v>
      </c>
      <c r="S38" s="479">
        <v>44211</v>
      </c>
      <c r="T38" s="212" t="s">
        <v>2618</v>
      </c>
      <c r="U38" s="475">
        <f>44319000-2669000</f>
        <v>41650000</v>
      </c>
      <c r="V38" s="406">
        <v>2669000</v>
      </c>
      <c r="W38" s="362"/>
      <c r="X38" s="483" t="s">
        <v>2630</v>
      </c>
      <c r="Y38" s="484">
        <v>44309</v>
      </c>
      <c r="Z38" s="484">
        <v>44309</v>
      </c>
      <c r="AA38" s="484">
        <v>44561</v>
      </c>
      <c r="AB38" s="485" t="s">
        <v>2548</v>
      </c>
      <c r="AC38" s="483" t="s">
        <v>2631</v>
      </c>
      <c r="AD38" s="485" t="s">
        <v>2632</v>
      </c>
      <c r="AE38" s="486" t="s">
        <v>2633</v>
      </c>
      <c r="AF38" s="473">
        <v>41650000</v>
      </c>
      <c r="AG38" s="474">
        <f t="shared" si="0"/>
        <v>0</v>
      </c>
      <c r="AL38" s="475">
        <v>1306667</v>
      </c>
      <c r="AM38" s="306">
        <v>4900000</v>
      </c>
    </row>
    <row r="39" spans="1:39" s="312" customFormat="1" hidden="1" x14ac:dyDescent="0.35">
      <c r="A39" s="361" t="s">
        <v>1996</v>
      </c>
      <c r="B39" s="417">
        <v>44000000</v>
      </c>
      <c r="C39" s="312" t="s">
        <v>2544</v>
      </c>
      <c r="D39" s="312">
        <v>37</v>
      </c>
      <c r="E39" s="325">
        <v>20215000000913</v>
      </c>
      <c r="F39" s="315">
        <v>44211</v>
      </c>
      <c r="G39" s="325" t="s">
        <v>2538</v>
      </c>
      <c r="H39" s="312" t="s">
        <v>2539</v>
      </c>
      <c r="I39" s="312" t="s">
        <v>228</v>
      </c>
      <c r="J39" s="405">
        <v>44000000</v>
      </c>
      <c r="K39" s="312" t="s">
        <v>288</v>
      </c>
      <c r="L39" s="312" t="s">
        <v>2634</v>
      </c>
      <c r="M39" s="312" t="s">
        <v>44</v>
      </c>
      <c r="N39" s="312" t="s">
        <v>45</v>
      </c>
      <c r="O39" s="312" t="s">
        <v>63</v>
      </c>
      <c r="P39" s="312" t="s">
        <v>674</v>
      </c>
      <c r="R39" s="312">
        <v>38</v>
      </c>
      <c r="S39" s="315">
        <v>44211</v>
      </c>
      <c r="T39" s="312" t="s">
        <v>2618</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x14ac:dyDescent="0.35">
      <c r="A40" s="476" t="s">
        <v>1660</v>
      </c>
      <c r="B40" s="477">
        <v>58300000</v>
      </c>
      <c r="C40" s="212" t="s">
        <v>2544</v>
      </c>
      <c r="D40" s="212">
        <v>38</v>
      </c>
      <c r="E40" s="478">
        <v>20215000000953</v>
      </c>
      <c r="F40" s="479">
        <v>44211</v>
      </c>
      <c r="G40" s="478" t="s">
        <v>2538</v>
      </c>
      <c r="H40" s="212" t="s">
        <v>2539</v>
      </c>
      <c r="I40" s="212" t="s">
        <v>228</v>
      </c>
      <c r="J40" s="475">
        <v>58300000</v>
      </c>
      <c r="K40" s="212" t="s">
        <v>223</v>
      </c>
      <c r="L40" s="212" t="s">
        <v>236</v>
      </c>
      <c r="M40" s="212" t="s">
        <v>44</v>
      </c>
      <c r="N40" s="212" t="s">
        <v>45</v>
      </c>
      <c r="O40" s="212" t="s">
        <v>63</v>
      </c>
      <c r="P40" s="212" t="s">
        <v>674</v>
      </c>
      <c r="R40" s="212">
        <v>39</v>
      </c>
      <c r="S40" s="479">
        <v>44211</v>
      </c>
      <c r="T40" s="212" t="s">
        <v>2592</v>
      </c>
      <c r="U40" s="475">
        <f>58300000-530000</f>
        <v>57770000</v>
      </c>
      <c r="V40" s="411">
        <v>530000</v>
      </c>
      <c r="W40" s="397"/>
      <c r="X40" s="308">
        <v>64</v>
      </c>
      <c r="Y40" s="472">
        <v>44229</v>
      </c>
      <c r="Z40" s="472">
        <v>44229</v>
      </c>
      <c r="AA40" s="472">
        <v>44532</v>
      </c>
      <c r="AB40" s="2" t="s">
        <v>2548</v>
      </c>
      <c r="AC40" s="211">
        <v>22</v>
      </c>
      <c r="AD40" s="2">
        <v>1030530840</v>
      </c>
      <c r="AE40" s="212" t="s">
        <v>2635</v>
      </c>
      <c r="AF40" s="473">
        <v>57770000</v>
      </c>
      <c r="AG40" s="474">
        <f t="shared" si="0"/>
        <v>0</v>
      </c>
      <c r="AJ40" s="475">
        <v>4416667</v>
      </c>
      <c r="AK40" s="475">
        <v>5300000</v>
      </c>
      <c r="AL40" s="475">
        <v>5300000</v>
      </c>
      <c r="AM40" s="306">
        <v>5300000</v>
      </c>
    </row>
    <row r="41" spans="1:39" hidden="1" x14ac:dyDescent="0.35">
      <c r="A41" s="476" t="s">
        <v>1657</v>
      </c>
      <c r="B41" s="477">
        <v>58300000</v>
      </c>
      <c r="C41" s="212" t="s">
        <v>2544</v>
      </c>
      <c r="D41" s="212">
        <v>39</v>
      </c>
      <c r="E41" s="478">
        <v>20215000000963</v>
      </c>
      <c r="F41" s="479">
        <v>44211</v>
      </c>
      <c r="G41" s="478" t="s">
        <v>2538</v>
      </c>
      <c r="H41" s="212" t="s">
        <v>2539</v>
      </c>
      <c r="I41" s="212" t="s">
        <v>228</v>
      </c>
      <c r="J41" s="475">
        <v>58300000</v>
      </c>
      <c r="K41" s="212" t="s">
        <v>223</v>
      </c>
      <c r="L41" s="212" t="s">
        <v>236</v>
      </c>
      <c r="M41" s="212" t="s">
        <v>44</v>
      </c>
      <c r="N41" s="212" t="s">
        <v>45</v>
      </c>
      <c r="O41" s="212" t="s">
        <v>63</v>
      </c>
      <c r="P41" s="212" t="s">
        <v>674</v>
      </c>
      <c r="R41" s="212">
        <v>40</v>
      </c>
      <c r="S41" s="479">
        <v>44211</v>
      </c>
      <c r="T41" s="212" t="s">
        <v>2592</v>
      </c>
      <c r="U41" s="475">
        <f>58300000-2650000</f>
        <v>55650000</v>
      </c>
      <c r="V41" s="411">
        <v>2650000</v>
      </c>
      <c r="W41" s="397"/>
      <c r="X41" s="308">
        <v>65</v>
      </c>
      <c r="Y41" s="472">
        <v>44230</v>
      </c>
      <c r="Z41" s="472">
        <v>44230</v>
      </c>
      <c r="AA41" s="472">
        <v>44561</v>
      </c>
      <c r="AB41" s="2" t="s">
        <v>2548</v>
      </c>
      <c r="AC41" s="211">
        <v>28</v>
      </c>
      <c r="AD41" s="2">
        <v>1122650093</v>
      </c>
      <c r="AE41" s="212" t="s">
        <v>2636</v>
      </c>
      <c r="AF41" s="473">
        <f>58300000-2650000</f>
        <v>55650000</v>
      </c>
      <c r="AG41" s="474">
        <f t="shared" si="0"/>
        <v>0</v>
      </c>
      <c r="AJ41" s="475">
        <v>4416666</v>
      </c>
      <c r="AK41" s="475">
        <v>5300000</v>
      </c>
      <c r="AL41" s="475">
        <v>5300000</v>
      </c>
      <c r="AM41" s="306">
        <v>5300000</v>
      </c>
    </row>
    <row r="42" spans="1:39" hidden="1" x14ac:dyDescent="0.35">
      <c r="A42" s="476" t="s">
        <v>1660</v>
      </c>
      <c r="B42" s="477">
        <v>43780000</v>
      </c>
      <c r="C42" s="212" t="s">
        <v>2544</v>
      </c>
      <c r="D42" s="212">
        <v>40</v>
      </c>
      <c r="E42" s="478">
        <v>20215000000973</v>
      </c>
      <c r="F42" s="479">
        <v>44211</v>
      </c>
      <c r="G42" s="478" t="s">
        <v>2538</v>
      </c>
      <c r="H42" s="212" t="s">
        <v>2539</v>
      </c>
      <c r="I42" s="212" t="s">
        <v>228</v>
      </c>
      <c r="J42" s="475">
        <v>43780000</v>
      </c>
      <c r="K42" s="212" t="s">
        <v>223</v>
      </c>
      <c r="L42" s="212" t="s">
        <v>236</v>
      </c>
      <c r="M42" s="212" t="s">
        <v>44</v>
      </c>
      <c r="N42" s="212" t="s">
        <v>45</v>
      </c>
      <c r="O42" s="212" t="s">
        <v>63</v>
      </c>
      <c r="P42" s="212" t="s">
        <v>674</v>
      </c>
      <c r="R42" s="212">
        <v>41</v>
      </c>
      <c r="S42" s="479">
        <v>44211</v>
      </c>
      <c r="T42" s="212" t="s">
        <v>2592</v>
      </c>
      <c r="U42" s="475">
        <f>43780000-3780000</f>
        <v>40000000</v>
      </c>
      <c r="V42" s="411">
        <v>3780000</v>
      </c>
      <c r="W42" s="397"/>
      <c r="X42" s="308">
        <v>68</v>
      </c>
      <c r="Y42" s="472">
        <v>44230</v>
      </c>
      <c r="Z42" s="472">
        <v>44230</v>
      </c>
      <c r="AA42" s="472">
        <v>44533</v>
      </c>
      <c r="AB42" s="2" t="s">
        <v>2548</v>
      </c>
      <c r="AC42" s="211">
        <v>30</v>
      </c>
      <c r="AD42" s="2">
        <v>1118546448</v>
      </c>
      <c r="AE42" s="212" t="s">
        <v>2637</v>
      </c>
      <c r="AF42" s="473">
        <v>40000000</v>
      </c>
      <c r="AG42" s="474">
        <f t="shared" si="0"/>
        <v>0</v>
      </c>
      <c r="AJ42" s="475">
        <v>3466667</v>
      </c>
      <c r="AK42" s="475">
        <v>4000000</v>
      </c>
      <c r="AL42" s="475">
        <v>4000000</v>
      </c>
      <c r="AM42" s="306">
        <v>4000000</v>
      </c>
    </row>
    <row r="43" spans="1:39" s="312" customFormat="1" hidden="1" x14ac:dyDescent="0.35">
      <c r="A43" s="361"/>
      <c r="B43" s="417"/>
      <c r="C43" s="312" t="s">
        <v>2638</v>
      </c>
      <c r="D43" s="312">
        <v>41</v>
      </c>
      <c r="E43" s="325">
        <v>20213000000823</v>
      </c>
      <c r="F43" s="315">
        <v>44211</v>
      </c>
      <c r="G43" s="325" t="s">
        <v>2538</v>
      </c>
      <c r="H43" s="312" t="s">
        <v>2539</v>
      </c>
      <c r="I43" s="312" t="s">
        <v>432</v>
      </c>
      <c r="J43" s="405">
        <v>15689000</v>
      </c>
      <c r="K43" s="312" t="s">
        <v>342</v>
      </c>
      <c r="L43" s="312" t="s">
        <v>343</v>
      </c>
      <c r="M43" s="312" t="s">
        <v>44</v>
      </c>
      <c r="N43" s="312" t="s">
        <v>45</v>
      </c>
      <c r="O43" s="212" t="s">
        <v>310</v>
      </c>
      <c r="P43" s="312" t="s">
        <v>674</v>
      </c>
      <c r="R43" s="312">
        <v>30</v>
      </c>
      <c r="S43" s="315">
        <v>44211</v>
      </c>
      <c r="T43" s="312" t="s">
        <v>2639</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x14ac:dyDescent="0.35">
      <c r="A44" s="361"/>
      <c r="B44" s="417"/>
      <c r="C44" s="312" t="s">
        <v>2640</v>
      </c>
      <c r="D44" s="312">
        <v>42</v>
      </c>
      <c r="E44" s="325">
        <v>20213000000813</v>
      </c>
      <c r="F44" s="315">
        <v>44211</v>
      </c>
      <c r="G44" s="325" t="s">
        <v>2538</v>
      </c>
      <c r="H44" s="312" t="s">
        <v>2539</v>
      </c>
      <c r="I44" s="312" t="s">
        <v>432</v>
      </c>
      <c r="J44" s="405">
        <v>153169000</v>
      </c>
      <c r="K44" s="312" t="s">
        <v>342</v>
      </c>
      <c r="L44" s="312" t="s">
        <v>343</v>
      </c>
      <c r="M44" s="312" t="s">
        <v>44</v>
      </c>
      <c r="N44" s="312" t="s">
        <v>45</v>
      </c>
      <c r="O44" s="212" t="s">
        <v>310</v>
      </c>
      <c r="P44" s="312" t="s">
        <v>674</v>
      </c>
      <c r="R44" s="312">
        <v>29</v>
      </c>
      <c r="S44" s="315">
        <v>44211</v>
      </c>
      <c r="T44" s="312" t="s">
        <v>2641</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x14ac:dyDescent="0.35">
      <c r="A45" s="476" t="s">
        <v>1660</v>
      </c>
      <c r="B45" s="477">
        <v>53900000</v>
      </c>
      <c r="C45" s="212" t="s">
        <v>2544</v>
      </c>
      <c r="D45" s="212">
        <v>43</v>
      </c>
      <c r="E45" s="478">
        <v>20215000000983</v>
      </c>
      <c r="F45" s="479">
        <v>44214</v>
      </c>
      <c r="G45" s="478" t="s">
        <v>2538</v>
      </c>
      <c r="H45" s="212" t="s">
        <v>2539</v>
      </c>
      <c r="I45" s="212" t="s">
        <v>228</v>
      </c>
      <c r="J45" s="475">
        <v>53900000</v>
      </c>
      <c r="K45" s="212" t="s">
        <v>223</v>
      </c>
      <c r="L45" s="212" t="s">
        <v>236</v>
      </c>
      <c r="M45" s="212" t="s">
        <v>44</v>
      </c>
      <c r="N45" s="212" t="s">
        <v>45</v>
      </c>
      <c r="O45" s="212" t="s">
        <v>63</v>
      </c>
      <c r="P45" s="212" t="s">
        <v>674</v>
      </c>
      <c r="R45" s="212">
        <v>44</v>
      </c>
      <c r="S45" s="479">
        <v>44214</v>
      </c>
      <c r="T45" s="212" t="s">
        <v>2592</v>
      </c>
      <c r="U45" s="475">
        <v>53900000</v>
      </c>
      <c r="V45" s="406"/>
      <c r="W45" s="362"/>
      <c r="X45" s="211">
        <v>42</v>
      </c>
      <c r="Y45" s="472">
        <v>44224</v>
      </c>
      <c r="Z45" s="472">
        <v>44224</v>
      </c>
      <c r="AA45" s="472">
        <v>44558</v>
      </c>
      <c r="AB45" s="2" t="s">
        <v>2548</v>
      </c>
      <c r="AC45" s="211">
        <v>17</v>
      </c>
      <c r="AD45" s="2">
        <v>1031147678</v>
      </c>
      <c r="AE45" s="212" t="s">
        <v>2642</v>
      </c>
      <c r="AF45" s="473">
        <v>53900000</v>
      </c>
      <c r="AG45" s="474">
        <f t="shared" si="0"/>
        <v>0</v>
      </c>
      <c r="AJ45" s="475">
        <v>5226667</v>
      </c>
      <c r="AK45" s="475">
        <v>4900000</v>
      </c>
      <c r="AL45" s="475">
        <v>4900000</v>
      </c>
      <c r="AM45" s="306">
        <v>4900000</v>
      </c>
    </row>
    <row r="46" spans="1:39" hidden="1" x14ac:dyDescent="0.35">
      <c r="A46" s="476" t="s">
        <v>1660</v>
      </c>
      <c r="B46" s="477">
        <v>58300000</v>
      </c>
      <c r="C46" s="212" t="s">
        <v>2544</v>
      </c>
      <c r="D46" s="212">
        <v>44</v>
      </c>
      <c r="E46" s="478">
        <v>20215000001003</v>
      </c>
      <c r="F46" s="479">
        <v>44214</v>
      </c>
      <c r="G46" s="478" t="s">
        <v>2538</v>
      </c>
      <c r="H46" s="212" t="s">
        <v>2539</v>
      </c>
      <c r="I46" s="212" t="s">
        <v>228</v>
      </c>
      <c r="J46" s="475">
        <v>58300000</v>
      </c>
      <c r="K46" s="212" t="s">
        <v>223</v>
      </c>
      <c r="L46" s="212" t="s">
        <v>236</v>
      </c>
      <c r="M46" s="212" t="s">
        <v>44</v>
      </c>
      <c r="N46" s="212" t="s">
        <v>45</v>
      </c>
      <c r="O46" s="212" t="s">
        <v>63</v>
      </c>
      <c r="P46" s="212" t="s">
        <v>674</v>
      </c>
      <c r="R46" s="212">
        <v>45</v>
      </c>
      <c r="S46" s="479">
        <v>44214</v>
      </c>
      <c r="T46" s="212" t="s">
        <v>2592</v>
      </c>
      <c r="U46" s="475">
        <f>58300000-9300000</f>
        <v>49000000</v>
      </c>
      <c r="V46" s="411">
        <v>9300000</v>
      </c>
      <c r="W46" s="397"/>
      <c r="X46" s="308">
        <v>73</v>
      </c>
      <c r="Y46" s="484">
        <v>44231</v>
      </c>
      <c r="Z46" s="484">
        <v>44231</v>
      </c>
      <c r="AA46" s="484">
        <v>44534</v>
      </c>
      <c r="AB46" s="485" t="s">
        <v>2548</v>
      </c>
      <c r="AC46" s="211">
        <v>36</v>
      </c>
      <c r="AD46" s="487">
        <v>53050737</v>
      </c>
      <c r="AE46" s="486" t="s">
        <v>2643</v>
      </c>
      <c r="AF46" s="473">
        <v>49000000</v>
      </c>
      <c r="AG46" s="474">
        <f t="shared" si="0"/>
        <v>0</v>
      </c>
      <c r="AJ46" s="475">
        <v>4083333</v>
      </c>
      <c r="AK46" s="475">
        <v>4900000</v>
      </c>
      <c r="AL46" s="475">
        <v>4900000</v>
      </c>
      <c r="AM46" s="306">
        <v>4900000</v>
      </c>
    </row>
    <row r="47" spans="1:39" hidden="1" x14ac:dyDescent="0.35">
      <c r="A47" s="476" t="s">
        <v>1660</v>
      </c>
      <c r="B47" s="477">
        <v>43780000</v>
      </c>
      <c r="C47" s="212" t="s">
        <v>2544</v>
      </c>
      <c r="D47" s="212">
        <v>45</v>
      </c>
      <c r="E47" s="478">
        <v>20215000001013</v>
      </c>
      <c r="F47" s="479">
        <v>44214</v>
      </c>
      <c r="G47" s="478" t="s">
        <v>2538</v>
      </c>
      <c r="H47" s="212" t="s">
        <v>2539</v>
      </c>
      <c r="I47" s="212" t="s">
        <v>228</v>
      </c>
      <c r="J47" s="475">
        <v>43780000</v>
      </c>
      <c r="K47" s="212" t="s">
        <v>223</v>
      </c>
      <c r="L47" s="212" t="s">
        <v>236</v>
      </c>
      <c r="M47" s="212" t="s">
        <v>44</v>
      </c>
      <c r="N47" s="212" t="s">
        <v>45</v>
      </c>
      <c r="O47" s="212" t="s">
        <v>63</v>
      </c>
      <c r="P47" s="212" t="s">
        <v>674</v>
      </c>
      <c r="R47" s="212">
        <v>46</v>
      </c>
      <c r="S47" s="479">
        <v>44214</v>
      </c>
      <c r="T47" s="212" t="s">
        <v>2592</v>
      </c>
      <c r="U47" s="475">
        <f>43780000-3780000</f>
        <v>40000000</v>
      </c>
      <c r="V47" s="411">
        <v>3780000</v>
      </c>
      <c r="W47" s="397"/>
      <c r="X47" s="308">
        <v>83</v>
      </c>
      <c r="Y47" s="484">
        <v>44232</v>
      </c>
      <c r="Z47" s="484">
        <v>44232</v>
      </c>
      <c r="AA47" s="484">
        <v>44535</v>
      </c>
      <c r="AB47" s="485" t="s">
        <v>2548</v>
      </c>
      <c r="AC47" s="211">
        <v>43</v>
      </c>
      <c r="AD47" s="487">
        <v>52114836</v>
      </c>
      <c r="AE47" s="486" t="s">
        <v>2644</v>
      </c>
      <c r="AF47" s="473">
        <v>40000000</v>
      </c>
      <c r="AG47" s="474">
        <f t="shared" si="0"/>
        <v>0</v>
      </c>
      <c r="AJ47" s="475">
        <v>2800000</v>
      </c>
      <c r="AK47" s="475">
        <v>4000000</v>
      </c>
      <c r="AL47" s="475">
        <v>4000000</v>
      </c>
      <c r="AM47" s="306">
        <v>4000000</v>
      </c>
    </row>
    <row r="48" spans="1:39" hidden="1" x14ac:dyDescent="0.35">
      <c r="A48" s="476" t="s">
        <v>2052</v>
      </c>
      <c r="B48" s="477">
        <v>43780000</v>
      </c>
      <c r="C48" s="212" t="s">
        <v>2544</v>
      </c>
      <c r="D48" s="212">
        <v>46</v>
      </c>
      <c r="E48" s="478">
        <v>20215000001033</v>
      </c>
      <c r="F48" s="479">
        <v>44214</v>
      </c>
      <c r="G48" s="478" t="s">
        <v>2538</v>
      </c>
      <c r="H48" s="212" t="s">
        <v>2539</v>
      </c>
      <c r="I48" s="212" t="s">
        <v>228</v>
      </c>
      <c r="J48" s="475">
        <v>43780000</v>
      </c>
      <c r="K48" s="212" t="s">
        <v>223</v>
      </c>
      <c r="L48" s="212" t="s">
        <v>269</v>
      </c>
      <c r="M48" s="212" t="s">
        <v>44</v>
      </c>
      <c r="N48" s="212" t="s">
        <v>45</v>
      </c>
      <c r="O48" s="212" t="s">
        <v>63</v>
      </c>
      <c r="P48" s="212" t="s">
        <v>674</v>
      </c>
      <c r="R48" s="212">
        <v>47</v>
      </c>
      <c r="S48" s="479">
        <v>44214</v>
      </c>
      <c r="T48" s="212" t="s">
        <v>2645</v>
      </c>
      <c r="U48" s="475">
        <f>43780000-3780000</f>
        <v>40000000</v>
      </c>
      <c r="V48" s="411">
        <v>3780000</v>
      </c>
      <c r="W48" s="397"/>
      <c r="X48" s="308">
        <v>97</v>
      </c>
      <c r="Y48" s="484">
        <v>44235</v>
      </c>
      <c r="Z48" s="484">
        <v>44235</v>
      </c>
      <c r="AA48" s="484">
        <v>44538</v>
      </c>
      <c r="AB48" s="485" t="s">
        <v>2548</v>
      </c>
      <c r="AC48" s="211">
        <v>48</v>
      </c>
      <c r="AD48" s="487">
        <v>1032469103</v>
      </c>
      <c r="AE48" s="486" t="s">
        <v>2646</v>
      </c>
      <c r="AF48" s="473">
        <v>40000000</v>
      </c>
      <c r="AG48" s="474">
        <f t="shared" si="0"/>
        <v>0</v>
      </c>
      <c r="AJ48" s="475">
        <v>2800000</v>
      </c>
      <c r="AK48" s="475">
        <v>4000000</v>
      </c>
      <c r="AL48" s="475">
        <v>4000000</v>
      </c>
      <c r="AM48" s="306">
        <v>4000000</v>
      </c>
    </row>
    <row r="49" spans="1:39" hidden="1" x14ac:dyDescent="0.35">
      <c r="A49" s="476" t="s">
        <v>1661</v>
      </c>
      <c r="B49" s="477">
        <v>44330000</v>
      </c>
      <c r="C49" s="212" t="s">
        <v>2544</v>
      </c>
      <c r="D49" s="212">
        <v>47</v>
      </c>
      <c r="E49" s="478">
        <v>20215000001043</v>
      </c>
      <c r="F49" s="479">
        <v>44214</v>
      </c>
      <c r="G49" s="478" t="s">
        <v>2538</v>
      </c>
      <c r="H49" s="212" t="s">
        <v>2539</v>
      </c>
      <c r="I49" s="212" t="s">
        <v>228</v>
      </c>
      <c r="J49" s="475">
        <v>44330000</v>
      </c>
      <c r="K49" s="212" t="s">
        <v>223</v>
      </c>
      <c r="L49" s="212" t="s">
        <v>269</v>
      </c>
      <c r="M49" s="212" t="s">
        <v>44</v>
      </c>
      <c r="N49" s="212" t="s">
        <v>45</v>
      </c>
      <c r="O49" s="212" t="s">
        <v>63</v>
      </c>
      <c r="P49" s="212" t="s">
        <v>674</v>
      </c>
      <c r="R49" s="212">
        <v>48</v>
      </c>
      <c r="S49" s="479">
        <v>44214</v>
      </c>
      <c r="T49" s="212" t="s">
        <v>2647</v>
      </c>
      <c r="U49" s="475">
        <f>44330000-2330000</f>
        <v>42000000</v>
      </c>
      <c r="V49" s="411">
        <v>2330000</v>
      </c>
      <c r="W49" s="397"/>
      <c r="X49" s="483">
        <v>125</v>
      </c>
      <c r="Y49" s="484">
        <v>44239</v>
      </c>
      <c r="Z49" s="484">
        <v>44239</v>
      </c>
      <c r="AA49" s="484">
        <v>44561</v>
      </c>
      <c r="AB49" s="485" t="s">
        <v>2548</v>
      </c>
      <c r="AC49" s="483">
        <v>80</v>
      </c>
      <c r="AD49" s="485">
        <v>40612939</v>
      </c>
      <c r="AE49" s="486" t="s">
        <v>2648</v>
      </c>
      <c r="AF49" s="473">
        <v>42000000</v>
      </c>
      <c r="AG49" s="474">
        <f t="shared" si="0"/>
        <v>0</v>
      </c>
      <c r="AK49" s="475">
        <f>1866667+4000000</f>
        <v>5866667</v>
      </c>
      <c r="AL49" s="475">
        <v>4000000</v>
      </c>
      <c r="AM49" s="306">
        <v>4000000</v>
      </c>
    </row>
    <row r="50" spans="1:39" hidden="1" x14ac:dyDescent="0.35">
      <c r="A50" s="476" t="s">
        <v>1661</v>
      </c>
      <c r="B50" s="477">
        <v>58300000</v>
      </c>
      <c r="C50" s="212" t="s">
        <v>2544</v>
      </c>
      <c r="D50" s="212">
        <v>48</v>
      </c>
      <c r="E50" s="478">
        <v>20215000001053</v>
      </c>
      <c r="F50" s="479">
        <v>44214</v>
      </c>
      <c r="G50" s="478" t="s">
        <v>2538</v>
      </c>
      <c r="H50" s="212" t="s">
        <v>2539</v>
      </c>
      <c r="I50" s="212" t="s">
        <v>228</v>
      </c>
      <c r="J50" s="475">
        <v>58300000</v>
      </c>
      <c r="K50" s="212" t="s">
        <v>223</v>
      </c>
      <c r="L50" s="212" t="s">
        <v>269</v>
      </c>
      <c r="M50" s="212" t="s">
        <v>44</v>
      </c>
      <c r="N50" s="212" t="s">
        <v>45</v>
      </c>
      <c r="O50" s="212" t="s">
        <v>63</v>
      </c>
      <c r="P50" s="212" t="s">
        <v>674</v>
      </c>
      <c r="R50" s="212">
        <v>49</v>
      </c>
      <c r="S50" s="479">
        <v>44214</v>
      </c>
      <c r="T50" s="212" t="s">
        <v>2647</v>
      </c>
      <c r="U50" s="475">
        <f>58300000-5300000</f>
        <v>53000000</v>
      </c>
      <c r="V50" s="411">
        <v>5300000</v>
      </c>
      <c r="W50" s="397"/>
      <c r="X50" s="483">
        <v>128</v>
      </c>
      <c r="Y50" s="484">
        <v>44239</v>
      </c>
      <c r="Z50" s="484">
        <v>44239</v>
      </c>
      <c r="AA50" s="484">
        <v>44542</v>
      </c>
      <c r="AB50" s="485" t="s">
        <v>2548</v>
      </c>
      <c r="AC50" s="483">
        <v>72</v>
      </c>
      <c r="AD50" s="485">
        <v>77092915</v>
      </c>
      <c r="AE50" s="486" t="s">
        <v>2649</v>
      </c>
      <c r="AF50" s="473">
        <v>53000000</v>
      </c>
      <c r="AG50" s="474">
        <f t="shared" si="0"/>
        <v>0</v>
      </c>
      <c r="AJ50" s="475">
        <v>3003333</v>
      </c>
      <c r="AK50" s="475">
        <v>5300000</v>
      </c>
      <c r="AL50" s="475">
        <v>5300000</v>
      </c>
      <c r="AM50" s="306">
        <v>5300000</v>
      </c>
    </row>
    <row r="51" spans="1:39" hidden="1" x14ac:dyDescent="0.35">
      <c r="A51" s="476" t="s">
        <v>1660</v>
      </c>
      <c r="B51" s="477">
        <v>43780000</v>
      </c>
      <c r="C51" s="212" t="s">
        <v>2544</v>
      </c>
      <c r="D51" s="212">
        <v>49</v>
      </c>
      <c r="E51" s="478">
        <v>20215000001063</v>
      </c>
      <c r="F51" s="479">
        <v>44214</v>
      </c>
      <c r="G51" s="478" t="s">
        <v>2538</v>
      </c>
      <c r="H51" s="212" t="s">
        <v>2539</v>
      </c>
      <c r="I51" s="212" t="s">
        <v>228</v>
      </c>
      <c r="J51" s="475">
        <v>43780000</v>
      </c>
      <c r="K51" s="212" t="s">
        <v>223</v>
      </c>
      <c r="L51" s="212" t="s">
        <v>269</v>
      </c>
      <c r="M51" s="212" t="s">
        <v>44</v>
      </c>
      <c r="N51" s="212" t="s">
        <v>45</v>
      </c>
      <c r="O51" s="212" t="s">
        <v>63</v>
      </c>
      <c r="P51" s="212" t="s">
        <v>674</v>
      </c>
      <c r="R51" s="212">
        <v>50</v>
      </c>
      <c r="S51" s="479">
        <v>44214</v>
      </c>
      <c r="T51" s="212" t="s">
        <v>2650</v>
      </c>
      <c r="U51" s="475">
        <f>43780000-3780000</f>
        <v>40000000</v>
      </c>
      <c r="V51" s="411">
        <v>3780000</v>
      </c>
      <c r="W51" s="397"/>
      <c r="X51" s="308">
        <v>95</v>
      </c>
      <c r="Y51" s="484">
        <v>44235</v>
      </c>
      <c r="Z51" s="484">
        <v>44235</v>
      </c>
      <c r="AA51" s="484">
        <v>44538</v>
      </c>
      <c r="AB51" s="485" t="s">
        <v>2548</v>
      </c>
      <c r="AC51" s="211">
        <v>47</v>
      </c>
      <c r="AD51" s="487">
        <v>1014261943</v>
      </c>
      <c r="AE51" s="486" t="s">
        <v>2651</v>
      </c>
      <c r="AF51" s="473">
        <v>40000000</v>
      </c>
      <c r="AG51" s="474">
        <f t="shared" si="0"/>
        <v>0</v>
      </c>
      <c r="AJ51" s="475">
        <v>2800000</v>
      </c>
      <c r="AK51" s="475">
        <v>4000000</v>
      </c>
      <c r="AL51" s="475">
        <v>4000000</v>
      </c>
      <c r="AM51" s="306">
        <v>4000000</v>
      </c>
    </row>
    <row r="52" spans="1:39" hidden="1" x14ac:dyDescent="0.35">
      <c r="A52" s="476" t="s">
        <v>1664</v>
      </c>
      <c r="B52" s="477">
        <v>58300000</v>
      </c>
      <c r="C52" s="212" t="s">
        <v>2544</v>
      </c>
      <c r="D52" s="212">
        <v>50</v>
      </c>
      <c r="E52" s="478">
        <v>20215000001133</v>
      </c>
      <c r="F52" s="479">
        <v>44214</v>
      </c>
      <c r="G52" s="478" t="s">
        <v>2538</v>
      </c>
      <c r="H52" s="212" t="s">
        <v>2539</v>
      </c>
      <c r="I52" s="212" t="s">
        <v>228</v>
      </c>
      <c r="J52" s="475">
        <v>58300000</v>
      </c>
      <c r="K52" s="212" t="s">
        <v>223</v>
      </c>
      <c r="L52" s="212" t="s">
        <v>283</v>
      </c>
      <c r="M52" s="212" t="s">
        <v>44</v>
      </c>
      <c r="N52" s="212" t="s">
        <v>45</v>
      </c>
      <c r="O52" s="212" t="s">
        <v>63</v>
      </c>
      <c r="P52" s="212" t="s">
        <v>674</v>
      </c>
      <c r="R52" s="212">
        <v>51</v>
      </c>
      <c r="S52" s="479">
        <v>44214</v>
      </c>
      <c r="T52" s="212" t="s">
        <v>2556</v>
      </c>
      <c r="U52" s="475">
        <f>58300000-50703334</f>
        <v>7596666</v>
      </c>
      <c r="V52" s="406">
        <v>50703334</v>
      </c>
      <c r="W52" s="362"/>
      <c r="X52" s="211">
        <v>51</v>
      </c>
      <c r="Y52" s="472">
        <v>44224</v>
      </c>
      <c r="Z52" s="472">
        <v>44224</v>
      </c>
      <c r="AA52" s="472">
        <v>44558</v>
      </c>
      <c r="AB52" s="2" t="s">
        <v>2548</v>
      </c>
      <c r="AC52" s="211">
        <v>20</v>
      </c>
      <c r="AD52" s="2">
        <v>1016039001</v>
      </c>
      <c r="AE52" s="212" t="s">
        <v>2652</v>
      </c>
      <c r="AF52" s="473">
        <f>58300000-50703334</f>
        <v>7596666</v>
      </c>
      <c r="AG52" s="474">
        <f t="shared" si="0"/>
        <v>0</v>
      </c>
      <c r="AJ52" s="475">
        <v>5653333</v>
      </c>
      <c r="AK52" s="475">
        <v>1943333</v>
      </c>
      <c r="AM52" s="212"/>
    </row>
    <row r="53" spans="1:39" hidden="1" x14ac:dyDescent="0.35">
      <c r="A53" s="476" t="s">
        <v>1949</v>
      </c>
      <c r="B53" s="477">
        <v>44000000</v>
      </c>
      <c r="C53" s="212" t="s">
        <v>2544</v>
      </c>
      <c r="D53" s="212">
        <v>51</v>
      </c>
      <c r="E53" s="478">
        <v>20215000001143</v>
      </c>
      <c r="F53" s="479">
        <v>44214</v>
      </c>
      <c r="G53" s="478" t="s">
        <v>2538</v>
      </c>
      <c r="H53" s="212" t="s">
        <v>2539</v>
      </c>
      <c r="I53" s="212" t="s">
        <v>228</v>
      </c>
      <c r="J53" s="475">
        <v>44000000</v>
      </c>
      <c r="K53" s="212" t="s">
        <v>288</v>
      </c>
      <c r="L53" s="212" t="s">
        <v>294</v>
      </c>
      <c r="M53" s="212" t="s">
        <v>44</v>
      </c>
      <c r="N53" s="212" t="s">
        <v>45</v>
      </c>
      <c r="O53" s="212" t="s">
        <v>63</v>
      </c>
      <c r="P53" s="212" t="s">
        <v>674</v>
      </c>
      <c r="R53" s="212">
        <v>52</v>
      </c>
      <c r="S53" s="479">
        <v>44214</v>
      </c>
      <c r="T53" s="212" t="s">
        <v>2653</v>
      </c>
      <c r="U53" s="475">
        <f>44000000-1600000</f>
        <v>42400000</v>
      </c>
      <c r="V53" s="411">
        <v>1600000</v>
      </c>
      <c r="W53" s="397"/>
      <c r="X53" s="308">
        <v>109</v>
      </c>
      <c r="Y53" s="484">
        <v>44237</v>
      </c>
      <c r="Z53" s="484">
        <v>44237</v>
      </c>
      <c r="AA53" s="484">
        <v>44479</v>
      </c>
      <c r="AB53" s="485" t="s">
        <v>2548</v>
      </c>
      <c r="AC53" s="211">
        <v>46</v>
      </c>
      <c r="AD53" s="487">
        <v>80779128</v>
      </c>
      <c r="AE53" s="486" t="s">
        <v>2654</v>
      </c>
      <c r="AF53" s="473">
        <v>42400000</v>
      </c>
      <c r="AG53" s="474">
        <f t="shared" si="0"/>
        <v>0</v>
      </c>
      <c r="AJ53" s="475">
        <v>3356667</v>
      </c>
      <c r="AK53" s="475">
        <v>5300000</v>
      </c>
      <c r="AL53" s="475">
        <v>5300000</v>
      </c>
      <c r="AM53" s="212"/>
    </row>
    <row r="54" spans="1:39" hidden="1" x14ac:dyDescent="0.35">
      <c r="A54" s="476" t="s">
        <v>1809</v>
      </c>
      <c r="B54" s="477">
        <v>48348000</v>
      </c>
      <c r="C54" s="212" t="s">
        <v>2544</v>
      </c>
      <c r="D54" s="212">
        <v>52</v>
      </c>
      <c r="E54" s="478">
        <v>20215000001163</v>
      </c>
      <c r="F54" s="479">
        <v>44214</v>
      </c>
      <c r="G54" s="478" t="s">
        <v>2538</v>
      </c>
      <c r="H54" s="212" t="s">
        <v>2539</v>
      </c>
      <c r="I54" s="212" t="s">
        <v>228</v>
      </c>
      <c r="J54" s="475">
        <v>48348000</v>
      </c>
      <c r="K54" s="212" t="s">
        <v>288</v>
      </c>
      <c r="L54" s="212" t="s">
        <v>294</v>
      </c>
      <c r="M54" s="212" t="s">
        <v>44</v>
      </c>
      <c r="N54" s="212" t="s">
        <v>45</v>
      </c>
      <c r="O54" s="212" t="s">
        <v>63</v>
      </c>
      <c r="P54" s="212" t="s">
        <v>674</v>
      </c>
      <c r="R54" s="212">
        <v>53</v>
      </c>
      <c r="S54" s="479">
        <v>44214</v>
      </c>
      <c r="T54" s="212" t="s">
        <v>2653</v>
      </c>
      <c r="U54" s="475">
        <f>48348000-48000</f>
        <v>48300000</v>
      </c>
      <c r="V54" s="411">
        <v>48000</v>
      </c>
      <c r="W54" s="397"/>
      <c r="X54" s="211">
        <v>45</v>
      </c>
      <c r="Y54" s="472">
        <v>44224</v>
      </c>
      <c r="Z54" s="472">
        <v>44224</v>
      </c>
      <c r="AA54" s="472">
        <v>44436</v>
      </c>
      <c r="AB54" s="2" t="s">
        <v>2548</v>
      </c>
      <c r="AC54" s="211">
        <v>15</v>
      </c>
      <c r="AD54" s="2">
        <v>79459883</v>
      </c>
      <c r="AE54" s="212" t="s">
        <v>2655</v>
      </c>
      <c r="AF54" s="473">
        <v>48300000</v>
      </c>
      <c r="AG54" s="474">
        <f t="shared" si="0"/>
        <v>0</v>
      </c>
      <c r="AJ54" s="475">
        <v>7590000</v>
      </c>
      <c r="AK54" s="475">
        <v>6900000</v>
      </c>
      <c r="AL54" s="475">
        <v>6900000</v>
      </c>
      <c r="AM54" s="306">
        <v>6900000</v>
      </c>
    </row>
    <row r="55" spans="1:39" hidden="1" x14ac:dyDescent="0.35">
      <c r="A55" s="476" t="s">
        <v>1993</v>
      </c>
      <c r="B55" s="477">
        <v>70800000</v>
      </c>
      <c r="C55" s="212" t="s">
        <v>2544</v>
      </c>
      <c r="D55" s="212">
        <v>53</v>
      </c>
      <c r="E55" s="478">
        <v>20215000001173</v>
      </c>
      <c r="F55" s="479">
        <v>44214</v>
      </c>
      <c r="G55" s="478" t="s">
        <v>2538</v>
      </c>
      <c r="H55" s="212" t="s">
        <v>2539</v>
      </c>
      <c r="I55" s="212" t="s">
        <v>228</v>
      </c>
      <c r="J55" s="475">
        <v>70800000</v>
      </c>
      <c r="K55" s="212" t="s">
        <v>223</v>
      </c>
      <c r="L55" s="212" t="s">
        <v>2656</v>
      </c>
      <c r="M55" s="212" t="s">
        <v>44</v>
      </c>
      <c r="N55" s="212" t="s">
        <v>45</v>
      </c>
      <c r="O55" s="212" t="s">
        <v>63</v>
      </c>
      <c r="P55" s="212" t="s">
        <v>674</v>
      </c>
      <c r="R55" s="212">
        <v>54</v>
      </c>
      <c r="S55" s="479">
        <v>44214</v>
      </c>
      <c r="T55" s="212" t="s">
        <v>2657</v>
      </c>
      <c r="U55" s="475">
        <f>70800000-17716667</f>
        <v>53083333</v>
      </c>
      <c r="V55" s="411">
        <v>17716667</v>
      </c>
      <c r="W55" s="397"/>
      <c r="X55" s="308">
        <v>72</v>
      </c>
      <c r="Y55" s="484">
        <v>44231</v>
      </c>
      <c r="Z55" s="484">
        <v>44231</v>
      </c>
      <c r="AA55" s="484">
        <v>44561</v>
      </c>
      <c r="AB55" s="485" t="s">
        <v>2548</v>
      </c>
      <c r="AC55" s="211">
        <v>27</v>
      </c>
      <c r="AD55" s="487">
        <v>30506558</v>
      </c>
      <c r="AE55" s="486" t="s">
        <v>2658</v>
      </c>
      <c r="AF55" s="473">
        <v>53083333</v>
      </c>
      <c r="AG55" s="474">
        <f t="shared" si="0"/>
        <v>0</v>
      </c>
      <c r="AJ55" s="475">
        <v>4083333</v>
      </c>
      <c r="AK55" s="475">
        <v>4900000</v>
      </c>
      <c r="AL55" s="475">
        <v>4900000</v>
      </c>
      <c r="AM55" s="306">
        <v>4900000</v>
      </c>
    </row>
    <row r="56" spans="1:39" hidden="1" x14ac:dyDescent="0.35">
      <c r="A56" s="476" t="s">
        <v>2659</v>
      </c>
      <c r="B56" s="477">
        <v>51586233</v>
      </c>
      <c r="C56" s="212" t="s">
        <v>2660</v>
      </c>
      <c r="D56" s="212">
        <v>54</v>
      </c>
      <c r="E56" s="309">
        <v>20214000008283</v>
      </c>
      <c r="F56" s="310">
        <v>44243</v>
      </c>
      <c r="G56" s="478" t="s">
        <v>2578</v>
      </c>
      <c r="H56" s="212" t="s">
        <v>2579</v>
      </c>
      <c r="I56" s="212" t="s">
        <v>47</v>
      </c>
      <c r="J56" s="475">
        <v>35280000</v>
      </c>
      <c r="K56" s="212" t="s">
        <v>37</v>
      </c>
      <c r="L56" s="212" t="s">
        <v>2580</v>
      </c>
      <c r="M56" s="212" t="s">
        <v>44</v>
      </c>
      <c r="N56" s="212" t="s">
        <v>45</v>
      </c>
      <c r="O56" s="212" t="s">
        <v>310</v>
      </c>
      <c r="P56" s="212" t="s">
        <v>43</v>
      </c>
      <c r="R56" s="212">
        <v>256</v>
      </c>
      <c r="S56" s="479">
        <v>44244</v>
      </c>
      <c r="T56" s="212" t="s">
        <v>2661</v>
      </c>
      <c r="U56" s="475">
        <v>35280000</v>
      </c>
      <c r="V56" s="406"/>
      <c r="W56" s="362"/>
      <c r="X56" s="308">
        <v>208</v>
      </c>
      <c r="Y56" s="484">
        <v>44256</v>
      </c>
      <c r="Z56" s="484">
        <v>44256</v>
      </c>
      <c r="AA56" s="484">
        <v>44469</v>
      </c>
      <c r="AB56" s="485" t="s">
        <v>2548</v>
      </c>
      <c r="AC56" s="211">
        <v>145</v>
      </c>
      <c r="AD56" s="485" t="s">
        <v>2662</v>
      </c>
      <c r="AE56" s="486" t="s">
        <v>2663</v>
      </c>
      <c r="AF56" s="473">
        <v>35280000</v>
      </c>
      <c r="AG56" s="474">
        <f t="shared" si="0"/>
        <v>0</v>
      </c>
      <c r="AL56" s="475">
        <v>4872000</v>
      </c>
      <c r="AM56" s="306">
        <v>5040000</v>
      </c>
    </row>
    <row r="57" spans="1:39" hidden="1" x14ac:dyDescent="0.35">
      <c r="A57" s="476" t="s">
        <v>2002</v>
      </c>
      <c r="B57" s="477">
        <v>42260948</v>
      </c>
      <c r="C57" s="212" t="s">
        <v>2544</v>
      </c>
      <c r="D57" s="212">
        <v>55</v>
      </c>
      <c r="E57" s="478">
        <v>20212000001323</v>
      </c>
      <c r="F57" s="479">
        <v>44214</v>
      </c>
      <c r="G57" s="478" t="s">
        <v>2538</v>
      </c>
      <c r="H57" s="212" t="s">
        <v>2539</v>
      </c>
      <c r="I57" s="212" t="s">
        <v>391</v>
      </c>
      <c r="J57" s="475">
        <v>38918274</v>
      </c>
      <c r="K57" s="210" t="s">
        <v>2609</v>
      </c>
      <c r="L57" s="212" t="s">
        <v>2610</v>
      </c>
      <c r="M57" s="212" t="s">
        <v>44</v>
      </c>
      <c r="N57" s="212" t="s">
        <v>45</v>
      </c>
      <c r="O57" s="212" t="s">
        <v>63</v>
      </c>
      <c r="P57" s="212" t="s">
        <v>674</v>
      </c>
      <c r="R57" s="212">
        <v>56</v>
      </c>
      <c r="S57" s="479">
        <v>44214</v>
      </c>
      <c r="T57" s="212" t="s">
        <v>2664</v>
      </c>
      <c r="U57" s="475">
        <f>38918274-3103914</f>
        <v>35814360</v>
      </c>
      <c r="V57" s="411">
        <v>3103914</v>
      </c>
      <c r="W57" s="397"/>
      <c r="X57" s="483">
        <v>136</v>
      </c>
      <c r="Y57" s="484">
        <v>44243</v>
      </c>
      <c r="Z57" s="484">
        <v>44243</v>
      </c>
      <c r="AA57" s="484">
        <v>44546</v>
      </c>
      <c r="AB57" s="485" t="s">
        <v>2548</v>
      </c>
      <c r="AC57" s="483">
        <v>92</v>
      </c>
      <c r="AD57" s="485">
        <v>1052400677</v>
      </c>
      <c r="AE57" s="486" t="s">
        <v>2665</v>
      </c>
      <c r="AF57" s="473">
        <v>35814360</v>
      </c>
      <c r="AG57" s="474">
        <f t="shared" si="0"/>
        <v>0</v>
      </c>
      <c r="AJ57" s="475">
        <v>1551956</v>
      </c>
      <c r="AK57" s="475">
        <v>3581436</v>
      </c>
      <c r="AL57" s="475">
        <v>3581436</v>
      </c>
      <c r="AM57" s="306">
        <v>3581436</v>
      </c>
    </row>
    <row r="58" spans="1:39" hidden="1" x14ac:dyDescent="0.35">
      <c r="A58" s="476" t="s">
        <v>1810</v>
      </c>
      <c r="B58" s="477">
        <v>23287500</v>
      </c>
      <c r="C58" s="212" t="s">
        <v>2544</v>
      </c>
      <c r="D58" s="212">
        <v>56</v>
      </c>
      <c r="E58" s="478">
        <v>20211400001493</v>
      </c>
      <c r="F58" s="479">
        <v>44214</v>
      </c>
      <c r="G58" s="478" t="s">
        <v>2545</v>
      </c>
      <c r="H58" s="212" t="s">
        <v>2546</v>
      </c>
      <c r="I58" s="212" t="s">
        <v>184</v>
      </c>
      <c r="J58" s="475">
        <v>23287500</v>
      </c>
      <c r="K58" s="212" t="s">
        <v>138</v>
      </c>
      <c r="L58" s="212" t="s">
        <v>2550</v>
      </c>
      <c r="M58" s="212" t="s">
        <v>44</v>
      </c>
      <c r="N58" s="212" t="s">
        <v>45</v>
      </c>
      <c r="O58" s="212" t="s">
        <v>142</v>
      </c>
      <c r="P58" s="212" t="s">
        <v>43</v>
      </c>
      <c r="R58" s="212">
        <v>61</v>
      </c>
      <c r="S58" s="479">
        <v>44214</v>
      </c>
      <c r="T58" s="212" t="s">
        <v>2551</v>
      </c>
      <c r="U58" s="475">
        <v>23287500</v>
      </c>
      <c r="V58" s="406"/>
      <c r="W58" s="362"/>
      <c r="X58" s="211">
        <v>33</v>
      </c>
      <c r="Y58" s="472">
        <v>44223</v>
      </c>
      <c r="Z58" s="472">
        <v>44223</v>
      </c>
      <c r="AA58" s="472">
        <v>44496</v>
      </c>
      <c r="AB58" s="2" t="s">
        <v>2548</v>
      </c>
      <c r="AC58" s="211">
        <v>14</v>
      </c>
      <c r="AD58" s="2">
        <v>1001167443</v>
      </c>
      <c r="AE58" s="212" t="s">
        <v>2666</v>
      </c>
      <c r="AF58" s="473">
        <v>23287500</v>
      </c>
      <c r="AG58" s="474">
        <f t="shared" si="0"/>
        <v>0</v>
      </c>
      <c r="AI58" s="475">
        <v>345000</v>
      </c>
      <c r="AJ58" s="481">
        <v>2587500</v>
      </c>
      <c r="AK58" s="475">
        <v>2587500</v>
      </c>
      <c r="AL58" s="475">
        <v>2587500</v>
      </c>
      <c r="AM58" s="306">
        <v>2587500</v>
      </c>
    </row>
    <row r="59" spans="1:39" hidden="1" x14ac:dyDescent="0.35">
      <c r="A59" s="476" t="s">
        <v>1812</v>
      </c>
      <c r="B59" s="477">
        <v>68400000</v>
      </c>
      <c r="C59" s="212" t="s">
        <v>2544</v>
      </c>
      <c r="D59" s="212">
        <v>57</v>
      </c>
      <c r="E59" s="478">
        <v>20214000001463</v>
      </c>
      <c r="F59" s="479">
        <v>44214</v>
      </c>
      <c r="G59" s="478" t="s">
        <v>2571</v>
      </c>
      <c r="H59" s="212" t="s">
        <v>2572</v>
      </c>
      <c r="I59" s="212" t="s">
        <v>117</v>
      </c>
      <c r="J59" s="480">
        <v>22800000</v>
      </c>
      <c r="K59" s="212" t="s">
        <v>112</v>
      </c>
      <c r="L59" s="212" t="s">
        <v>2573</v>
      </c>
      <c r="M59" s="212" t="s">
        <v>44</v>
      </c>
      <c r="N59" s="212" t="s">
        <v>45</v>
      </c>
      <c r="O59" s="212" t="s">
        <v>63</v>
      </c>
      <c r="P59" s="212" t="s">
        <v>43</v>
      </c>
      <c r="R59" s="212">
        <v>60</v>
      </c>
      <c r="S59" s="479">
        <v>44214</v>
      </c>
      <c r="T59" s="212" t="s">
        <v>2667</v>
      </c>
      <c r="U59" s="480">
        <v>22800000</v>
      </c>
      <c r="V59" s="406"/>
      <c r="W59" s="399"/>
      <c r="X59" s="211">
        <v>30</v>
      </c>
      <c r="Y59" s="472">
        <v>44222</v>
      </c>
      <c r="Z59" s="472">
        <v>44222</v>
      </c>
      <c r="AA59" s="472">
        <v>44342</v>
      </c>
      <c r="AB59" s="2" t="s">
        <v>2548</v>
      </c>
      <c r="AC59" s="211">
        <v>10</v>
      </c>
      <c r="AD59" s="2">
        <v>1032359934</v>
      </c>
      <c r="AE59" s="212" t="s">
        <v>2668</v>
      </c>
      <c r="AF59" s="488">
        <v>19984000</v>
      </c>
      <c r="AG59" s="474">
        <f t="shared" si="0"/>
        <v>2816000</v>
      </c>
      <c r="AH59" s="480"/>
      <c r="AI59" s="480"/>
      <c r="AJ59" s="480"/>
      <c r="AK59" s="480"/>
      <c r="AL59" s="480"/>
      <c r="AM59" s="212"/>
    </row>
    <row r="60" spans="1:39" hidden="1" x14ac:dyDescent="0.35">
      <c r="A60" s="476" t="s">
        <v>1744</v>
      </c>
      <c r="B60" s="477">
        <v>29700000</v>
      </c>
      <c r="C60" s="212" t="s">
        <v>2544</v>
      </c>
      <c r="D60" s="212">
        <v>58</v>
      </c>
      <c r="E60" s="478">
        <v>20216000001413</v>
      </c>
      <c r="F60" s="479">
        <v>44214</v>
      </c>
      <c r="G60" s="478" t="s">
        <v>2545</v>
      </c>
      <c r="H60" s="212" t="s">
        <v>2546</v>
      </c>
      <c r="I60" s="212" t="s">
        <v>214</v>
      </c>
      <c r="J60" s="475">
        <v>16200000</v>
      </c>
      <c r="K60" s="212" t="s">
        <v>138</v>
      </c>
      <c r="L60" s="212" t="s">
        <v>139</v>
      </c>
      <c r="M60" s="212" t="s">
        <v>44</v>
      </c>
      <c r="N60" s="212" t="s">
        <v>45</v>
      </c>
      <c r="O60" s="212" t="s">
        <v>142</v>
      </c>
      <c r="P60" s="212" t="s">
        <v>43</v>
      </c>
      <c r="R60" s="212">
        <v>59</v>
      </c>
      <c r="S60" s="479">
        <v>44214</v>
      </c>
      <c r="T60" s="212" t="s">
        <v>2669</v>
      </c>
      <c r="U60" s="475">
        <v>16200000</v>
      </c>
      <c r="V60" s="406"/>
      <c r="W60" s="362"/>
      <c r="X60" s="211">
        <v>17</v>
      </c>
      <c r="Y60" s="472">
        <v>44216</v>
      </c>
      <c r="Z60" s="472">
        <v>44216</v>
      </c>
      <c r="AA60" s="472">
        <v>44397</v>
      </c>
      <c r="AB60" s="2" t="s">
        <v>2548</v>
      </c>
      <c r="AC60" s="211">
        <v>5</v>
      </c>
      <c r="AD60" s="2">
        <v>1026583329</v>
      </c>
      <c r="AE60" s="212" t="s">
        <v>2670</v>
      </c>
      <c r="AF60" s="473">
        <v>16200000</v>
      </c>
      <c r="AG60" s="474">
        <f t="shared" si="0"/>
        <v>0</v>
      </c>
      <c r="AI60" s="480">
        <v>990000</v>
      </c>
      <c r="AJ60" s="475">
        <v>2700000</v>
      </c>
      <c r="AK60" s="475">
        <v>2700000</v>
      </c>
      <c r="AL60" s="475">
        <v>2700000</v>
      </c>
      <c r="AM60" s="306">
        <v>2700000</v>
      </c>
    </row>
    <row r="61" spans="1:39" hidden="1" x14ac:dyDescent="0.35">
      <c r="A61" s="476" t="s">
        <v>1743</v>
      </c>
      <c r="B61" s="477">
        <v>85250000</v>
      </c>
      <c r="C61" s="212" t="s">
        <v>2544</v>
      </c>
      <c r="D61" s="212">
        <v>59</v>
      </c>
      <c r="E61" s="478">
        <v>20216000001383</v>
      </c>
      <c r="F61" s="479">
        <v>44214</v>
      </c>
      <c r="G61" s="478" t="s">
        <v>2545</v>
      </c>
      <c r="H61" s="212" t="s">
        <v>2546</v>
      </c>
      <c r="I61" s="212" t="s">
        <v>214</v>
      </c>
      <c r="J61" s="475">
        <v>46500000</v>
      </c>
      <c r="K61" s="212" t="s">
        <v>138</v>
      </c>
      <c r="L61" s="212" t="s">
        <v>139</v>
      </c>
      <c r="M61" s="212" t="s">
        <v>44</v>
      </c>
      <c r="N61" s="212" t="s">
        <v>45</v>
      </c>
      <c r="O61" s="212" t="s">
        <v>142</v>
      </c>
      <c r="P61" s="212" t="s">
        <v>43</v>
      </c>
      <c r="R61" s="212">
        <v>57</v>
      </c>
      <c r="S61" s="479">
        <v>44214</v>
      </c>
      <c r="T61" s="212" t="s">
        <v>2671</v>
      </c>
      <c r="U61" s="475">
        <v>46500000</v>
      </c>
      <c r="V61" s="406"/>
      <c r="W61" s="362"/>
      <c r="X61" s="211">
        <v>35</v>
      </c>
      <c r="Y61" s="472">
        <v>44223</v>
      </c>
      <c r="Z61" s="472">
        <v>44223</v>
      </c>
      <c r="AA61" s="472">
        <v>44404</v>
      </c>
      <c r="AB61" s="2" t="s">
        <v>2548</v>
      </c>
      <c r="AC61" s="211">
        <v>12</v>
      </c>
      <c r="AD61" s="2">
        <v>52433506</v>
      </c>
      <c r="AE61" s="212" t="s">
        <v>2672</v>
      </c>
      <c r="AF61" s="473">
        <v>46500000</v>
      </c>
      <c r="AG61" s="474">
        <f t="shared" si="0"/>
        <v>0</v>
      </c>
      <c r="AJ61" s="475">
        <v>8266667</v>
      </c>
      <c r="AK61" s="475">
        <v>7750000</v>
      </c>
      <c r="AL61" s="475">
        <v>7750000</v>
      </c>
      <c r="AM61" s="306">
        <v>7750000</v>
      </c>
    </row>
    <row r="62" spans="1:39" hidden="1" x14ac:dyDescent="0.35">
      <c r="A62" s="476" t="s">
        <v>1744</v>
      </c>
      <c r="B62" s="477">
        <v>29700000</v>
      </c>
      <c r="C62" s="212" t="s">
        <v>2544</v>
      </c>
      <c r="D62" s="212">
        <v>60</v>
      </c>
      <c r="E62" s="478">
        <v>20216000001403</v>
      </c>
      <c r="F62" s="479">
        <v>44214</v>
      </c>
      <c r="G62" s="478" t="s">
        <v>2545</v>
      </c>
      <c r="H62" s="212" t="s">
        <v>2546</v>
      </c>
      <c r="I62" s="212" t="s">
        <v>214</v>
      </c>
      <c r="J62" s="475">
        <v>16200000</v>
      </c>
      <c r="K62" s="212" t="s">
        <v>138</v>
      </c>
      <c r="L62" s="212" t="s">
        <v>139</v>
      </c>
      <c r="M62" s="212" t="s">
        <v>44</v>
      </c>
      <c r="N62" s="212" t="s">
        <v>45</v>
      </c>
      <c r="O62" s="212" t="s">
        <v>142</v>
      </c>
      <c r="P62" s="212" t="s">
        <v>43</v>
      </c>
      <c r="R62" s="212">
        <v>58</v>
      </c>
      <c r="S62" s="479">
        <v>44214</v>
      </c>
      <c r="T62" s="212" t="s">
        <v>2669</v>
      </c>
      <c r="U62" s="475">
        <v>16200000</v>
      </c>
      <c r="V62" s="406"/>
      <c r="W62" s="362"/>
      <c r="X62" s="211">
        <v>18</v>
      </c>
      <c r="Y62" s="472">
        <v>44216</v>
      </c>
      <c r="Z62" s="472">
        <v>44216</v>
      </c>
      <c r="AA62" s="472">
        <v>44397</v>
      </c>
      <c r="AB62" s="2" t="s">
        <v>2548</v>
      </c>
      <c r="AC62" s="211">
        <v>4</v>
      </c>
      <c r="AD62" s="2">
        <v>79514189</v>
      </c>
      <c r="AE62" s="212" t="s">
        <v>2673</v>
      </c>
      <c r="AF62" s="473">
        <v>16200000</v>
      </c>
      <c r="AG62" s="474">
        <f t="shared" si="0"/>
        <v>0</v>
      </c>
      <c r="AI62" s="480">
        <v>990000</v>
      </c>
      <c r="AJ62" s="475">
        <v>2700000</v>
      </c>
      <c r="AK62" s="475">
        <v>2700000</v>
      </c>
      <c r="AL62" s="475">
        <v>2700000</v>
      </c>
      <c r="AM62" s="306">
        <v>2700000</v>
      </c>
    </row>
    <row r="63" spans="1:39" hidden="1" x14ac:dyDescent="0.35">
      <c r="A63" s="476" t="s">
        <v>1745</v>
      </c>
      <c r="B63" s="477">
        <v>88000000</v>
      </c>
      <c r="C63" s="212" t="s">
        <v>2544</v>
      </c>
      <c r="D63" s="212">
        <v>61</v>
      </c>
      <c r="E63" s="478">
        <v>20216000001373</v>
      </c>
      <c r="F63" s="479">
        <v>44214</v>
      </c>
      <c r="G63" s="478" t="s">
        <v>2545</v>
      </c>
      <c r="H63" s="212" t="s">
        <v>2546</v>
      </c>
      <c r="I63" s="212" t="s">
        <v>214</v>
      </c>
      <c r="J63" s="475">
        <v>48000000</v>
      </c>
      <c r="K63" s="212" t="s">
        <v>138</v>
      </c>
      <c r="L63" s="212" t="s">
        <v>139</v>
      </c>
      <c r="M63" s="212" t="s">
        <v>44</v>
      </c>
      <c r="N63" s="212" t="s">
        <v>45</v>
      </c>
      <c r="O63" s="212" t="s">
        <v>142</v>
      </c>
      <c r="P63" s="212" t="s">
        <v>43</v>
      </c>
      <c r="R63" s="212">
        <v>62</v>
      </c>
      <c r="S63" s="479">
        <v>44214</v>
      </c>
      <c r="T63" s="212" t="s">
        <v>2674</v>
      </c>
      <c r="U63" s="475">
        <v>48000000</v>
      </c>
      <c r="V63" s="406"/>
      <c r="W63" s="362"/>
      <c r="X63" s="211">
        <v>20</v>
      </c>
      <c r="Y63" s="472">
        <v>44216</v>
      </c>
      <c r="Z63" s="472">
        <v>44216</v>
      </c>
      <c r="AA63" s="472">
        <v>44397</v>
      </c>
      <c r="AB63" s="2" t="s">
        <v>2548</v>
      </c>
      <c r="AC63" s="211">
        <v>8</v>
      </c>
      <c r="AD63" s="2">
        <v>52310337</v>
      </c>
      <c r="AE63" s="212" t="s">
        <v>2675</v>
      </c>
      <c r="AF63" s="473">
        <v>48000000</v>
      </c>
      <c r="AG63" s="474">
        <f t="shared" si="0"/>
        <v>0</v>
      </c>
      <c r="AI63" s="480">
        <v>2666667</v>
      </c>
      <c r="AJ63" s="475">
        <v>8000000</v>
      </c>
      <c r="AK63" s="475">
        <v>8000000</v>
      </c>
      <c r="AL63" s="475">
        <v>8000000</v>
      </c>
      <c r="AM63" s="306">
        <v>8000000</v>
      </c>
    </row>
    <row r="64" spans="1:39" hidden="1" x14ac:dyDescent="0.35">
      <c r="A64" s="476" t="s">
        <v>2676</v>
      </c>
      <c r="B64" s="477">
        <v>47092500</v>
      </c>
      <c r="C64" s="212" t="s">
        <v>2544</v>
      </c>
      <c r="D64" s="212">
        <v>62</v>
      </c>
      <c r="E64" s="478">
        <v>20211400001543</v>
      </c>
      <c r="F64" s="479">
        <v>44214</v>
      </c>
      <c r="G64" s="478" t="s">
        <v>2545</v>
      </c>
      <c r="H64" s="212" t="s">
        <v>2546</v>
      </c>
      <c r="I64" s="212" t="s">
        <v>184</v>
      </c>
      <c r="J64" s="475">
        <v>47092500</v>
      </c>
      <c r="K64" s="212" t="s">
        <v>138</v>
      </c>
      <c r="L64" s="212" t="s">
        <v>2550</v>
      </c>
      <c r="M64" s="212" t="s">
        <v>44</v>
      </c>
      <c r="N64" s="212" t="s">
        <v>45</v>
      </c>
      <c r="O64" s="212" t="s">
        <v>142</v>
      </c>
      <c r="P64" s="212" t="s">
        <v>43</v>
      </c>
      <c r="R64" s="212">
        <v>66</v>
      </c>
      <c r="S64" s="479">
        <v>44214</v>
      </c>
      <c r="T64" s="212" t="s">
        <v>2677</v>
      </c>
      <c r="U64" s="475">
        <v>47092500</v>
      </c>
      <c r="V64" s="406"/>
      <c r="W64" s="362"/>
      <c r="X64" s="308">
        <v>76</v>
      </c>
      <c r="Y64" s="484">
        <v>44231</v>
      </c>
      <c r="Z64" s="484">
        <v>44231</v>
      </c>
      <c r="AA64" s="484">
        <v>44443</v>
      </c>
      <c r="AB64" s="485" t="s">
        <v>2548</v>
      </c>
      <c r="AC64" s="211">
        <v>40</v>
      </c>
      <c r="AD64" s="487">
        <v>79531707</v>
      </c>
      <c r="AE64" s="486" t="s">
        <v>2678</v>
      </c>
      <c r="AF64" s="473">
        <v>47092500</v>
      </c>
      <c r="AG64" s="474">
        <f t="shared" si="0"/>
        <v>0</v>
      </c>
      <c r="AJ64" s="481">
        <v>5382000</v>
      </c>
      <c r="AK64" s="475">
        <v>6727500</v>
      </c>
      <c r="AL64" s="475">
        <v>6727500</v>
      </c>
      <c r="AM64" s="306">
        <v>6727500</v>
      </c>
    </row>
    <row r="65" spans="1:39" hidden="1" x14ac:dyDescent="0.35">
      <c r="A65" s="476" t="s">
        <v>2402</v>
      </c>
      <c r="B65" s="477">
        <v>66198000</v>
      </c>
      <c r="C65" s="212" t="s">
        <v>2544</v>
      </c>
      <c r="D65" s="212">
        <v>63</v>
      </c>
      <c r="E65" s="478">
        <v>20212000007943</v>
      </c>
      <c r="F65" s="479">
        <v>44243</v>
      </c>
      <c r="G65" s="478" t="s">
        <v>2538</v>
      </c>
      <c r="H65" s="212" t="s">
        <v>2539</v>
      </c>
      <c r="I65" s="212" t="s">
        <v>391</v>
      </c>
      <c r="J65" s="475">
        <v>56100000</v>
      </c>
      <c r="K65" s="210" t="s">
        <v>2609</v>
      </c>
      <c r="L65" s="212" t="s">
        <v>2610</v>
      </c>
      <c r="M65" s="212" t="s">
        <v>44</v>
      </c>
      <c r="N65" s="212" t="s">
        <v>45</v>
      </c>
      <c r="O65" s="212" t="s">
        <v>63</v>
      </c>
      <c r="P65" s="212" t="s">
        <v>674</v>
      </c>
      <c r="R65" s="212">
        <v>243</v>
      </c>
      <c r="S65" s="479">
        <v>44243</v>
      </c>
      <c r="T65" s="212" t="s">
        <v>2679</v>
      </c>
      <c r="U65" s="475">
        <f>56100000-2805000</f>
        <v>53295000</v>
      </c>
      <c r="V65" s="411">
        <v>2805000</v>
      </c>
      <c r="W65" s="397"/>
      <c r="X65" s="308">
        <v>209</v>
      </c>
      <c r="Y65" s="484">
        <v>44256</v>
      </c>
      <c r="Z65" s="484">
        <v>44256</v>
      </c>
      <c r="AA65" s="484">
        <v>44545</v>
      </c>
      <c r="AB65" s="485" t="s">
        <v>2548</v>
      </c>
      <c r="AC65" s="211">
        <v>152</v>
      </c>
      <c r="AD65" s="485" t="s">
        <v>2680</v>
      </c>
      <c r="AE65" s="486" t="s">
        <v>2681</v>
      </c>
      <c r="AF65" s="473">
        <v>53295000</v>
      </c>
      <c r="AG65" s="474">
        <f t="shared" si="0"/>
        <v>0</v>
      </c>
      <c r="AK65" s="475">
        <v>5236000</v>
      </c>
      <c r="AL65" s="475">
        <v>5610000</v>
      </c>
      <c r="AM65" s="306">
        <v>5610000</v>
      </c>
    </row>
    <row r="66" spans="1:39" hidden="1" x14ac:dyDescent="0.35">
      <c r="A66" s="476" t="s">
        <v>2009</v>
      </c>
      <c r="B66" s="477">
        <v>55300000</v>
      </c>
      <c r="C66" s="212" t="s">
        <v>2544</v>
      </c>
      <c r="D66" s="212">
        <v>64</v>
      </c>
      <c r="E66" s="478">
        <v>20211400001533</v>
      </c>
      <c r="F66" s="479">
        <v>44214</v>
      </c>
      <c r="G66" s="478" t="s">
        <v>2545</v>
      </c>
      <c r="H66" s="212" t="s">
        <v>2546</v>
      </c>
      <c r="I66" s="212" t="s">
        <v>184</v>
      </c>
      <c r="J66" s="475">
        <v>55300000</v>
      </c>
      <c r="K66" s="212" t="s">
        <v>138</v>
      </c>
      <c r="L66" s="212" t="s">
        <v>2550</v>
      </c>
      <c r="M66" s="212" t="s">
        <v>44</v>
      </c>
      <c r="N66" s="212" t="s">
        <v>45</v>
      </c>
      <c r="O66" s="212" t="s">
        <v>142</v>
      </c>
      <c r="P66" s="212" t="s">
        <v>43</v>
      </c>
      <c r="R66" s="212">
        <v>65</v>
      </c>
      <c r="S66" s="479">
        <v>44214</v>
      </c>
      <c r="T66" s="212" t="s">
        <v>2682</v>
      </c>
      <c r="U66" s="475">
        <v>55300000</v>
      </c>
      <c r="V66" s="406"/>
      <c r="W66" s="362"/>
      <c r="X66" s="308">
        <v>91</v>
      </c>
      <c r="Y66" s="484">
        <v>44235</v>
      </c>
      <c r="Z66" s="484">
        <v>44235</v>
      </c>
      <c r="AA66" s="484">
        <v>44447</v>
      </c>
      <c r="AB66" s="485" t="s">
        <v>2548</v>
      </c>
      <c r="AC66" s="211">
        <v>49</v>
      </c>
      <c r="AD66" s="487">
        <v>80100229</v>
      </c>
      <c r="AE66" s="486" t="s">
        <v>2683</v>
      </c>
      <c r="AF66" s="473">
        <v>55300000</v>
      </c>
      <c r="AG66" s="474">
        <f t="shared" ref="AG66:AG129" si="1">+U66-AF66</f>
        <v>0</v>
      </c>
      <c r="AJ66" s="481">
        <v>5530000</v>
      </c>
      <c r="AK66" s="475">
        <v>7900000</v>
      </c>
      <c r="AL66" s="475">
        <v>7900000</v>
      </c>
      <c r="AM66" s="306">
        <v>7900000</v>
      </c>
    </row>
    <row r="67" spans="1:39" hidden="1" x14ac:dyDescent="0.35">
      <c r="A67" s="476" t="s">
        <v>2380</v>
      </c>
      <c r="B67" s="477">
        <v>82133333</v>
      </c>
      <c r="C67" s="212" t="s">
        <v>2544</v>
      </c>
      <c r="D67" s="212">
        <v>65</v>
      </c>
      <c r="E67" s="478">
        <v>20214000004723</v>
      </c>
      <c r="F67" s="479">
        <v>44229</v>
      </c>
      <c r="G67" s="478" t="s">
        <v>2578</v>
      </c>
      <c r="H67" s="212" t="s">
        <v>2579</v>
      </c>
      <c r="I67" s="212" t="s">
        <v>47</v>
      </c>
      <c r="J67" s="475">
        <v>64000000</v>
      </c>
      <c r="K67" s="212" t="s">
        <v>37</v>
      </c>
      <c r="L67" s="212" t="s">
        <v>2580</v>
      </c>
      <c r="M67" s="212" t="s">
        <v>44</v>
      </c>
      <c r="N67" s="212" t="s">
        <v>45</v>
      </c>
      <c r="O67" s="212" t="s">
        <v>310</v>
      </c>
      <c r="P67" s="212" t="s">
        <v>43</v>
      </c>
      <c r="R67" s="212">
        <v>172</v>
      </c>
      <c r="S67" s="479">
        <v>44229</v>
      </c>
      <c r="T67" s="212" t="s">
        <v>2684</v>
      </c>
      <c r="U67" s="475">
        <v>64000000</v>
      </c>
      <c r="V67" s="406"/>
      <c r="W67" s="362"/>
      <c r="X67" s="308">
        <v>210</v>
      </c>
      <c r="Y67" s="484">
        <v>44256</v>
      </c>
      <c r="Z67" s="484">
        <v>44256</v>
      </c>
      <c r="AA67" s="484">
        <v>44499</v>
      </c>
      <c r="AB67" s="485" t="s">
        <v>2548</v>
      </c>
      <c r="AC67" s="211">
        <v>149</v>
      </c>
      <c r="AD67" s="485" t="s">
        <v>2685</v>
      </c>
      <c r="AE67" s="486" t="s">
        <v>2686</v>
      </c>
      <c r="AF67" s="473">
        <v>64000000</v>
      </c>
      <c r="AG67" s="474">
        <f t="shared" si="1"/>
        <v>0</v>
      </c>
      <c r="AK67" s="475">
        <v>7733333</v>
      </c>
      <c r="AL67" s="475">
        <v>8000000</v>
      </c>
      <c r="AM67" s="306">
        <v>8000000</v>
      </c>
    </row>
    <row r="68" spans="1:39" hidden="1" x14ac:dyDescent="0.35">
      <c r="A68" s="476" t="s">
        <v>2008</v>
      </c>
      <c r="B68" s="477">
        <v>62341552</v>
      </c>
      <c r="C68" s="212" t="s">
        <v>2544</v>
      </c>
      <c r="D68" s="212">
        <v>66</v>
      </c>
      <c r="E68" s="478">
        <v>20211400001523</v>
      </c>
      <c r="F68" s="479">
        <v>44214</v>
      </c>
      <c r="G68" s="478" t="s">
        <v>2545</v>
      </c>
      <c r="H68" s="212" t="s">
        <v>2546</v>
      </c>
      <c r="I68" s="212" t="s">
        <v>184</v>
      </c>
      <c r="J68" s="475">
        <v>62341552</v>
      </c>
      <c r="K68" s="212" t="s">
        <v>138</v>
      </c>
      <c r="L68" s="212" t="s">
        <v>2550</v>
      </c>
      <c r="M68" s="212" t="s">
        <v>44</v>
      </c>
      <c r="N68" s="212" t="s">
        <v>45</v>
      </c>
      <c r="O68" s="212" t="s">
        <v>142</v>
      </c>
      <c r="P68" s="212" t="s">
        <v>43</v>
      </c>
      <c r="R68" s="212">
        <v>64</v>
      </c>
      <c r="S68" s="479">
        <v>44214</v>
      </c>
      <c r="T68" s="212" t="s">
        <v>2687</v>
      </c>
      <c r="U68" s="475">
        <v>62341552</v>
      </c>
      <c r="V68" s="406"/>
      <c r="W68" s="362"/>
      <c r="X68" s="308">
        <v>115</v>
      </c>
      <c r="Y68" s="484">
        <v>44237</v>
      </c>
      <c r="Z68" s="484">
        <v>44237</v>
      </c>
      <c r="AA68" s="484">
        <v>44449</v>
      </c>
      <c r="AB68" s="485" t="s">
        <v>2548</v>
      </c>
      <c r="AC68" s="211">
        <v>65</v>
      </c>
      <c r="AD68" s="487">
        <v>13171587</v>
      </c>
      <c r="AE68" s="486" t="s">
        <v>2688</v>
      </c>
      <c r="AF68" s="473">
        <v>62341552</v>
      </c>
      <c r="AG68" s="474">
        <f t="shared" si="1"/>
        <v>0</v>
      </c>
      <c r="AJ68" s="481">
        <v>5343562</v>
      </c>
      <c r="AK68" s="475">
        <v>8905936</v>
      </c>
      <c r="AL68" s="475">
        <v>8905936</v>
      </c>
      <c r="AM68" s="306">
        <v>8905936</v>
      </c>
    </row>
    <row r="69" spans="1:39" hidden="1" x14ac:dyDescent="0.35">
      <c r="B69" s="477" t="s">
        <v>2581</v>
      </c>
      <c r="C69" s="212" t="s">
        <v>2544</v>
      </c>
      <c r="D69" s="212">
        <v>67</v>
      </c>
      <c r="E69" s="478">
        <v>20213000001603</v>
      </c>
      <c r="F69" s="479">
        <v>44215</v>
      </c>
      <c r="G69" s="478" t="s">
        <v>2538</v>
      </c>
      <c r="H69" s="212" t="s">
        <v>2539</v>
      </c>
      <c r="I69" s="212" t="s">
        <v>432</v>
      </c>
      <c r="J69" s="475">
        <v>17400000</v>
      </c>
      <c r="K69" s="212" t="s">
        <v>358</v>
      </c>
      <c r="L69" s="212" t="s">
        <v>2689</v>
      </c>
      <c r="M69" s="212" t="s">
        <v>44</v>
      </c>
      <c r="N69" s="212" t="s">
        <v>45</v>
      </c>
      <c r="O69" s="212" t="s">
        <v>63</v>
      </c>
      <c r="P69" s="212" t="s">
        <v>674</v>
      </c>
      <c r="R69" s="212">
        <v>68</v>
      </c>
      <c r="S69" s="479">
        <v>44215</v>
      </c>
      <c r="T69" s="212" t="s">
        <v>2690</v>
      </c>
      <c r="U69" s="475">
        <v>17400000</v>
      </c>
      <c r="V69" s="406"/>
      <c r="W69" s="362"/>
      <c r="X69" s="211">
        <v>26</v>
      </c>
      <c r="Y69" s="472">
        <v>44218</v>
      </c>
      <c r="Z69" s="472">
        <v>44221</v>
      </c>
      <c r="AA69" s="472">
        <v>44279</v>
      </c>
      <c r="AB69" s="2" t="s">
        <v>2548</v>
      </c>
      <c r="AC69" s="211">
        <v>454</v>
      </c>
      <c r="AD69" s="2">
        <v>47439734</v>
      </c>
      <c r="AE69" s="212" t="s">
        <v>2691</v>
      </c>
      <c r="AF69" s="473">
        <v>17400000</v>
      </c>
      <c r="AG69" s="474">
        <f t="shared" si="1"/>
        <v>0</v>
      </c>
      <c r="AI69" s="480">
        <v>8700000</v>
      </c>
      <c r="AJ69" s="475">
        <v>8700000</v>
      </c>
      <c r="AM69" s="212"/>
    </row>
    <row r="70" spans="1:39" hidden="1" x14ac:dyDescent="0.35">
      <c r="B70" s="477" t="s">
        <v>2581</v>
      </c>
      <c r="C70" s="212" t="s">
        <v>2544</v>
      </c>
      <c r="D70" s="212">
        <v>68</v>
      </c>
      <c r="E70" s="478">
        <v>20217000001633</v>
      </c>
      <c r="F70" s="479">
        <v>44216</v>
      </c>
      <c r="G70" s="478" t="s">
        <v>2545</v>
      </c>
      <c r="H70" s="212" t="s">
        <v>2546</v>
      </c>
      <c r="I70" s="212" t="s">
        <v>164</v>
      </c>
      <c r="J70" s="475">
        <v>6144614</v>
      </c>
      <c r="K70" s="212" t="s">
        <v>138</v>
      </c>
      <c r="L70" s="212" t="s">
        <v>139</v>
      </c>
      <c r="M70" s="212" t="s">
        <v>44</v>
      </c>
      <c r="N70" s="212" t="s">
        <v>45</v>
      </c>
      <c r="O70" s="212" t="s">
        <v>142</v>
      </c>
      <c r="P70" s="212" t="s">
        <v>43</v>
      </c>
      <c r="R70" s="212">
        <v>69</v>
      </c>
      <c r="S70" s="479">
        <v>44216</v>
      </c>
      <c r="T70" s="212" t="s">
        <v>2692</v>
      </c>
      <c r="U70" s="475">
        <v>6144614</v>
      </c>
      <c r="V70" s="406"/>
      <c r="W70" s="362"/>
      <c r="X70" s="211">
        <v>28</v>
      </c>
      <c r="Y70" s="472">
        <v>44218</v>
      </c>
      <c r="Z70" s="472">
        <v>44220</v>
      </c>
      <c r="AA70" s="472">
        <v>44278</v>
      </c>
      <c r="AB70" s="2" t="s">
        <v>2548</v>
      </c>
      <c r="AC70" s="211">
        <v>426</v>
      </c>
      <c r="AD70" s="2">
        <v>53116356</v>
      </c>
      <c r="AE70" s="212" t="s">
        <v>2693</v>
      </c>
      <c r="AF70" s="473">
        <v>6144614</v>
      </c>
      <c r="AG70" s="474">
        <f t="shared" si="1"/>
        <v>0</v>
      </c>
      <c r="AI70" s="475">
        <v>716871</v>
      </c>
      <c r="AJ70" s="475">
        <v>3072307</v>
      </c>
      <c r="AK70" s="475">
        <v>2355436</v>
      </c>
      <c r="AM70" s="212"/>
    </row>
    <row r="71" spans="1:39" hidden="1" x14ac:dyDescent="0.35">
      <c r="B71" s="477" t="s">
        <v>2694</v>
      </c>
      <c r="C71" s="212" t="s">
        <v>2695</v>
      </c>
      <c r="D71" s="212">
        <v>69</v>
      </c>
      <c r="E71" s="478">
        <v>20213000001933</v>
      </c>
      <c r="F71" s="479">
        <v>44216</v>
      </c>
      <c r="G71" s="478" t="s">
        <v>2538</v>
      </c>
      <c r="H71" s="212" t="s">
        <v>2539</v>
      </c>
      <c r="I71" s="212" t="s">
        <v>432</v>
      </c>
      <c r="J71" s="475">
        <v>9600000</v>
      </c>
      <c r="K71" s="212" t="s">
        <v>358</v>
      </c>
      <c r="L71" s="212" t="s">
        <v>2689</v>
      </c>
      <c r="M71" s="212" t="s">
        <v>44</v>
      </c>
      <c r="N71" s="212" t="s">
        <v>45</v>
      </c>
      <c r="O71" s="212" t="s">
        <v>63</v>
      </c>
      <c r="P71" s="212" t="s">
        <v>674</v>
      </c>
      <c r="R71" s="212">
        <v>70</v>
      </c>
      <c r="S71" s="479">
        <v>44216</v>
      </c>
      <c r="T71" s="212" t="s">
        <v>2696</v>
      </c>
      <c r="U71" s="475">
        <v>9600000</v>
      </c>
      <c r="V71" s="406"/>
      <c r="W71" s="362"/>
      <c r="X71" s="211">
        <v>36</v>
      </c>
      <c r="Y71" s="472">
        <v>44223</v>
      </c>
      <c r="Z71" s="472">
        <v>44224</v>
      </c>
      <c r="AA71" s="472">
        <v>44282</v>
      </c>
      <c r="AB71" s="2" t="s">
        <v>2548</v>
      </c>
      <c r="AC71" s="211">
        <v>465</v>
      </c>
      <c r="AD71" s="2">
        <v>1026287593</v>
      </c>
      <c r="AE71" s="212" t="s">
        <v>2697</v>
      </c>
      <c r="AF71" s="473">
        <v>9600000</v>
      </c>
      <c r="AG71" s="474">
        <f t="shared" si="1"/>
        <v>0</v>
      </c>
      <c r="AI71" s="480">
        <v>480000</v>
      </c>
      <c r="AJ71" s="475">
        <v>4800000</v>
      </c>
      <c r="AK71" s="475">
        <v>4320000</v>
      </c>
      <c r="AM71" s="212"/>
    </row>
    <row r="72" spans="1:39" hidden="1" x14ac:dyDescent="0.35">
      <c r="B72" s="477" t="s">
        <v>2581</v>
      </c>
      <c r="C72" s="212" t="s">
        <v>2695</v>
      </c>
      <c r="D72" s="212">
        <v>70</v>
      </c>
      <c r="E72" s="478">
        <v>20217000001623</v>
      </c>
      <c r="F72" s="479">
        <v>44217</v>
      </c>
      <c r="G72" s="478" t="s">
        <v>2545</v>
      </c>
      <c r="H72" s="212" t="s">
        <v>2546</v>
      </c>
      <c r="I72" s="212" t="s">
        <v>164</v>
      </c>
      <c r="J72" s="475">
        <v>6583523</v>
      </c>
      <c r="K72" s="212" t="s">
        <v>138</v>
      </c>
      <c r="L72" s="212" t="s">
        <v>139</v>
      </c>
      <c r="M72" s="212" t="s">
        <v>44</v>
      </c>
      <c r="N72" s="212" t="s">
        <v>45</v>
      </c>
      <c r="O72" s="212" t="s">
        <v>142</v>
      </c>
      <c r="P72" s="212" t="s">
        <v>43</v>
      </c>
      <c r="R72" s="212">
        <v>71</v>
      </c>
      <c r="S72" s="479">
        <v>44217</v>
      </c>
      <c r="T72" s="212" t="s">
        <v>2698</v>
      </c>
      <c r="U72" s="475">
        <v>6583523</v>
      </c>
      <c r="V72" s="406"/>
      <c r="W72" s="362"/>
      <c r="X72" s="211">
        <v>29</v>
      </c>
      <c r="Y72" s="472">
        <v>44218</v>
      </c>
      <c r="Z72" s="472">
        <v>44220</v>
      </c>
      <c r="AA72" s="472">
        <v>44293</v>
      </c>
      <c r="AB72" s="2" t="s">
        <v>2548</v>
      </c>
      <c r="AC72" s="211">
        <v>389</v>
      </c>
      <c r="AD72" s="2">
        <v>37277102</v>
      </c>
      <c r="AE72" s="212" t="s">
        <v>2699</v>
      </c>
      <c r="AF72" s="473">
        <v>6583523</v>
      </c>
      <c r="AG72" s="474">
        <f t="shared" si="1"/>
        <v>0</v>
      </c>
      <c r="AI72" s="475">
        <v>2633409</v>
      </c>
      <c r="AJ72" s="475">
        <v>2633409</v>
      </c>
      <c r="AK72" s="475">
        <v>614462</v>
      </c>
      <c r="AL72" s="475">
        <v>702242</v>
      </c>
      <c r="AM72" s="212"/>
    </row>
    <row r="73" spans="1:39" hidden="1" x14ac:dyDescent="0.35">
      <c r="A73" s="476" t="s">
        <v>2376</v>
      </c>
      <c r="B73" s="477">
        <v>85250000</v>
      </c>
      <c r="C73" s="212" t="s">
        <v>2695</v>
      </c>
      <c r="D73" s="212">
        <v>71</v>
      </c>
      <c r="E73" s="478">
        <v>20216000002183</v>
      </c>
      <c r="F73" s="479">
        <v>44217</v>
      </c>
      <c r="G73" s="478" t="s">
        <v>2545</v>
      </c>
      <c r="H73" s="212" t="s">
        <v>2546</v>
      </c>
      <c r="I73" s="212" t="s">
        <v>214</v>
      </c>
      <c r="J73" s="475">
        <v>85250000</v>
      </c>
      <c r="K73" s="212" t="s">
        <v>138</v>
      </c>
      <c r="L73" s="212" t="s">
        <v>139</v>
      </c>
      <c r="M73" s="212" t="s">
        <v>44</v>
      </c>
      <c r="N73" s="212" t="s">
        <v>45</v>
      </c>
      <c r="O73" s="212" t="s">
        <v>142</v>
      </c>
      <c r="P73" s="212" t="s">
        <v>43</v>
      </c>
      <c r="R73" s="212">
        <v>72</v>
      </c>
      <c r="S73" s="479">
        <v>44217</v>
      </c>
      <c r="T73" s="212" t="s">
        <v>2700</v>
      </c>
      <c r="U73" s="475">
        <v>85250000</v>
      </c>
      <c r="V73" s="406"/>
      <c r="W73" s="362"/>
      <c r="X73" s="211">
        <v>52</v>
      </c>
      <c r="Y73" s="472">
        <v>44225</v>
      </c>
      <c r="Z73" s="472">
        <v>44225</v>
      </c>
      <c r="AA73" s="472">
        <v>44559</v>
      </c>
      <c r="AB73" s="2" t="s">
        <v>2548</v>
      </c>
      <c r="AC73" s="211">
        <v>21</v>
      </c>
      <c r="AD73" s="2">
        <v>1067863967</v>
      </c>
      <c r="AE73" s="212" t="s">
        <v>2701</v>
      </c>
      <c r="AF73" s="473">
        <v>85250000</v>
      </c>
      <c r="AG73" s="474">
        <f t="shared" si="1"/>
        <v>0</v>
      </c>
      <c r="AJ73" s="475">
        <v>8266667</v>
      </c>
      <c r="AK73" s="475">
        <v>7750000</v>
      </c>
      <c r="AL73" s="475">
        <v>7750000</v>
      </c>
      <c r="AM73" s="306">
        <v>7750000</v>
      </c>
    </row>
    <row r="74" spans="1:39" hidden="1" x14ac:dyDescent="0.35">
      <c r="B74" s="477" t="s">
        <v>2581</v>
      </c>
      <c r="C74" s="212" t="s">
        <v>2544</v>
      </c>
      <c r="D74" s="212">
        <v>72</v>
      </c>
      <c r="E74" s="478">
        <v>2021000002063</v>
      </c>
      <c r="F74" s="479">
        <v>44217</v>
      </c>
      <c r="G74" s="478" t="s">
        <v>2545</v>
      </c>
      <c r="H74" s="212" t="s">
        <v>2546</v>
      </c>
      <c r="I74" s="212" t="s">
        <v>164</v>
      </c>
      <c r="J74" s="475">
        <v>3511208</v>
      </c>
      <c r="K74" s="212" t="s">
        <v>138</v>
      </c>
      <c r="L74" s="212" t="s">
        <v>139</v>
      </c>
      <c r="M74" s="212" t="s">
        <v>44</v>
      </c>
      <c r="N74" s="212" t="s">
        <v>45</v>
      </c>
      <c r="O74" s="212" t="s">
        <v>142</v>
      </c>
      <c r="P74" s="212" t="s">
        <v>43</v>
      </c>
      <c r="R74" s="212">
        <v>76</v>
      </c>
      <c r="S74" s="479">
        <v>44217</v>
      </c>
      <c r="T74" s="212" t="s">
        <v>2702</v>
      </c>
      <c r="U74" s="475">
        <v>3511208</v>
      </c>
      <c r="V74" s="406"/>
      <c r="W74" s="362"/>
      <c r="X74" s="211">
        <v>40</v>
      </c>
      <c r="Y74" s="472">
        <v>44223</v>
      </c>
      <c r="Z74" s="472">
        <v>44224</v>
      </c>
      <c r="AA74" s="472">
        <v>44282</v>
      </c>
      <c r="AB74" s="2" t="s">
        <v>2548</v>
      </c>
      <c r="AC74" s="211">
        <v>461</v>
      </c>
      <c r="AD74" s="2">
        <v>1030697600</v>
      </c>
      <c r="AE74" s="212" t="s">
        <v>2703</v>
      </c>
      <c r="AF74" s="473">
        <v>3511208</v>
      </c>
      <c r="AG74" s="474">
        <f t="shared" si="1"/>
        <v>0</v>
      </c>
      <c r="AI74" s="475">
        <v>175560</v>
      </c>
      <c r="AJ74" s="475">
        <v>1755604</v>
      </c>
      <c r="AK74" s="475">
        <v>1580044</v>
      </c>
      <c r="AM74" s="212"/>
    </row>
    <row r="75" spans="1:39" hidden="1" x14ac:dyDescent="0.35">
      <c r="B75" s="477" t="s">
        <v>2581</v>
      </c>
      <c r="C75" s="212" t="s">
        <v>2544</v>
      </c>
      <c r="D75" s="212">
        <v>73</v>
      </c>
      <c r="E75" s="478">
        <v>20217000002093</v>
      </c>
      <c r="F75" s="479">
        <v>44217</v>
      </c>
      <c r="G75" s="478" t="s">
        <v>2545</v>
      </c>
      <c r="H75" s="212" t="s">
        <v>2546</v>
      </c>
      <c r="I75" s="212" t="s">
        <v>164</v>
      </c>
      <c r="J75" s="475">
        <v>11191976</v>
      </c>
      <c r="K75" s="212" t="s">
        <v>138</v>
      </c>
      <c r="L75" s="212" t="s">
        <v>139</v>
      </c>
      <c r="M75" s="212" t="s">
        <v>44</v>
      </c>
      <c r="N75" s="212" t="s">
        <v>45</v>
      </c>
      <c r="O75" s="212" t="s">
        <v>142</v>
      </c>
      <c r="P75" s="212" t="s">
        <v>43</v>
      </c>
      <c r="R75" s="212">
        <v>77</v>
      </c>
      <c r="S75" s="479">
        <v>44217</v>
      </c>
      <c r="T75" s="212" t="s">
        <v>2704</v>
      </c>
      <c r="U75" s="475">
        <v>11191976</v>
      </c>
      <c r="V75" s="406"/>
      <c r="W75" s="362"/>
      <c r="X75" s="211">
        <v>49</v>
      </c>
      <c r="Y75" s="472">
        <v>44224</v>
      </c>
      <c r="Z75" s="472">
        <v>44228</v>
      </c>
      <c r="AA75" s="472">
        <v>44311</v>
      </c>
      <c r="AB75" s="2" t="s">
        <v>2548</v>
      </c>
      <c r="AC75" s="211">
        <v>351</v>
      </c>
      <c r="AD75" s="2">
        <v>1094949319</v>
      </c>
      <c r="AE75" s="212" t="s">
        <v>2705</v>
      </c>
      <c r="AF75" s="473">
        <v>11191976</v>
      </c>
      <c r="AG75" s="474">
        <f t="shared" si="1"/>
        <v>0</v>
      </c>
      <c r="AM75" s="212"/>
    </row>
    <row r="76" spans="1:39" hidden="1" x14ac:dyDescent="0.35">
      <c r="B76" s="477" t="s">
        <v>2581</v>
      </c>
      <c r="C76" s="212" t="s">
        <v>2544</v>
      </c>
      <c r="D76" s="212">
        <v>74</v>
      </c>
      <c r="E76" s="478">
        <v>20217000002103</v>
      </c>
      <c r="F76" s="479">
        <v>44217</v>
      </c>
      <c r="G76" s="478" t="s">
        <v>2545</v>
      </c>
      <c r="H76" s="212" t="s">
        <v>2546</v>
      </c>
      <c r="I76" s="212" t="s">
        <v>164</v>
      </c>
      <c r="J76" s="475">
        <v>7505000</v>
      </c>
      <c r="K76" s="212" t="s">
        <v>138</v>
      </c>
      <c r="L76" s="212" t="s">
        <v>139</v>
      </c>
      <c r="M76" s="212" t="s">
        <v>44</v>
      </c>
      <c r="N76" s="212" t="s">
        <v>45</v>
      </c>
      <c r="O76" s="212" t="s">
        <v>142</v>
      </c>
      <c r="P76" s="212" t="s">
        <v>43</v>
      </c>
      <c r="R76" s="212">
        <v>78</v>
      </c>
      <c r="S76" s="479">
        <v>44217</v>
      </c>
      <c r="T76" s="212" t="s">
        <v>2706</v>
      </c>
      <c r="U76" s="475">
        <v>7505000</v>
      </c>
      <c r="V76" s="406"/>
      <c r="W76" s="362"/>
      <c r="X76" s="308">
        <v>81</v>
      </c>
      <c r="Y76" s="484">
        <v>44232</v>
      </c>
      <c r="Z76" s="484">
        <v>44241</v>
      </c>
      <c r="AA76" s="484">
        <v>44295</v>
      </c>
      <c r="AB76" s="485" t="s">
        <v>2548</v>
      </c>
      <c r="AC76" s="211">
        <v>497</v>
      </c>
      <c r="AD76" s="487">
        <v>1049647713</v>
      </c>
      <c r="AE76" s="486" t="s">
        <v>2707</v>
      </c>
      <c r="AF76" s="473">
        <v>7505000</v>
      </c>
      <c r="AG76" s="474">
        <f t="shared" si="1"/>
        <v>0</v>
      </c>
      <c r="AJ76" s="475">
        <v>3950000</v>
      </c>
      <c r="AK76" s="475">
        <f>2106000+1185000</f>
        <v>3291000</v>
      </c>
      <c r="AM76" s="212"/>
    </row>
    <row r="77" spans="1:39" hidden="1" x14ac:dyDescent="0.35">
      <c r="B77" s="477" t="s">
        <v>2581</v>
      </c>
      <c r="C77" s="212" t="s">
        <v>2544</v>
      </c>
      <c r="D77" s="212">
        <v>75</v>
      </c>
      <c r="E77" s="478">
        <v>20217000001733</v>
      </c>
      <c r="F77" s="479">
        <v>44217</v>
      </c>
      <c r="G77" s="478" t="s">
        <v>2545</v>
      </c>
      <c r="H77" s="212" t="s">
        <v>2546</v>
      </c>
      <c r="I77" s="212" t="s">
        <v>164</v>
      </c>
      <c r="J77" s="475">
        <v>13342605</v>
      </c>
      <c r="K77" s="212" t="s">
        <v>138</v>
      </c>
      <c r="L77" s="212" t="s">
        <v>139</v>
      </c>
      <c r="M77" s="212" t="s">
        <v>44</v>
      </c>
      <c r="N77" s="212" t="s">
        <v>45</v>
      </c>
      <c r="O77" s="212" t="s">
        <v>142</v>
      </c>
      <c r="P77" s="212" t="s">
        <v>43</v>
      </c>
      <c r="R77" s="212">
        <v>74</v>
      </c>
      <c r="S77" s="479">
        <v>44217</v>
      </c>
      <c r="T77" s="212" t="s">
        <v>2708</v>
      </c>
      <c r="U77" s="475">
        <v>13342605</v>
      </c>
      <c r="V77" s="406"/>
      <c r="W77" s="362"/>
      <c r="X77" s="308">
        <v>93</v>
      </c>
      <c r="Y77" s="484">
        <v>44235</v>
      </c>
      <c r="Z77" s="484">
        <v>44241</v>
      </c>
      <c r="AA77" s="484">
        <v>44295</v>
      </c>
      <c r="AB77" s="485" t="s">
        <v>2548</v>
      </c>
      <c r="AC77" s="211">
        <v>481</v>
      </c>
      <c r="AD77" s="487">
        <v>79956761</v>
      </c>
      <c r="AE77" s="486" t="s">
        <v>2709</v>
      </c>
      <c r="AF77" s="473">
        <v>13342605</v>
      </c>
      <c r="AG77" s="474">
        <f t="shared" si="1"/>
        <v>0</v>
      </c>
      <c r="AJ77" s="475">
        <v>7022424</v>
      </c>
      <c r="AK77" s="475">
        <v>6320181</v>
      </c>
      <c r="AM77" s="212"/>
    </row>
    <row r="78" spans="1:39" hidden="1" x14ac:dyDescent="0.35">
      <c r="B78" s="477" t="s">
        <v>2581</v>
      </c>
      <c r="C78" s="212" t="s">
        <v>2544</v>
      </c>
      <c r="D78" s="212">
        <v>76</v>
      </c>
      <c r="E78" s="478">
        <v>20217000001723</v>
      </c>
      <c r="F78" s="479">
        <v>44217</v>
      </c>
      <c r="G78" s="478" t="s">
        <v>2545</v>
      </c>
      <c r="H78" s="212" t="s">
        <v>2546</v>
      </c>
      <c r="I78" s="212" t="s">
        <v>164</v>
      </c>
      <c r="J78" s="475">
        <v>13342605</v>
      </c>
      <c r="K78" s="212" t="s">
        <v>138</v>
      </c>
      <c r="L78" s="212" t="s">
        <v>139</v>
      </c>
      <c r="M78" s="212" t="s">
        <v>44</v>
      </c>
      <c r="N78" s="212" t="s">
        <v>45</v>
      </c>
      <c r="O78" s="212" t="s">
        <v>142</v>
      </c>
      <c r="P78" s="212" t="s">
        <v>43</v>
      </c>
      <c r="R78" s="212">
        <v>73</v>
      </c>
      <c r="S78" s="479">
        <v>44217</v>
      </c>
      <c r="T78" s="212" t="s">
        <v>2710</v>
      </c>
      <c r="U78" s="475">
        <v>13342605</v>
      </c>
      <c r="V78" s="406"/>
      <c r="W78" s="362"/>
      <c r="X78" s="483">
        <v>126</v>
      </c>
      <c r="Y78" s="484">
        <v>44239</v>
      </c>
      <c r="Z78" s="484">
        <v>44241</v>
      </c>
      <c r="AA78" s="484">
        <v>44295</v>
      </c>
      <c r="AB78" s="485" t="s">
        <v>2548</v>
      </c>
      <c r="AC78" s="483">
        <v>487</v>
      </c>
      <c r="AD78" s="485">
        <v>80393754</v>
      </c>
      <c r="AE78" s="486" t="s">
        <v>2711</v>
      </c>
      <c r="AF78" s="473">
        <v>13342605</v>
      </c>
      <c r="AG78" s="474">
        <f t="shared" si="1"/>
        <v>0</v>
      </c>
      <c r="AJ78" s="475">
        <v>7022424</v>
      </c>
      <c r="AK78" s="475">
        <v>3979374</v>
      </c>
      <c r="AM78" s="306">
        <v>2106727</v>
      </c>
    </row>
    <row r="79" spans="1:39" hidden="1" x14ac:dyDescent="0.35">
      <c r="B79" s="477" t="s">
        <v>2581</v>
      </c>
      <c r="C79" s="212" t="s">
        <v>2544</v>
      </c>
      <c r="D79" s="212">
        <v>77</v>
      </c>
      <c r="E79" s="478">
        <v>20217000001753</v>
      </c>
      <c r="F79" s="479">
        <v>44217</v>
      </c>
      <c r="G79" s="478" t="s">
        <v>2545</v>
      </c>
      <c r="H79" s="212" t="s">
        <v>2546</v>
      </c>
      <c r="I79" s="212" t="s">
        <v>164</v>
      </c>
      <c r="J79" s="475">
        <v>13342605</v>
      </c>
      <c r="K79" s="212" t="s">
        <v>138</v>
      </c>
      <c r="L79" s="212" t="s">
        <v>139</v>
      </c>
      <c r="M79" s="212" t="s">
        <v>44</v>
      </c>
      <c r="N79" s="212" t="s">
        <v>45</v>
      </c>
      <c r="O79" s="212" t="s">
        <v>142</v>
      </c>
      <c r="P79" s="212" t="s">
        <v>43</v>
      </c>
      <c r="R79" s="212">
        <v>75</v>
      </c>
      <c r="S79" s="479">
        <v>44217</v>
      </c>
      <c r="T79" s="212" t="s">
        <v>2712</v>
      </c>
      <c r="U79" s="475">
        <v>13342605</v>
      </c>
      <c r="V79" s="406"/>
      <c r="W79" s="362"/>
      <c r="X79" s="308">
        <v>96</v>
      </c>
      <c r="Y79" s="484">
        <v>44235</v>
      </c>
      <c r="Z79" s="484">
        <v>44241</v>
      </c>
      <c r="AA79" s="484">
        <v>44295</v>
      </c>
      <c r="AB79" s="485" t="s">
        <v>2548</v>
      </c>
      <c r="AC79" s="211">
        <v>480</v>
      </c>
      <c r="AD79" s="487">
        <v>79504573</v>
      </c>
      <c r="AE79" s="486" t="s">
        <v>2713</v>
      </c>
      <c r="AF79" s="473">
        <v>13342605</v>
      </c>
      <c r="AG79" s="474">
        <f t="shared" si="1"/>
        <v>0</v>
      </c>
      <c r="AJ79" s="475">
        <v>7022424</v>
      </c>
      <c r="AK79" s="475">
        <v>6320181</v>
      </c>
      <c r="AM79" s="212"/>
    </row>
    <row r="80" spans="1:39" hidden="1" x14ac:dyDescent="0.35">
      <c r="B80" s="477" t="s">
        <v>2581</v>
      </c>
      <c r="C80" s="212" t="s">
        <v>2544</v>
      </c>
      <c r="D80" s="212">
        <v>78</v>
      </c>
      <c r="E80" s="478">
        <v>20217000002233</v>
      </c>
      <c r="F80" s="479">
        <v>44217</v>
      </c>
      <c r="G80" s="478" t="s">
        <v>2545</v>
      </c>
      <c r="H80" s="212" t="s">
        <v>2546</v>
      </c>
      <c r="I80" s="212" t="s">
        <v>164</v>
      </c>
      <c r="J80" s="475">
        <v>8295237</v>
      </c>
      <c r="K80" s="212" t="s">
        <v>138</v>
      </c>
      <c r="L80" s="212" t="s">
        <v>139</v>
      </c>
      <c r="M80" s="212" t="s">
        <v>44</v>
      </c>
      <c r="N80" s="212" t="s">
        <v>45</v>
      </c>
      <c r="O80" s="212" t="s">
        <v>142</v>
      </c>
      <c r="P80" s="212" t="s">
        <v>43</v>
      </c>
      <c r="R80" s="212">
        <v>79</v>
      </c>
      <c r="S80" s="479">
        <v>44217</v>
      </c>
      <c r="T80" s="212" t="s">
        <v>2714</v>
      </c>
      <c r="U80" s="475">
        <v>8295237</v>
      </c>
      <c r="V80" s="406"/>
      <c r="W80" s="362"/>
      <c r="X80" s="211">
        <v>50</v>
      </c>
      <c r="Y80" s="472">
        <v>44224</v>
      </c>
      <c r="Z80" s="472">
        <v>44227</v>
      </c>
      <c r="AA80" s="472">
        <v>44289</v>
      </c>
      <c r="AB80" s="2" t="s">
        <v>2548</v>
      </c>
      <c r="AC80" s="211">
        <v>452</v>
      </c>
      <c r="AD80" s="2">
        <v>1022366551</v>
      </c>
      <c r="AE80" s="212" t="s">
        <v>2715</v>
      </c>
      <c r="AF80" s="473">
        <v>8295237</v>
      </c>
      <c r="AG80" s="474">
        <f t="shared" si="1"/>
        <v>0</v>
      </c>
      <c r="AJ80" s="475">
        <v>3950113</v>
      </c>
      <c r="AK80" s="475">
        <v>3950113</v>
      </c>
      <c r="AL80" s="475">
        <v>395011</v>
      </c>
      <c r="AM80" s="212"/>
    </row>
    <row r="81" spans="1:39" hidden="1" x14ac:dyDescent="0.35">
      <c r="B81" s="477" t="s">
        <v>2581</v>
      </c>
      <c r="C81" s="212" t="s">
        <v>2544</v>
      </c>
      <c r="D81" s="212">
        <v>79</v>
      </c>
      <c r="E81" s="478">
        <v>20211300002373</v>
      </c>
      <c r="F81" s="479">
        <v>44218</v>
      </c>
      <c r="G81" s="478" t="s">
        <v>2545</v>
      </c>
      <c r="H81" s="212" t="s">
        <v>2546</v>
      </c>
      <c r="I81" s="212" t="s">
        <v>210</v>
      </c>
      <c r="J81" s="475">
        <v>17259563</v>
      </c>
      <c r="K81" s="212" t="s">
        <v>138</v>
      </c>
      <c r="L81" s="212" t="s">
        <v>139</v>
      </c>
      <c r="M81" s="212" t="s">
        <v>44</v>
      </c>
      <c r="N81" s="212" t="s">
        <v>45</v>
      </c>
      <c r="O81" s="212" t="s">
        <v>142</v>
      </c>
      <c r="P81" s="212" t="s">
        <v>43</v>
      </c>
      <c r="R81" s="212">
        <v>81</v>
      </c>
      <c r="S81" s="479">
        <v>44218</v>
      </c>
      <c r="T81" s="212" t="s">
        <v>2716</v>
      </c>
      <c r="U81" s="475">
        <v>17259563</v>
      </c>
      <c r="V81" s="406"/>
      <c r="W81" s="362"/>
      <c r="X81" s="308">
        <v>62</v>
      </c>
      <c r="Y81" s="472">
        <v>44229</v>
      </c>
      <c r="Z81" s="472">
        <v>44230</v>
      </c>
      <c r="AA81" s="472">
        <v>44294</v>
      </c>
      <c r="AB81" s="2" t="s">
        <v>2548</v>
      </c>
      <c r="AC81" s="211">
        <v>424</v>
      </c>
      <c r="AD81" s="2">
        <v>52164280</v>
      </c>
      <c r="AE81" s="212" t="s">
        <v>2717</v>
      </c>
      <c r="AF81" s="473">
        <v>17259563</v>
      </c>
      <c r="AG81" s="474">
        <f t="shared" si="1"/>
        <v>0</v>
      </c>
      <c r="AJ81" s="475">
        <v>7845256</v>
      </c>
      <c r="AK81" s="475">
        <v>7845256</v>
      </c>
      <c r="AL81" s="475">
        <v>1569051</v>
      </c>
      <c r="AM81" s="212"/>
    </row>
    <row r="82" spans="1:39" hidden="1" x14ac:dyDescent="0.35">
      <c r="B82" s="477" t="s">
        <v>2581</v>
      </c>
      <c r="C82" s="212" t="s">
        <v>2544</v>
      </c>
      <c r="D82" s="212">
        <v>80</v>
      </c>
      <c r="E82" s="478">
        <v>20217000002393</v>
      </c>
      <c r="F82" s="479">
        <v>44218</v>
      </c>
      <c r="G82" s="478" t="s">
        <v>2545</v>
      </c>
      <c r="H82" s="212" t="s">
        <v>2546</v>
      </c>
      <c r="I82" s="212" t="s">
        <v>164</v>
      </c>
      <c r="J82" s="475">
        <v>3950109</v>
      </c>
      <c r="K82" s="212" t="s">
        <v>138</v>
      </c>
      <c r="L82" s="212" t="s">
        <v>139</v>
      </c>
      <c r="M82" s="212" t="s">
        <v>44</v>
      </c>
      <c r="N82" s="212" t="s">
        <v>45</v>
      </c>
      <c r="O82" s="212" t="s">
        <v>142</v>
      </c>
      <c r="P82" s="212" t="s">
        <v>43</v>
      </c>
      <c r="R82" s="212">
        <v>82</v>
      </c>
      <c r="S82" s="479">
        <v>44218</v>
      </c>
      <c r="T82" s="212" t="s">
        <v>2718</v>
      </c>
      <c r="U82" s="475">
        <v>3950109</v>
      </c>
      <c r="V82" s="406"/>
      <c r="W82" s="362"/>
      <c r="X82" s="211">
        <v>34</v>
      </c>
      <c r="Y82" s="472">
        <v>44223</v>
      </c>
      <c r="Z82" s="472">
        <v>44223</v>
      </c>
      <c r="AA82" s="472">
        <v>44268</v>
      </c>
      <c r="AB82" s="2" t="s">
        <v>2548</v>
      </c>
      <c r="AC82" s="211">
        <v>539</v>
      </c>
      <c r="AD82" s="2">
        <v>1000018614</v>
      </c>
      <c r="AE82" s="212" t="s">
        <v>2719</v>
      </c>
      <c r="AF82" s="473">
        <v>3950109</v>
      </c>
      <c r="AG82" s="474">
        <f t="shared" si="1"/>
        <v>0</v>
      </c>
      <c r="AI82" s="475">
        <v>2633406</v>
      </c>
      <c r="AJ82" s="475">
        <v>438901</v>
      </c>
      <c r="AK82" s="475">
        <v>877802</v>
      </c>
      <c r="AM82" s="212"/>
    </row>
    <row r="83" spans="1:39" hidden="1" x14ac:dyDescent="0.35">
      <c r="B83" s="477" t="s">
        <v>2581</v>
      </c>
      <c r="C83" s="212" t="s">
        <v>2544</v>
      </c>
      <c r="D83" s="212">
        <v>81</v>
      </c>
      <c r="E83" s="478">
        <v>20217000002953</v>
      </c>
      <c r="F83" s="479">
        <v>44221</v>
      </c>
      <c r="G83" s="478" t="s">
        <v>2545</v>
      </c>
      <c r="H83" s="212" t="s">
        <v>2546</v>
      </c>
      <c r="I83" s="212" t="s">
        <v>164</v>
      </c>
      <c r="J83" s="475">
        <v>6144614</v>
      </c>
      <c r="K83" s="212" t="s">
        <v>138</v>
      </c>
      <c r="L83" s="212" t="s">
        <v>139</v>
      </c>
      <c r="M83" s="212" t="s">
        <v>44</v>
      </c>
      <c r="N83" s="212" t="s">
        <v>45</v>
      </c>
      <c r="O83" s="212" t="s">
        <v>142</v>
      </c>
      <c r="P83" s="212" t="s">
        <v>43</v>
      </c>
      <c r="R83" s="212">
        <v>86</v>
      </c>
      <c r="S83" s="479">
        <v>44221</v>
      </c>
      <c r="T83" s="212" t="s">
        <v>2720</v>
      </c>
      <c r="U83" s="475">
        <v>6144614</v>
      </c>
      <c r="V83" s="406"/>
      <c r="W83" s="362"/>
      <c r="X83" s="211">
        <v>38</v>
      </c>
      <c r="Y83" s="472">
        <v>44223</v>
      </c>
      <c r="Z83" s="472">
        <v>44224</v>
      </c>
      <c r="AA83" s="472">
        <v>44282</v>
      </c>
      <c r="AB83" s="2" t="s">
        <v>2548</v>
      </c>
      <c r="AC83" s="211">
        <v>462</v>
      </c>
      <c r="AD83" s="2">
        <v>1023866928</v>
      </c>
      <c r="AE83" s="212" t="s">
        <v>2721</v>
      </c>
      <c r="AF83" s="473">
        <v>6144614</v>
      </c>
      <c r="AG83" s="474">
        <f t="shared" si="1"/>
        <v>0</v>
      </c>
      <c r="AI83" s="475">
        <v>307230</v>
      </c>
      <c r="AJ83" s="475">
        <v>3072307</v>
      </c>
      <c r="AK83" s="475">
        <v>2765077</v>
      </c>
      <c r="AM83" s="212"/>
    </row>
    <row r="84" spans="1:39" hidden="1" x14ac:dyDescent="0.35">
      <c r="A84" s="476" t="s">
        <v>2271</v>
      </c>
      <c r="B84" s="477">
        <v>34978255</v>
      </c>
      <c r="C84" s="212" t="s">
        <v>2544</v>
      </c>
      <c r="D84" s="212">
        <v>82</v>
      </c>
      <c r="E84" s="478">
        <v>20211300002983</v>
      </c>
      <c r="F84" s="479">
        <v>44221</v>
      </c>
      <c r="G84" s="478" t="s">
        <v>2545</v>
      </c>
      <c r="H84" s="212" t="s">
        <v>2546</v>
      </c>
      <c r="I84" s="212" t="s">
        <v>210</v>
      </c>
      <c r="J84" s="475">
        <v>29981361</v>
      </c>
      <c r="K84" s="212" t="s">
        <v>138</v>
      </c>
      <c r="L84" s="212" t="s">
        <v>139</v>
      </c>
      <c r="M84" s="212" t="s">
        <v>44</v>
      </c>
      <c r="N84" s="212" t="s">
        <v>45</v>
      </c>
      <c r="O84" s="212" t="s">
        <v>142</v>
      </c>
      <c r="P84" s="212" t="s">
        <v>43</v>
      </c>
      <c r="R84" s="212">
        <v>87</v>
      </c>
      <c r="S84" s="479">
        <v>44221</v>
      </c>
      <c r="T84" s="212" t="s">
        <v>2722</v>
      </c>
      <c r="U84" s="475">
        <v>29981361</v>
      </c>
      <c r="V84" s="406"/>
      <c r="W84" s="362"/>
      <c r="X84" s="308">
        <v>71</v>
      </c>
      <c r="Y84" s="472">
        <v>44230</v>
      </c>
      <c r="Z84" s="472">
        <v>44230</v>
      </c>
      <c r="AA84" s="472">
        <v>44411</v>
      </c>
      <c r="AB84" s="2" t="s">
        <v>2548</v>
      </c>
      <c r="AC84" s="211">
        <v>37</v>
      </c>
      <c r="AD84" s="2">
        <v>52951520</v>
      </c>
      <c r="AE84" s="212" t="s">
        <v>2723</v>
      </c>
      <c r="AF84" s="473">
        <v>29981358</v>
      </c>
      <c r="AG84" s="474">
        <f t="shared" si="1"/>
        <v>3</v>
      </c>
      <c r="AJ84" s="475">
        <v>4164078</v>
      </c>
      <c r="AK84" s="475">
        <v>4996893</v>
      </c>
      <c r="AL84" s="475">
        <v>4996893</v>
      </c>
      <c r="AM84" s="306">
        <v>4996893</v>
      </c>
    </row>
    <row r="85" spans="1:39" hidden="1" x14ac:dyDescent="0.35">
      <c r="B85" s="477" t="s">
        <v>2581</v>
      </c>
      <c r="C85" s="212" t="s">
        <v>2544</v>
      </c>
      <c r="D85" s="212">
        <v>83</v>
      </c>
      <c r="E85" s="478">
        <v>20217000002933</v>
      </c>
      <c r="F85" s="479">
        <v>44221</v>
      </c>
      <c r="G85" s="478" t="s">
        <v>2545</v>
      </c>
      <c r="H85" s="212" t="s">
        <v>2546</v>
      </c>
      <c r="I85" s="212" t="s">
        <v>164</v>
      </c>
      <c r="J85" s="475">
        <v>10665294</v>
      </c>
      <c r="K85" s="212" t="s">
        <v>138</v>
      </c>
      <c r="L85" s="212" t="s">
        <v>139</v>
      </c>
      <c r="M85" s="212" t="s">
        <v>44</v>
      </c>
      <c r="N85" s="212" t="s">
        <v>45</v>
      </c>
      <c r="O85" s="212" t="s">
        <v>142</v>
      </c>
      <c r="P85" s="212" t="s">
        <v>43</v>
      </c>
      <c r="R85" s="212">
        <v>85</v>
      </c>
      <c r="S85" s="479">
        <v>44221</v>
      </c>
      <c r="T85" s="212" t="s">
        <v>2724</v>
      </c>
      <c r="U85" s="475">
        <v>10665294</v>
      </c>
      <c r="V85" s="406"/>
      <c r="W85" s="362"/>
      <c r="X85" s="308">
        <v>54</v>
      </c>
      <c r="Y85" s="472">
        <v>44228</v>
      </c>
      <c r="Z85" s="472">
        <v>44228</v>
      </c>
      <c r="AA85" s="472">
        <v>44307</v>
      </c>
      <c r="AB85" s="2" t="s">
        <v>2548</v>
      </c>
      <c r="AC85" s="211">
        <v>366</v>
      </c>
      <c r="AD85" s="2">
        <v>1030555134</v>
      </c>
      <c r="AE85" s="212" t="s">
        <v>2725</v>
      </c>
      <c r="AF85" s="473">
        <v>10665294</v>
      </c>
      <c r="AG85" s="474">
        <f t="shared" si="1"/>
        <v>0</v>
      </c>
      <c r="AJ85" s="475">
        <v>3950109</v>
      </c>
      <c r="AK85" s="475">
        <v>3950109</v>
      </c>
      <c r="AL85" s="475">
        <v>2765076</v>
      </c>
      <c r="AM85" s="212"/>
    </row>
    <row r="86" spans="1:39" hidden="1" x14ac:dyDescent="0.35">
      <c r="B86" s="477" t="s">
        <v>2581</v>
      </c>
      <c r="C86" s="212" t="s">
        <v>2544</v>
      </c>
      <c r="D86" s="212">
        <v>84</v>
      </c>
      <c r="E86" s="478">
        <v>20213000002733</v>
      </c>
      <c r="F86" s="479">
        <v>44221</v>
      </c>
      <c r="G86" s="478" t="s">
        <v>2538</v>
      </c>
      <c r="H86" s="212" t="s">
        <v>2539</v>
      </c>
      <c r="I86" s="212" t="s">
        <v>432</v>
      </c>
      <c r="J86" s="475">
        <v>14000000</v>
      </c>
      <c r="K86" s="212" t="s">
        <v>358</v>
      </c>
      <c r="L86" s="212" t="s">
        <v>2689</v>
      </c>
      <c r="M86" s="212" t="s">
        <v>44</v>
      </c>
      <c r="N86" s="212" t="s">
        <v>45</v>
      </c>
      <c r="O86" s="212" t="s">
        <v>63</v>
      </c>
      <c r="P86" s="212" t="s">
        <v>674</v>
      </c>
      <c r="R86" s="212">
        <v>83</v>
      </c>
      <c r="S86" s="479">
        <v>44221</v>
      </c>
      <c r="T86" s="212" t="s">
        <v>2726</v>
      </c>
      <c r="U86" s="475">
        <v>14000000</v>
      </c>
      <c r="V86" s="406"/>
      <c r="W86" s="362"/>
      <c r="X86" s="211">
        <v>43</v>
      </c>
      <c r="Y86" s="472">
        <v>44224</v>
      </c>
      <c r="Z86" s="472">
        <v>44225</v>
      </c>
      <c r="AA86" s="472">
        <v>44283</v>
      </c>
      <c r="AB86" s="2" t="s">
        <v>2548</v>
      </c>
      <c r="AC86" s="211">
        <v>473</v>
      </c>
      <c r="AD86" s="2">
        <v>79861695</v>
      </c>
      <c r="AE86" s="212" t="s">
        <v>2727</v>
      </c>
      <c r="AF86" s="473">
        <v>14000000</v>
      </c>
      <c r="AG86" s="474">
        <f t="shared" si="1"/>
        <v>0</v>
      </c>
      <c r="AI86" s="480">
        <v>7000000</v>
      </c>
      <c r="AJ86" s="475">
        <v>7000000</v>
      </c>
      <c r="AM86" s="212"/>
    </row>
    <row r="87" spans="1:39" hidden="1" x14ac:dyDescent="0.35">
      <c r="B87" s="477" t="s">
        <v>2581</v>
      </c>
      <c r="C87" s="212" t="s">
        <v>2544</v>
      </c>
      <c r="D87" s="212">
        <v>85</v>
      </c>
      <c r="E87" s="478">
        <v>20213000002743</v>
      </c>
      <c r="F87" s="479">
        <v>44221</v>
      </c>
      <c r="G87" s="478" t="s">
        <v>2538</v>
      </c>
      <c r="H87" s="212" t="s">
        <v>2539</v>
      </c>
      <c r="I87" s="212" t="s">
        <v>432</v>
      </c>
      <c r="J87" s="475">
        <v>16000000</v>
      </c>
      <c r="K87" s="212" t="s">
        <v>358</v>
      </c>
      <c r="L87" s="212" t="s">
        <v>2689</v>
      </c>
      <c r="M87" s="212" t="s">
        <v>44</v>
      </c>
      <c r="N87" s="212" t="s">
        <v>45</v>
      </c>
      <c r="O87" s="212" t="s">
        <v>63</v>
      </c>
      <c r="P87" s="212" t="s">
        <v>674</v>
      </c>
      <c r="R87" s="212">
        <v>84</v>
      </c>
      <c r="S87" s="479">
        <v>44221</v>
      </c>
      <c r="T87" s="212" t="s">
        <v>2728</v>
      </c>
      <c r="U87" s="475">
        <v>16000000</v>
      </c>
      <c r="V87" s="406"/>
      <c r="W87" s="362"/>
      <c r="X87" s="211">
        <v>37</v>
      </c>
      <c r="Y87" s="472">
        <v>44223</v>
      </c>
      <c r="Z87" s="472">
        <v>44224</v>
      </c>
      <c r="AA87" s="472">
        <v>44282</v>
      </c>
      <c r="AB87" s="2" t="s">
        <v>2548</v>
      </c>
      <c r="AC87" s="211">
        <v>464</v>
      </c>
      <c r="AD87" s="2">
        <v>79913115</v>
      </c>
      <c r="AE87" s="212" t="s">
        <v>2729</v>
      </c>
      <c r="AF87" s="473">
        <v>16000000</v>
      </c>
      <c r="AG87" s="474">
        <f t="shared" si="1"/>
        <v>0</v>
      </c>
      <c r="AI87" s="480">
        <v>8000000</v>
      </c>
      <c r="AJ87" s="475">
        <v>8000000</v>
      </c>
      <c r="AM87" s="212"/>
    </row>
    <row r="88" spans="1:39" hidden="1" x14ac:dyDescent="0.35">
      <c r="A88" s="476" t="s">
        <v>2036</v>
      </c>
      <c r="B88" s="477">
        <v>32706000</v>
      </c>
      <c r="C88" s="212" t="s">
        <v>2544</v>
      </c>
      <c r="D88" s="212">
        <v>86</v>
      </c>
      <c r="E88" s="478">
        <v>20211400001513</v>
      </c>
      <c r="F88" s="479">
        <v>44214</v>
      </c>
      <c r="G88" s="478" t="s">
        <v>2545</v>
      </c>
      <c r="H88" s="212" t="s">
        <v>2546</v>
      </c>
      <c r="I88" s="212" t="s">
        <v>184</v>
      </c>
      <c r="J88" s="475">
        <v>32706000</v>
      </c>
      <c r="K88" s="212" t="s">
        <v>138</v>
      </c>
      <c r="L88" s="212" t="s">
        <v>2550</v>
      </c>
      <c r="M88" s="212" t="s">
        <v>44</v>
      </c>
      <c r="N88" s="212" t="s">
        <v>45</v>
      </c>
      <c r="O88" s="212" t="s">
        <v>142</v>
      </c>
      <c r="P88" s="212" t="s">
        <v>43</v>
      </c>
      <c r="R88" s="212">
        <v>63</v>
      </c>
      <c r="S88" s="479">
        <v>44214</v>
      </c>
      <c r="T88" s="212" t="s">
        <v>2730</v>
      </c>
      <c r="U88" s="475">
        <v>32706000</v>
      </c>
      <c r="V88" s="406"/>
      <c r="W88" s="362"/>
      <c r="X88" s="308">
        <v>211</v>
      </c>
      <c r="Y88" s="484">
        <v>44256</v>
      </c>
      <c r="Z88" s="484">
        <v>44256</v>
      </c>
      <c r="AA88" s="484">
        <v>44499</v>
      </c>
      <c r="AB88" s="485" t="s">
        <v>2548</v>
      </c>
      <c r="AC88" s="211">
        <v>140</v>
      </c>
      <c r="AD88" s="485" t="s">
        <v>2731</v>
      </c>
      <c r="AE88" s="486" t="s">
        <v>2732</v>
      </c>
      <c r="AF88" s="473">
        <v>32706000</v>
      </c>
      <c r="AG88" s="474">
        <f t="shared" si="1"/>
        <v>0</v>
      </c>
      <c r="AK88" s="475">
        <v>4088250</v>
      </c>
      <c r="AL88" s="475">
        <v>4088250</v>
      </c>
      <c r="AM88" s="306">
        <v>4088250</v>
      </c>
    </row>
    <row r="89" spans="1:39" hidden="1" x14ac:dyDescent="0.35">
      <c r="B89" s="477" t="s">
        <v>2581</v>
      </c>
      <c r="C89" s="212" t="s">
        <v>2733</v>
      </c>
      <c r="D89" s="212">
        <v>87</v>
      </c>
      <c r="E89" s="478">
        <v>20214000003193</v>
      </c>
      <c r="F89" s="479">
        <v>44222</v>
      </c>
      <c r="G89" s="478" t="s">
        <v>2578</v>
      </c>
      <c r="H89" s="212" t="s">
        <v>2579</v>
      </c>
      <c r="I89" s="212" t="s">
        <v>47</v>
      </c>
      <c r="J89" s="475">
        <v>497451486</v>
      </c>
      <c r="K89" s="212" t="s">
        <v>37</v>
      </c>
      <c r="L89" s="212" t="s">
        <v>2580</v>
      </c>
      <c r="M89" s="212" t="s">
        <v>44</v>
      </c>
      <c r="N89" s="212" t="s">
        <v>45</v>
      </c>
      <c r="O89" s="212" t="s">
        <v>310</v>
      </c>
      <c r="P89" s="212" t="s">
        <v>43</v>
      </c>
      <c r="R89" s="212">
        <v>90</v>
      </c>
      <c r="S89" s="479">
        <v>44222</v>
      </c>
      <c r="T89" s="212" t="s">
        <v>2734</v>
      </c>
      <c r="U89" s="489">
        <v>497451486</v>
      </c>
      <c r="V89" s="406"/>
      <c r="W89" s="362"/>
      <c r="X89" s="308">
        <v>56</v>
      </c>
      <c r="Y89" s="472">
        <v>44228</v>
      </c>
      <c r="Z89" s="472">
        <v>44228</v>
      </c>
      <c r="AA89" s="472">
        <v>44407</v>
      </c>
      <c r="AB89" s="2" t="s">
        <v>2735</v>
      </c>
      <c r="AC89" s="211">
        <v>244</v>
      </c>
      <c r="AD89" s="2">
        <v>860041968</v>
      </c>
      <c r="AE89" s="212" t="s">
        <v>2736</v>
      </c>
      <c r="AF89" s="473">
        <v>497451486</v>
      </c>
      <c r="AG89" s="474">
        <f t="shared" si="1"/>
        <v>0</v>
      </c>
      <c r="AJ89" s="475">
        <v>91879295</v>
      </c>
      <c r="AL89" s="475">
        <v>95370708</v>
      </c>
      <c r="AM89" s="212"/>
    </row>
    <row r="90" spans="1:39" hidden="1" x14ac:dyDescent="0.35">
      <c r="B90" s="477" t="s">
        <v>2581</v>
      </c>
      <c r="C90" s="212" t="s">
        <v>2544</v>
      </c>
      <c r="D90" s="212">
        <v>88</v>
      </c>
      <c r="E90" s="478">
        <v>20217000002083</v>
      </c>
      <c r="F90" s="479">
        <v>44223</v>
      </c>
      <c r="G90" s="478" t="s">
        <v>2545</v>
      </c>
      <c r="H90" s="212" t="s">
        <v>2546</v>
      </c>
      <c r="I90" s="212" t="s">
        <v>164</v>
      </c>
      <c r="J90" s="475">
        <v>6656672</v>
      </c>
      <c r="K90" s="212" t="s">
        <v>138</v>
      </c>
      <c r="L90" s="212" t="s">
        <v>139</v>
      </c>
      <c r="M90" s="212" t="s">
        <v>44</v>
      </c>
      <c r="N90" s="212" t="s">
        <v>45</v>
      </c>
      <c r="O90" s="212" t="s">
        <v>142</v>
      </c>
      <c r="P90" s="212" t="s">
        <v>43</v>
      </c>
      <c r="R90" s="212">
        <v>91</v>
      </c>
      <c r="S90" s="479">
        <v>44223</v>
      </c>
      <c r="T90" s="212" t="s">
        <v>2737</v>
      </c>
      <c r="U90" s="475">
        <v>6656672</v>
      </c>
      <c r="V90" s="406"/>
      <c r="W90" s="362"/>
      <c r="X90" s="211">
        <v>53</v>
      </c>
      <c r="Y90" s="472">
        <v>44225</v>
      </c>
      <c r="Z90" s="472">
        <v>44227</v>
      </c>
      <c r="AA90" s="472">
        <v>44290</v>
      </c>
      <c r="AB90" s="2" t="s">
        <v>2548</v>
      </c>
      <c r="AC90" s="211">
        <v>421</v>
      </c>
      <c r="AD90" s="2">
        <v>52207507</v>
      </c>
      <c r="AE90" s="212" t="s">
        <v>2738</v>
      </c>
      <c r="AF90" s="473">
        <v>6656672</v>
      </c>
      <c r="AG90" s="474">
        <f t="shared" si="1"/>
        <v>0</v>
      </c>
      <c r="AJ90" s="475">
        <v>3072310</v>
      </c>
      <c r="AK90" s="475">
        <v>3072310</v>
      </c>
      <c r="AL90" s="475">
        <v>512052</v>
      </c>
      <c r="AM90" s="212"/>
    </row>
    <row r="91" spans="1:39" hidden="1" x14ac:dyDescent="0.35">
      <c r="C91" s="212" t="s">
        <v>2739</v>
      </c>
      <c r="D91" s="212">
        <v>89</v>
      </c>
      <c r="E91" s="478">
        <v>20211400003253</v>
      </c>
      <c r="F91" s="479">
        <v>44223</v>
      </c>
      <c r="G91" s="478" t="s">
        <v>2545</v>
      </c>
      <c r="H91" s="212" t="s">
        <v>2546</v>
      </c>
      <c r="I91" s="212" t="s">
        <v>184</v>
      </c>
      <c r="J91" s="475">
        <v>27877000</v>
      </c>
      <c r="K91" s="212" t="s">
        <v>138</v>
      </c>
      <c r="L91" s="212" t="s">
        <v>2550</v>
      </c>
      <c r="M91" s="212" t="s">
        <v>2740</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2590</v>
      </c>
      <c r="AC91" s="211">
        <v>3543</v>
      </c>
      <c r="AD91" s="2">
        <v>899999115</v>
      </c>
      <c r="AE91" s="212" t="s">
        <v>2741</v>
      </c>
      <c r="AF91" s="473">
        <v>27877000</v>
      </c>
      <c r="AG91" s="474">
        <f t="shared" si="1"/>
        <v>0</v>
      </c>
      <c r="AJ91" s="481">
        <v>2884090</v>
      </c>
      <c r="AL91" s="475">
        <v>2114184</v>
      </c>
      <c r="AM91" s="306">
        <v>4220633</v>
      </c>
    </row>
    <row r="92" spans="1:39" hidden="1" x14ac:dyDescent="0.35">
      <c r="A92" s="476" t="s">
        <v>2406</v>
      </c>
      <c r="B92" s="477">
        <v>169075413</v>
      </c>
      <c r="C92" s="212" t="s">
        <v>2544</v>
      </c>
      <c r="D92" s="212">
        <v>90</v>
      </c>
      <c r="E92" s="478">
        <v>20212000001663</v>
      </c>
      <c r="F92" s="479">
        <v>44225</v>
      </c>
      <c r="G92" s="478" t="s">
        <v>2538</v>
      </c>
      <c r="H92" s="212" t="s">
        <v>2539</v>
      </c>
      <c r="I92" s="212" t="s">
        <v>391</v>
      </c>
      <c r="J92" s="475">
        <v>155814175</v>
      </c>
      <c r="K92" s="210" t="s">
        <v>2609</v>
      </c>
      <c r="L92" s="212" t="s">
        <v>2610</v>
      </c>
      <c r="M92" s="212" t="s">
        <v>44</v>
      </c>
      <c r="N92" s="212" t="s">
        <v>45</v>
      </c>
      <c r="O92" s="212" t="s">
        <v>63</v>
      </c>
      <c r="P92" s="212" t="s">
        <v>674</v>
      </c>
      <c r="R92" s="212">
        <v>94</v>
      </c>
      <c r="S92" s="479">
        <v>44225</v>
      </c>
      <c r="T92" s="212" t="s">
        <v>2742</v>
      </c>
      <c r="U92" s="475">
        <f>155814175-7082463</f>
        <v>148731712</v>
      </c>
      <c r="V92" s="411">
        <v>7082463</v>
      </c>
      <c r="W92" s="397"/>
      <c r="X92" s="308">
        <v>106</v>
      </c>
      <c r="Y92" s="484">
        <v>44236</v>
      </c>
      <c r="Z92" s="484">
        <v>44236</v>
      </c>
      <c r="AA92" s="484">
        <v>44561</v>
      </c>
      <c r="AB92" s="485" t="s">
        <v>2548</v>
      </c>
      <c r="AC92" s="211">
        <v>53</v>
      </c>
      <c r="AD92" s="487">
        <v>79577619</v>
      </c>
      <c r="AE92" s="486" t="s">
        <v>2743</v>
      </c>
      <c r="AF92" s="473">
        <v>148731712</v>
      </c>
      <c r="AG92" s="474">
        <f t="shared" si="1"/>
        <v>0</v>
      </c>
      <c r="AJ92" s="475">
        <v>8971119</v>
      </c>
      <c r="AK92" s="475">
        <v>14164925</v>
      </c>
      <c r="AL92" s="475">
        <v>14164925</v>
      </c>
      <c r="AM92" s="306">
        <v>14164925</v>
      </c>
    </row>
    <row r="93" spans="1:39" hidden="1" x14ac:dyDescent="0.35">
      <c r="A93" s="476" t="s">
        <v>2396</v>
      </c>
      <c r="B93" s="477">
        <v>64900000</v>
      </c>
      <c r="C93" s="212" t="s">
        <v>2544</v>
      </c>
      <c r="D93" s="212">
        <v>91</v>
      </c>
      <c r="E93" s="478">
        <v>20212000001673</v>
      </c>
      <c r="F93" s="479">
        <v>44225</v>
      </c>
      <c r="G93" s="478" t="s">
        <v>2538</v>
      </c>
      <c r="H93" s="212" t="s">
        <v>2539</v>
      </c>
      <c r="I93" s="212" t="s">
        <v>391</v>
      </c>
      <c r="J93" s="475">
        <v>64900000</v>
      </c>
      <c r="K93" s="210" t="s">
        <v>2609</v>
      </c>
      <c r="L93" s="212" t="s">
        <v>2610</v>
      </c>
      <c r="M93" s="212" t="s">
        <v>44</v>
      </c>
      <c r="N93" s="212" t="s">
        <v>45</v>
      </c>
      <c r="O93" s="212" t="s">
        <v>63</v>
      </c>
      <c r="P93" s="212" t="s">
        <v>674</v>
      </c>
      <c r="R93" s="212">
        <v>95</v>
      </c>
      <c r="S93" s="479">
        <v>44225</v>
      </c>
      <c r="T93" s="212" t="s">
        <v>2744</v>
      </c>
      <c r="U93" s="475">
        <f>64900000-2950000</f>
        <v>61950000</v>
      </c>
      <c r="V93" s="411">
        <v>2950000</v>
      </c>
      <c r="W93" s="397"/>
      <c r="X93" s="308">
        <v>92</v>
      </c>
      <c r="Y93" s="484">
        <v>44235</v>
      </c>
      <c r="Z93" s="484">
        <v>44235</v>
      </c>
      <c r="AA93" s="484">
        <v>44561</v>
      </c>
      <c r="AB93" s="485" t="s">
        <v>2548</v>
      </c>
      <c r="AC93" s="211">
        <v>50</v>
      </c>
      <c r="AD93" s="487">
        <v>79940456</v>
      </c>
      <c r="AE93" s="486" t="s">
        <v>2745</v>
      </c>
      <c r="AF93" s="473">
        <v>61950000</v>
      </c>
      <c r="AG93" s="474">
        <f t="shared" si="1"/>
        <v>0</v>
      </c>
      <c r="AJ93" s="475">
        <v>4130000</v>
      </c>
      <c r="AK93" s="475">
        <v>5900000</v>
      </c>
      <c r="AL93" s="475">
        <v>5900000</v>
      </c>
      <c r="AM93" s="306">
        <v>5900000</v>
      </c>
    </row>
    <row r="94" spans="1:39" hidden="1" x14ac:dyDescent="0.35">
      <c r="A94" s="476" t="s">
        <v>2398</v>
      </c>
      <c r="B94" s="477">
        <v>134074420</v>
      </c>
      <c r="C94" s="212" t="s">
        <v>2544</v>
      </c>
      <c r="D94" s="212">
        <v>92</v>
      </c>
      <c r="E94" s="478">
        <v>20212000001693</v>
      </c>
      <c r="F94" s="479">
        <v>44225</v>
      </c>
      <c r="G94" s="478" t="s">
        <v>2538</v>
      </c>
      <c r="H94" s="212" t="s">
        <v>2539</v>
      </c>
      <c r="I94" s="212" t="s">
        <v>391</v>
      </c>
      <c r="J94" s="475">
        <v>124984629</v>
      </c>
      <c r="K94" s="210" t="s">
        <v>2609</v>
      </c>
      <c r="L94" s="212" t="s">
        <v>2610</v>
      </c>
      <c r="M94" s="212" t="s">
        <v>44</v>
      </c>
      <c r="N94" s="212" t="s">
        <v>45</v>
      </c>
      <c r="O94" s="212" t="s">
        <v>63</v>
      </c>
      <c r="P94" s="212" t="s">
        <v>674</v>
      </c>
      <c r="R94" s="212">
        <v>96</v>
      </c>
      <c r="S94" s="479">
        <v>44225</v>
      </c>
      <c r="T94" s="212" t="s">
        <v>2746</v>
      </c>
      <c r="U94" s="475">
        <f>124984629-5681120</f>
        <v>119303509</v>
      </c>
      <c r="V94" s="406">
        <v>5681120</v>
      </c>
      <c r="W94" s="362"/>
      <c r="X94" s="308">
        <v>108</v>
      </c>
      <c r="Y94" s="484">
        <v>44237</v>
      </c>
      <c r="Z94" s="484">
        <v>44237</v>
      </c>
      <c r="AA94" s="484">
        <v>44561</v>
      </c>
      <c r="AB94" s="485" t="s">
        <v>2548</v>
      </c>
      <c r="AC94" s="211">
        <v>55</v>
      </c>
      <c r="AD94" s="487">
        <v>38256092</v>
      </c>
      <c r="AE94" s="486" t="s">
        <v>2747</v>
      </c>
      <c r="AF94" s="473">
        <v>119303509</v>
      </c>
      <c r="AG94" s="474">
        <f t="shared" si="1"/>
        <v>0</v>
      </c>
      <c r="AJ94" s="475">
        <v>7196085</v>
      </c>
      <c r="AK94" s="475">
        <v>11362239</v>
      </c>
      <c r="AL94" s="475">
        <v>11362239</v>
      </c>
      <c r="AM94" s="306">
        <v>11362239</v>
      </c>
    </row>
    <row r="95" spans="1:39" hidden="1" x14ac:dyDescent="0.35">
      <c r="A95" s="476" t="s">
        <v>2407</v>
      </c>
      <c r="B95" s="477">
        <v>84838051</v>
      </c>
      <c r="C95" s="212" t="s">
        <v>2544</v>
      </c>
      <c r="D95" s="212">
        <v>93</v>
      </c>
      <c r="E95" s="478">
        <v>20212000001703</v>
      </c>
      <c r="F95" s="479">
        <v>44225</v>
      </c>
      <c r="G95" s="478" t="s">
        <v>2538</v>
      </c>
      <c r="H95" s="212" t="s">
        <v>2539</v>
      </c>
      <c r="I95" s="212" t="s">
        <v>391</v>
      </c>
      <c r="J95" s="475">
        <v>83323086</v>
      </c>
      <c r="K95" s="210" t="s">
        <v>2609</v>
      </c>
      <c r="L95" s="212" t="s">
        <v>2610</v>
      </c>
      <c r="M95" s="212" t="s">
        <v>44</v>
      </c>
      <c r="N95" s="212" t="s">
        <v>45</v>
      </c>
      <c r="O95" s="212" t="s">
        <v>63</v>
      </c>
      <c r="P95" s="212" t="s">
        <v>674</v>
      </c>
      <c r="R95" s="212">
        <v>97</v>
      </c>
      <c r="S95" s="479">
        <v>44225</v>
      </c>
      <c r="T95" s="212" t="s">
        <v>2748</v>
      </c>
      <c r="U95" s="475">
        <f>83323086-3787413</f>
        <v>79535673</v>
      </c>
      <c r="V95" s="406">
        <v>3787413</v>
      </c>
      <c r="W95" s="362"/>
      <c r="X95" s="308">
        <v>89</v>
      </c>
      <c r="Y95" s="484">
        <v>44235</v>
      </c>
      <c r="Z95" s="484">
        <v>44235</v>
      </c>
      <c r="AA95" s="484">
        <v>44561</v>
      </c>
      <c r="AB95" s="485" t="s">
        <v>2548</v>
      </c>
      <c r="AC95" s="211">
        <v>45</v>
      </c>
      <c r="AD95" s="487">
        <v>51895054</v>
      </c>
      <c r="AE95" s="486" t="s">
        <v>2749</v>
      </c>
      <c r="AF95" s="473">
        <v>79535673</v>
      </c>
      <c r="AG95" s="474">
        <f t="shared" si="1"/>
        <v>0</v>
      </c>
      <c r="AJ95" s="475">
        <v>5302378</v>
      </c>
      <c r="AK95" s="475">
        <v>7574826</v>
      </c>
      <c r="AL95" s="475">
        <v>7574826</v>
      </c>
      <c r="AM95" s="306">
        <v>7574826</v>
      </c>
    </row>
    <row r="96" spans="1:39" hidden="1" x14ac:dyDescent="0.35">
      <c r="A96" s="476" t="s">
        <v>1894</v>
      </c>
      <c r="B96" s="477">
        <v>44319000</v>
      </c>
      <c r="C96" s="212" t="s">
        <v>2544</v>
      </c>
      <c r="D96" s="212">
        <v>94</v>
      </c>
      <c r="E96" s="478">
        <v>20212000002243</v>
      </c>
      <c r="F96" s="479">
        <v>44225</v>
      </c>
      <c r="G96" s="478" t="s">
        <v>2538</v>
      </c>
      <c r="H96" s="212" t="s">
        <v>2539</v>
      </c>
      <c r="I96" s="212" t="s">
        <v>391</v>
      </c>
      <c r="J96" s="475">
        <v>44319000</v>
      </c>
      <c r="K96" s="210" t="s">
        <v>2609</v>
      </c>
      <c r="L96" s="212" t="s">
        <v>2610</v>
      </c>
      <c r="M96" s="212" t="s">
        <v>44</v>
      </c>
      <c r="N96" s="212" t="s">
        <v>45</v>
      </c>
      <c r="O96" s="212" t="s">
        <v>63</v>
      </c>
      <c r="P96" s="212" t="s">
        <v>674</v>
      </c>
      <c r="R96" s="212">
        <v>98</v>
      </c>
      <c r="S96" s="479">
        <v>44225</v>
      </c>
      <c r="T96" s="212" t="s">
        <v>2750</v>
      </c>
      <c r="U96" s="475">
        <f>44319000-2014500</f>
        <v>42304500</v>
      </c>
      <c r="V96" s="406">
        <v>2014500</v>
      </c>
      <c r="W96" s="362"/>
      <c r="X96" s="483">
        <v>127</v>
      </c>
      <c r="Y96" s="484">
        <v>44239</v>
      </c>
      <c r="Z96" s="484">
        <v>44239</v>
      </c>
      <c r="AA96" s="484">
        <v>44561</v>
      </c>
      <c r="AB96" s="485" t="s">
        <v>2548</v>
      </c>
      <c r="AC96" s="483">
        <v>74</v>
      </c>
      <c r="AD96" s="485">
        <v>1026282363</v>
      </c>
      <c r="AE96" s="486" t="s">
        <v>2751</v>
      </c>
      <c r="AF96" s="473">
        <v>42304500</v>
      </c>
      <c r="AG96" s="474">
        <f t="shared" si="1"/>
        <v>0</v>
      </c>
      <c r="AJ96" s="475">
        <v>2283100</v>
      </c>
      <c r="AK96" s="475">
        <v>4029000</v>
      </c>
      <c r="AL96" s="475">
        <v>4029000</v>
      </c>
      <c r="AM96" s="306">
        <v>4029000</v>
      </c>
    </row>
    <row r="97" spans="1:39" hidden="1" x14ac:dyDescent="0.35">
      <c r="A97" s="476" t="s">
        <v>2409</v>
      </c>
      <c r="B97" s="477">
        <v>56202000</v>
      </c>
      <c r="C97" s="212" t="s">
        <v>2544</v>
      </c>
      <c r="D97" s="212">
        <v>95</v>
      </c>
      <c r="E97" s="478">
        <v>20212000002303</v>
      </c>
      <c r="F97" s="479">
        <v>44225</v>
      </c>
      <c r="G97" s="478" t="s">
        <v>2538</v>
      </c>
      <c r="H97" s="212" t="s">
        <v>2539</v>
      </c>
      <c r="I97" s="212" t="s">
        <v>391</v>
      </c>
      <c r="J97" s="475">
        <v>34800000</v>
      </c>
      <c r="K97" s="210" t="s">
        <v>2609</v>
      </c>
      <c r="L97" s="212" t="s">
        <v>2610</v>
      </c>
      <c r="M97" s="212" t="s">
        <v>44</v>
      </c>
      <c r="N97" s="212" t="s">
        <v>45</v>
      </c>
      <c r="O97" s="212" t="s">
        <v>63</v>
      </c>
      <c r="P97" s="212" t="s">
        <v>674</v>
      </c>
      <c r="R97" s="212">
        <v>99</v>
      </c>
      <c r="S97" s="479">
        <v>44225</v>
      </c>
      <c r="T97" s="212" t="s">
        <v>2752</v>
      </c>
      <c r="U97" s="475">
        <v>34800000</v>
      </c>
      <c r="V97" s="406"/>
      <c r="W97" s="362"/>
      <c r="X97" s="308">
        <v>104</v>
      </c>
      <c r="Y97" s="484">
        <v>44236</v>
      </c>
      <c r="Z97" s="484">
        <v>44236</v>
      </c>
      <c r="AA97" s="484">
        <v>44417</v>
      </c>
      <c r="AB97" s="485" t="s">
        <v>2548</v>
      </c>
      <c r="AC97" s="211">
        <v>52</v>
      </c>
      <c r="AD97" s="487">
        <v>1014176435</v>
      </c>
      <c r="AE97" s="486" t="s">
        <v>2753</v>
      </c>
      <c r="AF97" s="473">
        <v>34800000</v>
      </c>
      <c r="AG97" s="474">
        <f t="shared" si="1"/>
        <v>0</v>
      </c>
      <c r="AJ97" s="475">
        <v>3866667</v>
      </c>
      <c r="AK97" s="475">
        <v>5800000</v>
      </c>
      <c r="AL97" s="475">
        <v>5800000</v>
      </c>
      <c r="AM97" s="306">
        <v>5800000</v>
      </c>
    </row>
    <row r="98" spans="1:39" hidden="1" x14ac:dyDescent="0.35">
      <c r="A98" s="476" t="s">
        <v>2408</v>
      </c>
      <c r="B98" s="477">
        <v>39395799</v>
      </c>
      <c r="C98" s="212" t="s">
        <v>2544</v>
      </c>
      <c r="D98" s="212">
        <v>96</v>
      </c>
      <c r="E98" s="478">
        <v>20212000002313</v>
      </c>
      <c r="F98" s="479">
        <v>44225</v>
      </c>
      <c r="G98" s="478" t="s">
        <v>2538</v>
      </c>
      <c r="H98" s="212" t="s">
        <v>2539</v>
      </c>
      <c r="I98" s="212" t="s">
        <v>391</v>
      </c>
      <c r="J98" s="475">
        <v>39395796</v>
      </c>
      <c r="K98" s="210" t="s">
        <v>2609</v>
      </c>
      <c r="L98" s="212" t="s">
        <v>2610</v>
      </c>
      <c r="M98" s="212" t="s">
        <v>44</v>
      </c>
      <c r="N98" s="212" t="s">
        <v>45</v>
      </c>
      <c r="O98" s="212" t="s">
        <v>63</v>
      </c>
      <c r="P98" s="212" t="s">
        <v>674</v>
      </c>
      <c r="R98" s="212">
        <v>100</v>
      </c>
      <c r="S98" s="479">
        <v>44225</v>
      </c>
      <c r="T98" s="212" t="s">
        <v>2754</v>
      </c>
      <c r="U98" s="475">
        <f>39395796-3581436</f>
        <v>35814360</v>
      </c>
      <c r="V98" s="411">
        <v>3581436</v>
      </c>
      <c r="W98" s="397"/>
      <c r="X98" s="483">
        <v>173</v>
      </c>
      <c r="Y98" s="484">
        <v>44246</v>
      </c>
      <c r="Z98" s="484">
        <v>44246</v>
      </c>
      <c r="AA98" s="484">
        <v>44549</v>
      </c>
      <c r="AB98" s="485" t="s">
        <v>2548</v>
      </c>
      <c r="AC98" s="483">
        <v>120</v>
      </c>
      <c r="AD98" s="485">
        <v>7176892</v>
      </c>
      <c r="AE98" s="486" t="s">
        <v>2755</v>
      </c>
      <c r="AF98" s="473">
        <v>35814360</v>
      </c>
      <c r="AG98" s="474">
        <f t="shared" si="1"/>
        <v>0</v>
      </c>
      <c r="AK98" s="475">
        <v>4417104</v>
      </c>
      <c r="AL98" s="475">
        <v>3581436</v>
      </c>
      <c r="AM98" s="306">
        <v>3581436</v>
      </c>
    </row>
    <row r="99" spans="1:39" hidden="1" x14ac:dyDescent="0.35">
      <c r="A99" s="476" t="s">
        <v>2410</v>
      </c>
      <c r="B99" s="477">
        <v>48478886</v>
      </c>
      <c r="C99" s="212" t="s">
        <v>2544</v>
      </c>
      <c r="D99" s="212">
        <v>97</v>
      </c>
      <c r="E99" s="478">
        <v>20212000002323</v>
      </c>
      <c r="F99" s="479">
        <v>44225</v>
      </c>
      <c r="G99" s="478" t="s">
        <v>2538</v>
      </c>
      <c r="H99" s="212" t="s">
        <v>2539</v>
      </c>
      <c r="I99" s="212" t="s">
        <v>391</v>
      </c>
      <c r="J99" s="475">
        <v>47613192</v>
      </c>
      <c r="K99" s="210" t="s">
        <v>2609</v>
      </c>
      <c r="L99" s="212" t="s">
        <v>2610</v>
      </c>
      <c r="M99" s="212" t="s">
        <v>44</v>
      </c>
      <c r="N99" s="212" t="s">
        <v>45</v>
      </c>
      <c r="O99" s="212" t="s">
        <v>63</v>
      </c>
      <c r="P99" s="212" t="s">
        <v>674</v>
      </c>
      <c r="R99" s="212">
        <v>101</v>
      </c>
      <c r="S99" s="479">
        <v>44225</v>
      </c>
      <c r="T99" s="212" t="s">
        <v>2756</v>
      </c>
      <c r="U99" s="475">
        <f>47613192-2164236</f>
        <v>45448956</v>
      </c>
      <c r="V99" s="411">
        <v>2164236</v>
      </c>
      <c r="W99" s="397"/>
      <c r="X99" s="483">
        <v>138</v>
      </c>
      <c r="Y99" s="484">
        <v>44243</v>
      </c>
      <c r="Z99" s="484">
        <v>44243</v>
      </c>
      <c r="AA99" s="484">
        <v>44561</v>
      </c>
      <c r="AB99" s="485" t="s">
        <v>2548</v>
      </c>
      <c r="AC99" s="483">
        <v>99</v>
      </c>
      <c r="AD99" s="485">
        <v>79841545</v>
      </c>
      <c r="AE99" s="486" t="s">
        <v>2757</v>
      </c>
      <c r="AF99" s="473">
        <v>45448956</v>
      </c>
      <c r="AG99" s="474">
        <f t="shared" si="1"/>
        <v>0</v>
      </c>
      <c r="AJ99" s="475">
        <v>1731388</v>
      </c>
      <c r="AK99" s="475">
        <v>4328472</v>
      </c>
      <c r="AL99" s="475">
        <v>4328472</v>
      </c>
      <c r="AM99" s="306">
        <v>4328472</v>
      </c>
    </row>
    <row r="100" spans="1:39" hidden="1" x14ac:dyDescent="0.35">
      <c r="A100" s="476" t="s">
        <v>2397</v>
      </c>
      <c r="B100" s="477">
        <v>80896200</v>
      </c>
      <c r="C100" s="212" t="s">
        <v>2544</v>
      </c>
      <c r="D100" s="212">
        <v>98</v>
      </c>
      <c r="E100" s="478">
        <v>20212000002333</v>
      </c>
      <c r="F100" s="479">
        <v>44225</v>
      </c>
      <c r="G100" s="478" t="s">
        <v>2538</v>
      </c>
      <c r="H100" s="212" t="s">
        <v>2539</v>
      </c>
      <c r="I100" s="212" t="s">
        <v>391</v>
      </c>
      <c r="J100" s="475">
        <v>80896200</v>
      </c>
      <c r="K100" s="210" t="s">
        <v>2609</v>
      </c>
      <c r="L100" s="212" t="s">
        <v>2610</v>
      </c>
      <c r="M100" s="212" t="s">
        <v>44</v>
      </c>
      <c r="N100" s="212" t="s">
        <v>45</v>
      </c>
      <c r="O100" s="212" t="s">
        <v>63</v>
      </c>
      <c r="P100" s="212" t="s">
        <v>674</v>
      </c>
      <c r="R100" s="212">
        <v>102</v>
      </c>
      <c r="S100" s="479">
        <v>44225</v>
      </c>
      <c r="T100" s="212" t="s">
        <v>2758</v>
      </c>
      <c r="U100" s="475">
        <f>80896200-3677100</f>
        <v>77219100</v>
      </c>
      <c r="V100" s="411">
        <v>3677100</v>
      </c>
      <c r="W100" s="397"/>
      <c r="X100" s="308">
        <v>111</v>
      </c>
      <c r="Y100" s="484">
        <v>44237</v>
      </c>
      <c r="Z100" s="484">
        <v>44237</v>
      </c>
      <c r="AA100" s="484">
        <v>44561</v>
      </c>
      <c r="AB100" s="485" t="s">
        <v>2548</v>
      </c>
      <c r="AC100" s="211">
        <v>66</v>
      </c>
      <c r="AD100" s="487">
        <v>7184760</v>
      </c>
      <c r="AE100" s="486" t="s">
        <v>2759</v>
      </c>
      <c r="AF100" s="473">
        <v>77219100</v>
      </c>
      <c r="AG100" s="474">
        <f t="shared" si="1"/>
        <v>0</v>
      </c>
      <c r="AJ100" s="475">
        <v>4657660</v>
      </c>
      <c r="AK100" s="475">
        <v>7354200</v>
      </c>
      <c r="AL100" s="475">
        <v>7354200</v>
      </c>
      <c r="AM100" s="306">
        <v>7354200</v>
      </c>
    </row>
    <row r="101" spans="1:39" hidden="1" x14ac:dyDescent="0.35">
      <c r="A101" s="476" t="s">
        <v>2399</v>
      </c>
      <c r="B101" s="477">
        <v>127689924</v>
      </c>
      <c r="C101" s="212" t="s">
        <v>2544</v>
      </c>
      <c r="D101" s="212">
        <v>99</v>
      </c>
      <c r="E101" s="478">
        <v>20212000002343</v>
      </c>
      <c r="F101" s="479">
        <v>44225</v>
      </c>
      <c r="G101" s="478" t="s">
        <v>2538</v>
      </c>
      <c r="H101" s="212" t="s">
        <v>2539</v>
      </c>
      <c r="I101" s="212" t="s">
        <v>391</v>
      </c>
      <c r="J101" s="475">
        <v>119032980</v>
      </c>
      <c r="K101" s="210" t="s">
        <v>2609</v>
      </c>
      <c r="L101" s="212" t="s">
        <v>2610</v>
      </c>
      <c r="M101" s="212" t="s">
        <v>44</v>
      </c>
      <c r="N101" s="212" t="s">
        <v>45</v>
      </c>
      <c r="O101" s="212" t="s">
        <v>63</v>
      </c>
      <c r="P101" s="212" t="s">
        <v>674</v>
      </c>
      <c r="R101" s="212">
        <v>103</v>
      </c>
      <c r="S101" s="479">
        <v>44225</v>
      </c>
      <c r="T101" s="212" t="s">
        <v>2760</v>
      </c>
      <c r="U101" s="475">
        <f>119032980-5410590</f>
        <v>113622390</v>
      </c>
      <c r="V101" s="411">
        <v>5410590</v>
      </c>
      <c r="W101" s="397"/>
      <c r="X101" s="308">
        <v>112</v>
      </c>
      <c r="Y101" s="484">
        <v>44237</v>
      </c>
      <c r="Z101" s="484">
        <v>44237</v>
      </c>
      <c r="AA101" s="484">
        <v>44561</v>
      </c>
      <c r="AB101" s="485" t="s">
        <v>2548</v>
      </c>
      <c r="AC101" s="211">
        <v>67</v>
      </c>
      <c r="AD101" s="487">
        <v>24337567</v>
      </c>
      <c r="AE101" s="486" t="s">
        <v>2761</v>
      </c>
      <c r="AF101" s="473">
        <v>113622390</v>
      </c>
      <c r="AG101" s="474">
        <f t="shared" si="1"/>
        <v>0</v>
      </c>
      <c r="AK101" s="475">
        <v>6853414</v>
      </c>
      <c r="AL101" s="475">
        <v>10821180</v>
      </c>
      <c r="AM101" s="306">
        <f>10821180+10821180</f>
        <v>21642360</v>
      </c>
    </row>
    <row r="102" spans="1:39" s="312" customFormat="1" hidden="1" x14ac:dyDescent="0.35">
      <c r="A102" s="361" t="s">
        <v>2150</v>
      </c>
      <c r="B102" s="417">
        <v>59054190</v>
      </c>
      <c r="C102" s="312" t="s">
        <v>2544</v>
      </c>
      <c r="D102" s="312">
        <v>100</v>
      </c>
      <c r="E102" s="325">
        <v>20217000003363</v>
      </c>
      <c r="F102" s="315">
        <v>44225</v>
      </c>
      <c r="G102" s="325" t="s">
        <v>2545</v>
      </c>
      <c r="H102" s="312" t="s">
        <v>2546</v>
      </c>
      <c r="I102" s="312" t="s">
        <v>164</v>
      </c>
      <c r="J102" s="405">
        <v>59054190</v>
      </c>
      <c r="K102" s="312" t="s">
        <v>138</v>
      </c>
      <c r="L102" s="312" t="s">
        <v>139</v>
      </c>
      <c r="M102" s="312" t="s">
        <v>44</v>
      </c>
      <c r="N102" s="312" t="s">
        <v>45</v>
      </c>
      <c r="O102" s="312" t="s">
        <v>142</v>
      </c>
      <c r="P102" s="312" t="s">
        <v>43</v>
      </c>
      <c r="R102" s="312">
        <v>105</v>
      </c>
      <c r="S102" s="315">
        <v>44225</v>
      </c>
      <c r="T102" s="312" t="s">
        <v>2626</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x14ac:dyDescent="0.35">
      <c r="A103" s="476" t="s">
        <v>2291</v>
      </c>
      <c r="B103" s="477">
        <v>58145664</v>
      </c>
      <c r="C103" s="212" t="s">
        <v>2544</v>
      </c>
      <c r="D103" s="212">
        <v>101</v>
      </c>
      <c r="E103" s="478">
        <v>20217000000713</v>
      </c>
      <c r="F103" s="479">
        <v>44225</v>
      </c>
      <c r="G103" s="478" t="s">
        <v>2545</v>
      </c>
      <c r="H103" s="212" t="s">
        <v>2546</v>
      </c>
      <c r="I103" s="212" t="s">
        <v>164</v>
      </c>
      <c r="J103" s="475">
        <v>58145664</v>
      </c>
      <c r="K103" s="212" t="s">
        <v>138</v>
      </c>
      <c r="L103" s="212" t="s">
        <v>139</v>
      </c>
      <c r="M103" s="212" t="s">
        <v>44</v>
      </c>
      <c r="N103" s="212" t="s">
        <v>45</v>
      </c>
      <c r="O103" s="212" t="s">
        <v>142</v>
      </c>
      <c r="P103" s="212" t="s">
        <v>43</v>
      </c>
      <c r="R103" s="212">
        <v>93</v>
      </c>
      <c r="S103" s="479">
        <v>44225</v>
      </c>
      <c r="T103" s="212" t="s">
        <v>2762</v>
      </c>
      <c r="U103" s="475">
        <v>58145664</v>
      </c>
      <c r="V103" s="406"/>
      <c r="W103" s="362"/>
      <c r="X103" s="308">
        <v>67</v>
      </c>
      <c r="Y103" s="484">
        <v>44230</v>
      </c>
      <c r="Z103" s="472">
        <v>44230</v>
      </c>
      <c r="AA103" s="472">
        <v>44472</v>
      </c>
      <c r="AB103" s="2" t="s">
        <v>2548</v>
      </c>
      <c r="AC103" s="211">
        <v>31</v>
      </c>
      <c r="AD103" s="2">
        <v>51782375</v>
      </c>
      <c r="AE103" s="212" t="s">
        <v>2763</v>
      </c>
      <c r="AF103" s="473">
        <v>58145664</v>
      </c>
      <c r="AG103" s="474">
        <f t="shared" si="1"/>
        <v>0</v>
      </c>
      <c r="AJ103" s="475">
        <v>6299114</v>
      </c>
      <c r="AK103" s="475">
        <v>7268208</v>
      </c>
      <c r="AL103" s="475">
        <v>7268208</v>
      </c>
      <c r="AM103" s="306">
        <v>7268208</v>
      </c>
    </row>
    <row r="104" spans="1:39" hidden="1" x14ac:dyDescent="0.35">
      <c r="A104" s="476" t="s">
        <v>2151</v>
      </c>
      <c r="B104" s="477">
        <v>32979493</v>
      </c>
      <c r="C104" s="212" t="s">
        <v>2544</v>
      </c>
      <c r="D104" s="212">
        <v>102</v>
      </c>
      <c r="E104" s="478">
        <v>20217000003313</v>
      </c>
      <c r="F104" s="479">
        <v>44225</v>
      </c>
      <c r="G104" s="478" t="s">
        <v>2545</v>
      </c>
      <c r="H104" s="212" t="s">
        <v>2546</v>
      </c>
      <c r="I104" s="212" t="s">
        <v>164</v>
      </c>
      <c r="J104" s="475">
        <v>19079046</v>
      </c>
      <c r="K104" s="212" t="s">
        <v>138</v>
      </c>
      <c r="L104" s="212" t="s">
        <v>139</v>
      </c>
      <c r="M104" s="212" t="s">
        <v>44</v>
      </c>
      <c r="N104" s="212" t="s">
        <v>45</v>
      </c>
      <c r="O104" s="212" t="s">
        <v>142</v>
      </c>
      <c r="P104" s="212" t="s">
        <v>43</v>
      </c>
      <c r="R104" s="212">
        <v>104</v>
      </c>
      <c r="S104" s="479">
        <v>44225</v>
      </c>
      <c r="T104" s="212" t="s">
        <v>2764</v>
      </c>
      <c r="U104" s="475">
        <v>19079046</v>
      </c>
      <c r="V104" s="406"/>
      <c r="W104" s="362"/>
      <c r="X104" s="308">
        <v>59</v>
      </c>
      <c r="Y104" s="484">
        <v>44229</v>
      </c>
      <c r="Z104" s="472">
        <v>44229</v>
      </c>
      <c r="AA104" s="472">
        <v>44410</v>
      </c>
      <c r="AB104" s="2" t="s">
        <v>2548</v>
      </c>
      <c r="AC104" s="211">
        <v>23</v>
      </c>
      <c r="AD104" s="2">
        <v>79987799</v>
      </c>
      <c r="AE104" s="212" t="s">
        <v>2765</v>
      </c>
      <c r="AF104" s="473">
        <v>19079046</v>
      </c>
      <c r="AG104" s="474">
        <f t="shared" si="1"/>
        <v>0</v>
      </c>
      <c r="AJ104" s="475">
        <v>2861857</v>
      </c>
      <c r="AK104" s="475">
        <v>3179841</v>
      </c>
      <c r="AL104" s="475">
        <v>3179841</v>
      </c>
      <c r="AM104" s="306">
        <v>3179841</v>
      </c>
    </row>
    <row r="105" spans="1:39" hidden="1" x14ac:dyDescent="0.35">
      <c r="A105" s="476" t="s">
        <v>2154</v>
      </c>
      <c r="B105" s="477">
        <v>29972448</v>
      </c>
      <c r="C105" s="212" t="s">
        <v>2544</v>
      </c>
      <c r="D105" s="212">
        <v>103</v>
      </c>
      <c r="E105" s="478">
        <v>20217000003793</v>
      </c>
      <c r="F105" s="479">
        <v>44225</v>
      </c>
      <c r="G105" s="478" t="s">
        <v>2545</v>
      </c>
      <c r="H105" s="212" t="s">
        <v>2546</v>
      </c>
      <c r="I105" s="212" t="s">
        <v>164</v>
      </c>
      <c r="J105" s="475">
        <v>16400000</v>
      </c>
      <c r="K105" s="212" t="s">
        <v>138</v>
      </c>
      <c r="L105" s="212" t="s">
        <v>139</v>
      </c>
      <c r="M105" s="212" t="s">
        <v>44</v>
      </c>
      <c r="N105" s="212" t="s">
        <v>45</v>
      </c>
      <c r="O105" s="212" t="s">
        <v>142</v>
      </c>
      <c r="P105" s="212" t="s">
        <v>43</v>
      </c>
      <c r="R105" s="212">
        <v>106</v>
      </c>
      <c r="S105" s="479">
        <v>44225</v>
      </c>
      <c r="T105" s="212" t="s">
        <v>2766</v>
      </c>
      <c r="U105" s="475">
        <v>16400000</v>
      </c>
      <c r="V105" s="406"/>
      <c r="W105" s="362"/>
      <c r="X105" s="308">
        <v>90</v>
      </c>
      <c r="Y105" s="484">
        <v>44235</v>
      </c>
      <c r="Z105" s="484">
        <v>44235</v>
      </c>
      <c r="AA105" s="484">
        <v>44416</v>
      </c>
      <c r="AB105" s="485" t="s">
        <v>2548</v>
      </c>
      <c r="AC105" s="211">
        <v>44</v>
      </c>
      <c r="AD105" s="487">
        <v>17638268</v>
      </c>
      <c r="AE105" s="486" t="s">
        <v>2767</v>
      </c>
      <c r="AF105" s="473">
        <v>16348608</v>
      </c>
      <c r="AG105" s="474">
        <f t="shared" si="1"/>
        <v>51392</v>
      </c>
      <c r="AJ105" s="475">
        <v>1907338</v>
      </c>
      <c r="AK105" s="475">
        <v>2724768</v>
      </c>
      <c r="AL105" s="475">
        <v>2724768</v>
      </c>
      <c r="AM105" s="306">
        <v>2724768</v>
      </c>
    </row>
    <row r="106" spans="1:39" hidden="1" x14ac:dyDescent="0.35">
      <c r="A106" s="476" t="s">
        <v>2768</v>
      </c>
      <c r="B106" s="477">
        <v>33900000</v>
      </c>
      <c r="C106" s="212" t="s">
        <v>2544</v>
      </c>
      <c r="D106" s="212">
        <v>104</v>
      </c>
      <c r="E106" s="478">
        <v>20214000002353</v>
      </c>
      <c r="F106" s="479">
        <v>44225</v>
      </c>
      <c r="G106" s="478" t="s">
        <v>2578</v>
      </c>
      <c r="H106" s="212" t="s">
        <v>2579</v>
      </c>
      <c r="I106" s="212" t="s">
        <v>47</v>
      </c>
      <c r="J106" s="475">
        <v>27000000</v>
      </c>
      <c r="K106" s="212" t="s">
        <v>37</v>
      </c>
      <c r="L106" s="212" t="s">
        <v>2580</v>
      </c>
      <c r="M106" s="212" t="s">
        <v>44</v>
      </c>
      <c r="N106" s="212" t="s">
        <v>45</v>
      </c>
      <c r="O106" s="212" t="s">
        <v>310</v>
      </c>
      <c r="P106" s="212" t="s">
        <v>43</v>
      </c>
      <c r="R106" s="212">
        <v>107</v>
      </c>
      <c r="S106" s="479">
        <v>44225</v>
      </c>
      <c r="T106" s="212" t="s">
        <v>2769</v>
      </c>
      <c r="U106" s="475">
        <v>27000000</v>
      </c>
      <c r="V106" s="406"/>
      <c r="W106" s="362"/>
      <c r="X106" s="308">
        <v>58</v>
      </c>
      <c r="Y106" s="484">
        <v>44229</v>
      </c>
      <c r="Z106" s="472">
        <v>44229</v>
      </c>
      <c r="AA106" s="472">
        <v>44502</v>
      </c>
      <c r="AB106" s="2" t="s">
        <v>2548</v>
      </c>
      <c r="AC106" s="211">
        <v>26</v>
      </c>
      <c r="AD106" s="2">
        <v>1000855091</v>
      </c>
      <c r="AE106" s="212" t="s">
        <v>2770</v>
      </c>
      <c r="AF106" s="473">
        <v>27000000</v>
      </c>
      <c r="AG106" s="474">
        <f t="shared" si="1"/>
        <v>0</v>
      </c>
      <c r="AJ106" s="475">
        <v>2600000</v>
      </c>
      <c r="AK106" s="475">
        <v>3000000</v>
      </c>
      <c r="AL106" s="475">
        <v>3000000</v>
      </c>
      <c r="AM106" s="306">
        <v>3000000</v>
      </c>
    </row>
    <row r="107" spans="1:39" hidden="1" x14ac:dyDescent="0.35">
      <c r="A107" s="476" t="s">
        <v>2384</v>
      </c>
      <c r="B107" s="477">
        <v>12000000</v>
      </c>
      <c r="C107" s="212" t="s">
        <v>2544</v>
      </c>
      <c r="D107" s="212">
        <v>105</v>
      </c>
      <c r="E107" s="478">
        <v>20214000003753</v>
      </c>
      <c r="F107" s="479">
        <v>44225</v>
      </c>
      <c r="G107" s="478" t="s">
        <v>2578</v>
      </c>
      <c r="H107" s="212" t="s">
        <v>2579</v>
      </c>
      <c r="I107" s="212" t="s">
        <v>47</v>
      </c>
      <c r="J107" s="475">
        <v>12000000</v>
      </c>
      <c r="K107" s="212" t="s">
        <v>37</v>
      </c>
      <c r="L107" s="212" t="s">
        <v>2580</v>
      </c>
      <c r="M107" s="212" t="s">
        <v>44</v>
      </c>
      <c r="N107" s="212" t="s">
        <v>45</v>
      </c>
      <c r="O107" s="212" t="s">
        <v>310</v>
      </c>
      <c r="P107" s="212" t="s">
        <v>43</v>
      </c>
      <c r="R107" s="212">
        <v>108</v>
      </c>
      <c r="S107" s="479">
        <v>44225</v>
      </c>
      <c r="T107" s="212" t="s">
        <v>2771</v>
      </c>
      <c r="U107" s="475">
        <v>12000000</v>
      </c>
      <c r="V107" s="406"/>
      <c r="W107" s="362"/>
      <c r="X107" s="483">
        <v>158</v>
      </c>
      <c r="Y107" s="484">
        <v>44245</v>
      </c>
      <c r="Z107" s="484">
        <v>44245</v>
      </c>
      <c r="AA107" s="484">
        <v>44365</v>
      </c>
      <c r="AB107" s="485" t="s">
        <v>2548</v>
      </c>
      <c r="AC107" s="483">
        <v>106</v>
      </c>
      <c r="AD107" s="485">
        <v>4165926</v>
      </c>
      <c r="AE107" s="486" t="s">
        <v>2772</v>
      </c>
      <c r="AF107" s="473">
        <v>12000000</v>
      </c>
      <c r="AG107" s="474">
        <f t="shared" si="1"/>
        <v>0</v>
      </c>
      <c r="AJ107" s="475">
        <v>1100000</v>
      </c>
      <c r="AM107" s="212"/>
    </row>
    <row r="108" spans="1:39" hidden="1" x14ac:dyDescent="0.35">
      <c r="A108" s="476" t="s">
        <v>2288</v>
      </c>
      <c r="B108" s="477">
        <v>56000000</v>
      </c>
      <c r="C108" s="212" t="s">
        <v>2544</v>
      </c>
      <c r="D108" s="212">
        <v>106</v>
      </c>
      <c r="E108" s="478">
        <v>20213000003803</v>
      </c>
      <c r="F108" s="479">
        <v>44225</v>
      </c>
      <c r="G108" s="478" t="s">
        <v>2538</v>
      </c>
      <c r="H108" s="212" t="s">
        <v>2539</v>
      </c>
      <c r="I108" s="212" t="s">
        <v>432</v>
      </c>
      <c r="J108" s="475">
        <v>56000000</v>
      </c>
      <c r="K108" s="212" t="s">
        <v>358</v>
      </c>
      <c r="L108" s="212" t="s">
        <v>2689</v>
      </c>
      <c r="M108" s="212" t="s">
        <v>44</v>
      </c>
      <c r="N108" s="212" t="s">
        <v>45</v>
      </c>
      <c r="O108" s="212" t="s">
        <v>63</v>
      </c>
      <c r="P108" s="212" t="s">
        <v>674</v>
      </c>
      <c r="R108" s="212">
        <v>109</v>
      </c>
      <c r="S108" s="479">
        <v>44225</v>
      </c>
      <c r="T108" s="212" t="s">
        <v>2773</v>
      </c>
      <c r="U108" s="475">
        <v>56000000</v>
      </c>
      <c r="V108" s="406"/>
      <c r="W108" s="362"/>
      <c r="X108" s="483">
        <v>143</v>
      </c>
      <c r="Y108" s="484">
        <v>44243</v>
      </c>
      <c r="Z108" s="484">
        <v>44243</v>
      </c>
      <c r="AA108" s="484">
        <v>44485</v>
      </c>
      <c r="AB108" s="485" t="s">
        <v>2548</v>
      </c>
      <c r="AC108" s="483">
        <v>88</v>
      </c>
      <c r="AD108" s="485">
        <v>1118534346</v>
      </c>
      <c r="AE108" s="486" t="s">
        <v>2774</v>
      </c>
      <c r="AF108" s="473">
        <v>56000000</v>
      </c>
      <c r="AG108" s="474">
        <f t="shared" si="1"/>
        <v>0</v>
      </c>
      <c r="AK108" s="475">
        <v>9800000</v>
      </c>
      <c r="AL108" s="475">
        <v>7000000</v>
      </c>
      <c r="AM108" s="306">
        <v>7000000</v>
      </c>
    </row>
    <row r="109" spans="1:39" hidden="1" x14ac:dyDescent="0.35">
      <c r="A109" s="476" t="s">
        <v>2007</v>
      </c>
      <c r="B109" s="477">
        <v>18568000</v>
      </c>
      <c r="C109" s="212" t="s">
        <v>2544</v>
      </c>
      <c r="D109" s="212">
        <v>107</v>
      </c>
      <c r="E109" s="478">
        <v>20213000003823</v>
      </c>
      <c r="F109" s="479">
        <v>44225</v>
      </c>
      <c r="G109" s="478" t="s">
        <v>2538</v>
      </c>
      <c r="H109" s="212" t="s">
        <v>2539</v>
      </c>
      <c r="I109" s="212" t="s">
        <v>432</v>
      </c>
      <c r="J109" s="475">
        <v>18170520</v>
      </c>
      <c r="K109" s="212" t="s">
        <v>358</v>
      </c>
      <c r="L109" s="212" t="s">
        <v>2689</v>
      </c>
      <c r="M109" s="212" t="s">
        <v>44</v>
      </c>
      <c r="N109" s="212" t="s">
        <v>45</v>
      </c>
      <c r="O109" s="212" t="s">
        <v>63</v>
      </c>
      <c r="P109" s="212" t="s">
        <v>674</v>
      </c>
      <c r="R109" s="212">
        <v>110</v>
      </c>
      <c r="S109" s="479">
        <v>44225</v>
      </c>
      <c r="T109" s="212" t="s">
        <v>2775</v>
      </c>
      <c r="U109" s="475">
        <v>18170520</v>
      </c>
      <c r="V109" s="406"/>
      <c r="W109" s="362"/>
      <c r="X109" s="308">
        <v>110</v>
      </c>
      <c r="Y109" s="484">
        <v>44237</v>
      </c>
      <c r="Z109" s="484">
        <v>44237</v>
      </c>
      <c r="AA109" s="484">
        <v>44479</v>
      </c>
      <c r="AB109" s="485" t="s">
        <v>2548</v>
      </c>
      <c r="AC109" s="211">
        <v>68</v>
      </c>
      <c r="AD109" s="487">
        <v>1024490172</v>
      </c>
      <c r="AE109" s="486" t="s">
        <v>2776</v>
      </c>
      <c r="AF109" s="473">
        <v>18170520</v>
      </c>
      <c r="AG109" s="474">
        <f t="shared" si="1"/>
        <v>0</v>
      </c>
      <c r="AJ109" s="475">
        <v>1362789</v>
      </c>
      <c r="AK109" s="475">
        <v>2271315</v>
      </c>
      <c r="AL109" s="475">
        <v>2271315</v>
      </c>
      <c r="AM109" s="306">
        <v>2271315</v>
      </c>
    </row>
    <row r="110" spans="1:39" hidden="1" x14ac:dyDescent="0.35">
      <c r="A110" s="476" t="s">
        <v>2048</v>
      </c>
      <c r="B110" s="477">
        <v>46400000</v>
      </c>
      <c r="C110" s="212" t="s">
        <v>2544</v>
      </c>
      <c r="D110" s="212">
        <v>108</v>
      </c>
      <c r="E110" s="478">
        <v>20213000003843</v>
      </c>
      <c r="F110" s="479">
        <v>44225</v>
      </c>
      <c r="G110" s="478" t="s">
        <v>2538</v>
      </c>
      <c r="H110" s="212" t="s">
        <v>2539</v>
      </c>
      <c r="I110" s="212" t="s">
        <v>432</v>
      </c>
      <c r="J110" s="475">
        <v>46400000</v>
      </c>
      <c r="K110" s="212" t="s">
        <v>358</v>
      </c>
      <c r="L110" s="212" t="s">
        <v>2689</v>
      </c>
      <c r="M110" s="212" t="s">
        <v>44</v>
      </c>
      <c r="N110" s="212" t="s">
        <v>45</v>
      </c>
      <c r="O110" s="212" t="s">
        <v>63</v>
      </c>
      <c r="P110" s="212" t="s">
        <v>674</v>
      </c>
      <c r="R110" s="212">
        <v>111</v>
      </c>
      <c r="S110" s="479">
        <v>44225</v>
      </c>
      <c r="T110" s="212" t="s">
        <v>2777</v>
      </c>
      <c r="U110" s="475">
        <v>46400000</v>
      </c>
      <c r="V110" s="406"/>
      <c r="W110" s="362"/>
      <c r="X110" s="308">
        <v>80</v>
      </c>
      <c r="Y110" s="484">
        <v>44232</v>
      </c>
      <c r="Z110" s="484">
        <v>44232</v>
      </c>
      <c r="AA110" s="484">
        <v>44474</v>
      </c>
      <c r="AB110" s="485" t="s">
        <v>2548</v>
      </c>
      <c r="AC110" s="211">
        <v>38</v>
      </c>
      <c r="AD110" s="487">
        <v>52235999</v>
      </c>
      <c r="AE110" s="486" t="s">
        <v>2778</v>
      </c>
      <c r="AF110" s="473">
        <v>46400000</v>
      </c>
      <c r="AG110" s="474">
        <f t="shared" si="1"/>
        <v>0</v>
      </c>
      <c r="AJ110" s="475">
        <v>3866667</v>
      </c>
      <c r="AK110" s="475">
        <v>5800000</v>
      </c>
      <c r="AL110" s="475">
        <v>5800000</v>
      </c>
      <c r="AM110" s="306">
        <v>5800000</v>
      </c>
    </row>
    <row r="111" spans="1:39" hidden="1" x14ac:dyDescent="0.35">
      <c r="A111" s="476" t="s">
        <v>2006</v>
      </c>
      <c r="B111" s="477">
        <v>68000000</v>
      </c>
      <c r="C111" s="212" t="s">
        <v>2544</v>
      </c>
      <c r="D111" s="212">
        <v>109</v>
      </c>
      <c r="E111" s="478">
        <v>20213000003863</v>
      </c>
      <c r="F111" s="479">
        <v>44225</v>
      </c>
      <c r="G111" s="478" t="s">
        <v>2538</v>
      </c>
      <c r="H111" s="212" t="s">
        <v>2539</v>
      </c>
      <c r="I111" s="212" t="s">
        <v>432</v>
      </c>
      <c r="J111" s="475">
        <v>68000000</v>
      </c>
      <c r="K111" s="212" t="s">
        <v>358</v>
      </c>
      <c r="L111" s="212" t="s">
        <v>2689</v>
      </c>
      <c r="M111" s="212" t="s">
        <v>44</v>
      </c>
      <c r="N111" s="212" t="s">
        <v>45</v>
      </c>
      <c r="O111" s="212" t="s">
        <v>63</v>
      </c>
      <c r="P111" s="212" t="s">
        <v>674</v>
      </c>
      <c r="R111" s="212">
        <v>112</v>
      </c>
      <c r="S111" s="479">
        <v>44225</v>
      </c>
      <c r="T111" s="212" t="s">
        <v>2779</v>
      </c>
      <c r="U111" s="475">
        <v>68000000</v>
      </c>
      <c r="V111" s="406"/>
      <c r="W111" s="362"/>
      <c r="X111" s="308">
        <v>70</v>
      </c>
      <c r="Y111" s="472">
        <v>44230</v>
      </c>
      <c r="Z111" s="472">
        <v>44230</v>
      </c>
      <c r="AA111" s="472">
        <v>44472</v>
      </c>
      <c r="AB111" s="2" t="s">
        <v>2548</v>
      </c>
      <c r="AC111" s="211">
        <v>33</v>
      </c>
      <c r="AD111" s="2">
        <v>51938975</v>
      </c>
      <c r="AE111" s="212" t="s">
        <v>2780</v>
      </c>
      <c r="AF111" s="473">
        <v>68000000</v>
      </c>
      <c r="AG111" s="474">
        <f t="shared" si="1"/>
        <v>0</v>
      </c>
      <c r="AJ111" s="475">
        <v>7366667</v>
      </c>
      <c r="AK111" s="475">
        <v>8500000</v>
      </c>
      <c r="AL111" s="475">
        <v>8500000</v>
      </c>
      <c r="AM111" s="306">
        <v>8500000</v>
      </c>
    </row>
    <row r="112" spans="1:39" hidden="1" x14ac:dyDescent="0.35">
      <c r="A112" s="476" t="s">
        <v>2781</v>
      </c>
      <c r="B112" s="477">
        <v>64000000</v>
      </c>
      <c r="C112" s="212" t="s">
        <v>2544</v>
      </c>
      <c r="D112" s="212">
        <v>110</v>
      </c>
      <c r="E112" s="478">
        <v>20213000003873</v>
      </c>
      <c r="F112" s="479">
        <v>44225</v>
      </c>
      <c r="G112" s="478" t="s">
        <v>2538</v>
      </c>
      <c r="H112" s="212" t="s">
        <v>2539</v>
      </c>
      <c r="I112" s="212" t="s">
        <v>432</v>
      </c>
      <c r="J112" s="475">
        <v>64000000</v>
      </c>
      <c r="K112" s="212" t="s">
        <v>358</v>
      </c>
      <c r="L112" s="212" t="s">
        <v>2689</v>
      </c>
      <c r="M112" s="212" t="s">
        <v>44</v>
      </c>
      <c r="N112" s="212" t="s">
        <v>45</v>
      </c>
      <c r="O112" s="212" t="s">
        <v>63</v>
      </c>
      <c r="P112" s="212" t="s">
        <v>674</v>
      </c>
      <c r="R112" s="212">
        <v>113</v>
      </c>
      <c r="S112" s="479">
        <v>44225</v>
      </c>
      <c r="T112" s="212" t="s">
        <v>2782</v>
      </c>
      <c r="U112" s="475">
        <v>64000000</v>
      </c>
      <c r="V112" s="406"/>
      <c r="W112" s="362"/>
      <c r="X112" s="308">
        <v>105</v>
      </c>
      <c r="Y112" s="484">
        <v>44236</v>
      </c>
      <c r="Z112" s="484">
        <v>44236</v>
      </c>
      <c r="AA112" s="484">
        <v>44478</v>
      </c>
      <c r="AB112" s="485" t="s">
        <v>2548</v>
      </c>
      <c r="AC112" s="211">
        <v>58</v>
      </c>
      <c r="AD112" s="487">
        <v>14396115</v>
      </c>
      <c r="AE112" s="486" t="s">
        <v>2783</v>
      </c>
      <c r="AF112" s="473">
        <v>64000000</v>
      </c>
      <c r="AG112" s="474">
        <f t="shared" si="1"/>
        <v>0</v>
      </c>
      <c r="AJ112" s="475">
        <v>5066667</v>
      </c>
      <c r="AK112" s="475">
        <v>8000000</v>
      </c>
      <c r="AL112" s="475">
        <v>8000000</v>
      </c>
      <c r="AM112" s="306">
        <v>8000000</v>
      </c>
    </row>
    <row r="113" spans="1:39" ht="15" hidden="1" customHeight="1" x14ac:dyDescent="0.35">
      <c r="A113" s="476" t="s">
        <v>2046</v>
      </c>
      <c r="B113" s="477">
        <v>84000000</v>
      </c>
      <c r="C113" s="212" t="s">
        <v>2544</v>
      </c>
      <c r="D113" s="212">
        <v>111</v>
      </c>
      <c r="E113" s="478">
        <v>20213000003893</v>
      </c>
      <c r="F113" s="479">
        <v>44225</v>
      </c>
      <c r="G113" s="478" t="s">
        <v>2538</v>
      </c>
      <c r="H113" s="212" t="s">
        <v>2539</v>
      </c>
      <c r="I113" s="212" t="s">
        <v>432</v>
      </c>
      <c r="J113" s="475">
        <v>84000000</v>
      </c>
      <c r="K113" s="212" t="s">
        <v>358</v>
      </c>
      <c r="L113" s="212" t="s">
        <v>2689</v>
      </c>
      <c r="M113" s="212" t="s">
        <v>44</v>
      </c>
      <c r="N113" s="212" t="s">
        <v>45</v>
      </c>
      <c r="O113" s="212" t="s">
        <v>63</v>
      </c>
      <c r="P113" s="212" t="s">
        <v>674</v>
      </c>
      <c r="R113" s="212">
        <v>114</v>
      </c>
      <c r="S113" s="479">
        <v>44225</v>
      </c>
      <c r="T113" s="212" t="s">
        <v>2784</v>
      </c>
      <c r="U113" s="475">
        <v>84000000</v>
      </c>
      <c r="V113" s="406"/>
      <c r="W113" s="362"/>
      <c r="X113" s="483">
        <v>137</v>
      </c>
      <c r="Y113" s="484">
        <v>44243</v>
      </c>
      <c r="Z113" s="484">
        <v>44243</v>
      </c>
      <c r="AA113" s="484">
        <v>44485</v>
      </c>
      <c r="AB113" s="485" t="s">
        <v>2548</v>
      </c>
      <c r="AC113" s="483">
        <v>93</v>
      </c>
      <c r="AD113" s="485">
        <v>79353181</v>
      </c>
      <c r="AE113" s="486" t="s">
        <v>2785</v>
      </c>
      <c r="AF113" s="473">
        <v>84000000</v>
      </c>
      <c r="AG113" s="474">
        <f t="shared" si="1"/>
        <v>0</v>
      </c>
      <c r="AM113" s="212"/>
    </row>
    <row r="114" spans="1:39" ht="15" hidden="1" customHeight="1" x14ac:dyDescent="0.35">
      <c r="A114" s="476" t="s">
        <v>2290</v>
      </c>
      <c r="B114" s="477">
        <v>42000000</v>
      </c>
      <c r="C114" s="212" t="s">
        <v>2544</v>
      </c>
      <c r="D114" s="212">
        <v>112</v>
      </c>
      <c r="E114" s="478">
        <v>20213000003913</v>
      </c>
      <c r="F114" s="479">
        <v>44225</v>
      </c>
      <c r="G114" s="478" t="s">
        <v>2538</v>
      </c>
      <c r="H114" s="212" t="s">
        <v>2539</v>
      </c>
      <c r="I114" s="212" t="s">
        <v>432</v>
      </c>
      <c r="J114" s="475">
        <v>42000000</v>
      </c>
      <c r="K114" s="212" t="s">
        <v>358</v>
      </c>
      <c r="L114" s="212" t="s">
        <v>2689</v>
      </c>
      <c r="M114" s="212" t="s">
        <v>44</v>
      </c>
      <c r="N114" s="212" t="s">
        <v>45</v>
      </c>
      <c r="O114" s="212" t="s">
        <v>63</v>
      </c>
      <c r="P114" s="212" t="s">
        <v>674</v>
      </c>
      <c r="R114" s="212">
        <v>115</v>
      </c>
      <c r="S114" s="479">
        <v>44225</v>
      </c>
      <c r="T114" s="212" t="s">
        <v>2786</v>
      </c>
      <c r="U114" s="475">
        <v>42000000</v>
      </c>
      <c r="V114" s="406"/>
      <c r="W114" s="362"/>
      <c r="X114" s="483">
        <v>163</v>
      </c>
      <c r="Y114" s="484">
        <v>44246</v>
      </c>
      <c r="Z114" s="484">
        <v>44246</v>
      </c>
      <c r="AA114" s="484">
        <v>44427</v>
      </c>
      <c r="AB114" s="485" t="s">
        <v>2548</v>
      </c>
      <c r="AC114" s="483">
        <v>103</v>
      </c>
      <c r="AD114" s="485">
        <v>20880710</v>
      </c>
      <c r="AE114" s="486" t="s">
        <v>2787</v>
      </c>
      <c r="AF114" s="473">
        <v>42000000</v>
      </c>
      <c r="AG114" s="474">
        <f t="shared" si="1"/>
        <v>0</v>
      </c>
      <c r="AJ114" s="475">
        <v>2333333</v>
      </c>
      <c r="AK114" s="475">
        <v>7000000</v>
      </c>
      <c r="AL114" s="475">
        <v>7000000</v>
      </c>
      <c r="AM114" s="306">
        <v>7000000</v>
      </c>
    </row>
    <row r="115" spans="1:39" ht="15" hidden="1" customHeight="1" x14ac:dyDescent="0.35">
      <c r="A115" s="476" t="s">
        <v>2357</v>
      </c>
      <c r="B115" s="477">
        <v>13926000</v>
      </c>
      <c r="C115" s="212" t="s">
        <v>2544</v>
      </c>
      <c r="D115" s="212">
        <v>113</v>
      </c>
      <c r="E115" s="478">
        <v>20213000003923</v>
      </c>
      <c r="F115" s="479">
        <v>44225</v>
      </c>
      <c r="G115" s="478" t="s">
        <v>2538</v>
      </c>
      <c r="H115" s="212" t="s">
        <v>2539</v>
      </c>
      <c r="I115" s="212" t="s">
        <v>432</v>
      </c>
      <c r="J115" s="475">
        <v>13926000</v>
      </c>
      <c r="K115" s="212" t="s">
        <v>358</v>
      </c>
      <c r="L115" s="212" t="s">
        <v>2689</v>
      </c>
      <c r="M115" s="212" t="s">
        <v>44</v>
      </c>
      <c r="N115" s="212" t="s">
        <v>45</v>
      </c>
      <c r="O115" s="212" t="s">
        <v>63</v>
      </c>
      <c r="P115" s="212" t="s">
        <v>674</v>
      </c>
      <c r="R115" s="212">
        <v>116</v>
      </c>
      <c r="S115" s="479">
        <v>44225</v>
      </c>
      <c r="T115" s="212" t="s">
        <v>2788</v>
      </c>
      <c r="U115" s="475">
        <v>13926000</v>
      </c>
      <c r="V115" s="406"/>
      <c r="W115" s="362"/>
      <c r="X115" s="483" t="s">
        <v>2789</v>
      </c>
      <c r="Y115" s="484">
        <v>44291</v>
      </c>
      <c r="Z115" s="484">
        <v>44291</v>
      </c>
      <c r="AA115" s="484">
        <v>44475</v>
      </c>
      <c r="AB115" s="485" t="s">
        <v>2548</v>
      </c>
      <c r="AC115" s="483" t="s">
        <v>2790</v>
      </c>
      <c r="AD115" s="485" t="s">
        <v>2791</v>
      </c>
      <c r="AE115" s="486" t="s">
        <v>2792</v>
      </c>
      <c r="AF115" s="473">
        <v>13926000</v>
      </c>
      <c r="AG115" s="474">
        <f t="shared" si="1"/>
        <v>0</v>
      </c>
      <c r="AL115" s="475">
        <v>1934167</v>
      </c>
      <c r="AM115" s="306">
        <v>2321000</v>
      </c>
    </row>
    <row r="116" spans="1:39" ht="15" hidden="1" customHeight="1" x14ac:dyDescent="0.35">
      <c r="A116" s="476" t="s">
        <v>1995</v>
      </c>
      <c r="B116" s="477">
        <v>77000000</v>
      </c>
      <c r="C116" s="212" t="s">
        <v>2544</v>
      </c>
      <c r="D116" s="212">
        <v>114</v>
      </c>
      <c r="E116" s="478">
        <v>20215000000933</v>
      </c>
      <c r="F116" s="479">
        <v>44225</v>
      </c>
      <c r="G116" s="478" t="s">
        <v>2538</v>
      </c>
      <c r="H116" s="212" t="s">
        <v>2539</v>
      </c>
      <c r="I116" s="212" t="s">
        <v>228</v>
      </c>
      <c r="J116" s="475">
        <v>77000000</v>
      </c>
      <c r="K116" s="212" t="s">
        <v>223</v>
      </c>
      <c r="L116" s="212" t="s">
        <v>2656</v>
      </c>
      <c r="M116" s="212" t="s">
        <v>44</v>
      </c>
      <c r="N116" s="212" t="s">
        <v>45</v>
      </c>
      <c r="O116" s="212" t="s">
        <v>63</v>
      </c>
      <c r="P116" s="212" t="s">
        <v>674</v>
      </c>
      <c r="R116" s="212">
        <v>117</v>
      </c>
      <c r="S116" s="479">
        <v>44225</v>
      </c>
      <c r="T116" s="212" t="s">
        <v>2793</v>
      </c>
      <c r="U116" s="475">
        <f>77000000-7000000</f>
        <v>70000000</v>
      </c>
      <c r="V116" s="411">
        <v>7000000</v>
      </c>
      <c r="W116" s="397"/>
      <c r="X116" s="308">
        <v>57</v>
      </c>
      <c r="Y116" s="472">
        <v>44229</v>
      </c>
      <c r="Z116" s="472">
        <v>44229</v>
      </c>
      <c r="AA116" s="472">
        <v>44532</v>
      </c>
      <c r="AB116" s="2" t="s">
        <v>2548</v>
      </c>
      <c r="AC116" s="211">
        <v>25</v>
      </c>
      <c r="AD116" s="2">
        <v>80762638</v>
      </c>
      <c r="AE116" s="212" t="s">
        <v>2794</v>
      </c>
      <c r="AF116" s="473">
        <v>70000000</v>
      </c>
      <c r="AG116" s="474">
        <f t="shared" si="1"/>
        <v>0</v>
      </c>
      <c r="AJ116" s="475">
        <v>6300000</v>
      </c>
      <c r="AK116" s="475">
        <v>7000000</v>
      </c>
      <c r="AL116" s="475">
        <v>7000000</v>
      </c>
      <c r="AM116" s="306">
        <v>7000000</v>
      </c>
    </row>
    <row r="117" spans="1:39" ht="15" hidden="1" customHeight="1" x14ac:dyDescent="0.35">
      <c r="A117" s="476" t="s">
        <v>2293</v>
      </c>
      <c r="B117" s="477">
        <v>77000000</v>
      </c>
      <c r="C117" s="212" t="s">
        <v>2544</v>
      </c>
      <c r="D117" s="212">
        <v>115</v>
      </c>
      <c r="E117" s="478">
        <v>20215000001023</v>
      </c>
      <c r="F117" s="479">
        <v>44225</v>
      </c>
      <c r="G117" s="478" t="s">
        <v>2538</v>
      </c>
      <c r="H117" s="212" t="s">
        <v>2539</v>
      </c>
      <c r="I117" s="212" t="s">
        <v>228</v>
      </c>
      <c r="J117" s="475">
        <v>77000000</v>
      </c>
      <c r="K117" s="212" t="s">
        <v>223</v>
      </c>
      <c r="L117" s="212" t="s">
        <v>269</v>
      </c>
      <c r="M117" s="212" t="s">
        <v>44</v>
      </c>
      <c r="N117" s="212" t="s">
        <v>45</v>
      </c>
      <c r="O117" s="212" t="s">
        <v>63</v>
      </c>
      <c r="P117" s="212" t="s">
        <v>674</v>
      </c>
      <c r="R117" s="212">
        <v>118</v>
      </c>
      <c r="S117" s="479">
        <v>44225</v>
      </c>
      <c r="T117" s="212" t="s">
        <v>2795</v>
      </c>
      <c r="U117" s="475">
        <f>77000000-7000000</f>
        <v>70000000</v>
      </c>
      <c r="V117" s="411">
        <v>7000000</v>
      </c>
      <c r="W117" s="397"/>
      <c r="X117" s="483">
        <v>120</v>
      </c>
      <c r="Y117" s="484">
        <v>44238</v>
      </c>
      <c r="Z117" s="484">
        <v>44238</v>
      </c>
      <c r="AA117" s="484">
        <v>44541</v>
      </c>
      <c r="AB117" s="485" t="s">
        <v>2548</v>
      </c>
      <c r="AC117" s="211">
        <v>73</v>
      </c>
      <c r="AD117" s="485">
        <v>79939476</v>
      </c>
      <c r="AE117" s="486" t="s">
        <v>2796</v>
      </c>
      <c r="AF117" s="473">
        <v>70000000</v>
      </c>
      <c r="AG117" s="474">
        <f t="shared" si="1"/>
        <v>0</v>
      </c>
      <c r="AJ117" s="475">
        <v>3966667</v>
      </c>
      <c r="AK117" s="475">
        <v>7000000</v>
      </c>
      <c r="AL117" s="475">
        <v>7000000</v>
      </c>
      <c r="AM117" s="306">
        <v>7000000</v>
      </c>
    </row>
    <row r="118" spans="1:39" ht="15" hidden="1" customHeight="1" x14ac:dyDescent="0.35">
      <c r="A118" s="476" t="s">
        <v>2055</v>
      </c>
      <c r="B118" s="477">
        <v>48400000</v>
      </c>
      <c r="C118" s="212" t="s">
        <v>2544</v>
      </c>
      <c r="D118" s="212">
        <v>116</v>
      </c>
      <c r="E118" s="478">
        <v>20215000001113</v>
      </c>
      <c r="F118" s="479">
        <v>44225</v>
      </c>
      <c r="G118" s="478" t="s">
        <v>2538</v>
      </c>
      <c r="H118" s="212" t="s">
        <v>2539</v>
      </c>
      <c r="I118" s="212" t="s">
        <v>228</v>
      </c>
      <c r="J118" s="475">
        <v>48400000</v>
      </c>
      <c r="K118" s="212" t="s">
        <v>223</v>
      </c>
      <c r="L118" s="212" t="s">
        <v>269</v>
      </c>
      <c r="M118" s="212" t="s">
        <v>44</v>
      </c>
      <c r="N118" s="212" t="s">
        <v>45</v>
      </c>
      <c r="O118" s="212" t="s">
        <v>63</v>
      </c>
      <c r="P118" s="212" t="s">
        <v>674</v>
      </c>
      <c r="R118" s="212">
        <v>119</v>
      </c>
      <c r="S118" s="479">
        <v>44225</v>
      </c>
      <c r="T118" s="212" t="s">
        <v>2797</v>
      </c>
      <c r="U118" s="475">
        <f>48400000-4400000</f>
        <v>44000000</v>
      </c>
      <c r="V118" s="411">
        <v>4400000</v>
      </c>
      <c r="W118" s="397"/>
      <c r="X118" s="308">
        <v>82</v>
      </c>
      <c r="Y118" s="484">
        <v>44232</v>
      </c>
      <c r="Z118" s="484">
        <v>44232</v>
      </c>
      <c r="AA118" s="484">
        <v>44535</v>
      </c>
      <c r="AB118" s="485" t="s">
        <v>2548</v>
      </c>
      <c r="AC118" s="211">
        <v>41</v>
      </c>
      <c r="AD118" s="487">
        <v>80073637</v>
      </c>
      <c r="AE118" s="690" t="s">
        <v>2798</v>
      </c>
      <c r="AF118" s="473">
        <v>44000000</v>
      </c>
      <c r="AG118" s="474">
        <f t="shared" si="1"/>
        <v>0</v>
      </c>
      <c r="AJ118" s="475">
        <v>3080000</v>
      </c>
      <c r="AK118" s="475">
        <v>4400000</v>
      </c>
      <c r="AL118" s="475">
        <v>4400000</v>
      </c>
      <c r="AM118" s="306">
        <v>4400000</v>
      </c>
    </row>
    <row r="119" spans="1:39" ht="15" hidden="1" customHeight="1" x14ac:dyDescent="0.35">
      <c r="A119" s="476" t="s">
        <v>2294</v>
      </c>
      <c r="B119" s="477">
        <v>77000000</v>
      </c>
      <c r="C119" s="212" t="s">
        <v>2544</v>
      </c>
      <c r="D119" s="212">
        <v>117</v>
      </c>
      <c r="E119" s="478">
        <v>20215000001183</v>
      </c>
      <c r="F119" s="479">
        <v>44225</v>
      </c>
      <c r="G119" s="478" t="s">
        <v>2538</v>
      </c>
      <c r="H119" s="212" t="s">
        <v>2539</v>
      </c>
      <c r="I119" s="212" t="s">
        <v>228</v>
      </c>
      <c r="J119" s="475">
        <v>77000000</v>
      </c>
      <c r="K119" s="212" t="s">
        <v>223</v>
      </c>
      <c r="L119" s="212" t="s">
        <v>2656</v>
      </c>
      <c r="M119" s="212" t="s">
        <v>44</v>
      </c>
      <c r="N119" s="212" t="s">
        <v>45</v>
      </c>
      <c r="O119" s="212" t="s">
        <v>63</v>
      </c>
      <c r="P119" s="212" t="s">
        <v>674</v>
      </c>
      <c r="R119" s="212">
        <v>120</v>
      </c>
      <c r="S119" s="479">
        <v>44225</v>
      </c>
      <c r="T119" s="212" t="s">
        <v>2799</v>
      </c>
      <c r="U119" s="475">
        <f>77000000-18000000</f>
        <v>59000000</v>
      </c>
      <c r="V119" s="411">
        <v>18000000</v>
      </c>
      <c r="W119" s="397"/>
      <c r="X119" s="308">
        <v>77</v>
      </c>
      <c r="Y119" s="484">
        <v>44231</v>
      </c>
      <c r="Z119" s="484">
        <v>44231</v>
      </c>
      <c r="AA119" s="484">
        <v>44534</v>
      </c>
      <c r="AB119" s="485" t="s">
        <v>2548</v>
      </c>
      <c r="AC119" s="211">
        <v>39</v>
      </c>
      <c r="AD119" s="487">
        <v>1016033905</v>
      </c>
      <c r="AE119" s="486" t="s">
        <v>2800</v>
      </c>
      <c r="AF119" s="473">
        <v>59000000</v>
      </c>
      <c r="AG119" s="474">
        <f t="shared" si="1"/>
        <v>0</v>
      </c>
      <c r="AJ119" s="475">
        <v>4720000</v>
      </c>
      <c r="AK119" s="475">
        <v>5900000</v>
      </c>
      <c r="AL119" s="475">
        <v>5900000</v>
      </c>
      <c r="AM119" s="306">
        <v>5900000</v>
      </c>
    </row>
    <row r="120" spans="1:39" ht="15" hidden="1" customHeight="1" x14ac:dyDescent="0.35">
      <c r="A120" s="476" t="s">
        <v>2085</v>
      </c>
      <c r="B120" s="477">
        <v>37311600</v>
      </c>
      <c r="C120" s="212" t="s">
        <v>2544</v>
      </c>
      <c r="D120" s="212">
        <v>118</v>
      </c>
      <c r="E120" s="309">
        <v>20212000008473</v>
      </c>
      <c r="F120" s="479">
        <v>44244</v>
      </c>
      <c r="G120" s="478" t="s">
        <v>2538</v>
      </c>
      <c r="H120" s="212" t="s">
        <v>2539</v>
      </c>
      <c r="I120" s="212" t="s">
        <v>391</v>
      </c>
      <c r="J120" s="475">
        <v>35550000</v>
      </c>
      <c r="K120" s="210" t="s">
        <v>2609</v>
      </c>
      <c r="L120" s="212" t="s">
        <v>2610</v>
      </c>
      <c r="M120" s="212" t="s">
        <v>44</v>
      </c>
      <c r="N120" s="212" t="s">
        <v>45</v>
      </c>
      <c r="O120" s="212" t="s">
        <v>63</v>
      </c>
      <c r="P120" s="212" t="s">
        <v>674</v>
      </c>
      <c r="R120" s="486">
        <v>263</v>
      </c>
      <c r="S120" s="490">
        <v>44244</v>
      </c>
      <c r="T120" s="486" t="s">
        <v>2801</v>
      </c>
      <c r="U120" s="475">
        <v>35550000</v>
      </c>
      <c r="V120" s="406"/>
      <c r="W120" s="362"/>
      <c r="X120" s="308">
        <v>212</v>
      </c>
      <c r="Y120" s="484">
        <v>44257</v>
      </c>
      <c r="Z120" s="484">
        <v>44257</v>
      </c>
      <c r="AA120" s="484">
        <v>44532</v>
      </c>
      <c r="AB120" s="485" t="s">
        <v>2548</v>
      </c>
      <c r="AC120" s="211">
        <v>147</v>
      </c>
      <c r="AD120" s="485" t="s">
        <v>2802</v>
      </c>
      <c r="AE120" s="486" t="s">
        <v>2803</v>
      </c>
      <c r="AF120" s="473">
        <v>35550000</v>
      </c>
      <c r="AG120" s="474">
        <f t="shared" si="1"/>
        <v>0</v>
      </c>
      <c r="AK120" s="475">
        <v>3818333</v>
      </c>
      <c r="AL120" s="475">
        <v>3950000</v>
      </c>
      <c r="AM120" s="306">
        <v>3950000</v>
      </c>
    </row>
    <row r="121" spans="1:39" ht="15" hidden="1" customHeight="1" x14ac:dyDescent="0.35">
      <c r="A121" s="476" t="s">
        <v>2334</v>
      </c>
      <c r="B121" s="477">
        <v>63600000</v>
      </c>
      <c r="C121" s="212" t="s">
        <v>2544</v>
      </c>
      <c r="D121" s="212">
        <v>119</v>
      </c>
      <c r="E121" s="478">
        <v>20215000002793</v>
      </c>
      <c r="F121" s="479">
        <v>44225</v>
      </c>
      <c r="G121" s="478" t="s">
        <v>2538</v>
      </c>
      <c r="H121" s="212" t="s">
        <v>2539</v>
      </c>
      <c r="I121" s="212" t="s">
        <v>228</v>
      </c>
      <c r="J121" s="475">
        <v>63600000</v>
      </c>
      <c r="K121" s="212" t="s">
        <v>223</v>
      </c>
      <c r="L121" s="212" t="s">
        <v>283</v>
      </c>
      <c r="M121" s="212" t="s">
        <v>44</v>
      </c>
      <c r="N121" s="212" t="s">
        <v>45</v>
      </c>
      <c r="O121" s="212" t="s">
        <v>63</v>
      </c>
      <c r="P121" s="212" t="s">
        <v>674</v>
      </c>
      <c r="R121" s="212">
        <v>122</v>
      </c>
      <c r="S121" s="479">
        <v>44225</v>
      </c>
      <c r="T121" s="212" t="s">
        <v>2804</v>
      </c>
      <c r="U121" s="475">
        <f>63600000-27600000</f>
        <v>36000000</v>
      </c>
      <c r="V121" s="444">
        <v>27600000</v>
      </c>
      <c r="W121" s="398"/>
      <c r="X121" s="308">
        <v>278</v>
      </c>
      <c r="Y121" s="472">
        <v>44273</v>
      </c>
      <c r="Z121" s="491">
        <v>44273</v>
      </c>
      <c r="AA121" s="491">
        <v>44548</v>
      </c>
      <c r="AB121" s="485" t="s">
        <v>2548</v>
      </c>
      <c r="AC121" s="211">
        <v>196</v>
      </c>
      <c r="AD121" s="492">
        <v>1023019022</v>
      </c>
      <c r="AE121" s="493" t="s">
        <v>2805</v>
      </c>
      <c r="AF121" s="473">
        <v>36000000</v>
      </c>
      <c r="AG121" s="474">
        <f t="shared" si="1"/>
        <v>0</v>
      </c>
      <c r="AM121" s="306">
        <v>3733333</v>
      </c>
    </row>
    <row r="122" spans="1:39" ht="15" hidden="1" customHeight="1" x14ac:dyDescent="0.35">
      <c r="A122" s="476" t="s">
        <v>1998</v>
      </c>
      <c r="B122" s="477">
        <v>33000000</v>
      </c>
      <c r="C122" s="212" t="s">
        <v>2544</v>
      </c>
      <c r="D122" s="212">
        <v>120</v>
      </c>
      <c r="E122" s="478">
        <v>20215000002813</v>
      </c>
      <c r="F122" s="479">
        <v>44225</v>
      </c>
      <c r="G122" s="478" t="s">
        <v>2538</v>
      </c>
      <c r="H122" s="212" t="s">
        <v>2539</v>
      </c>
      <c r="I122" s="212" t="s">
        <v>228</v>
      </c>
      <c r="J122" s="475">
        <v>33000000</v>
      </c>
      <c r="K122" s="212" t="s">
        <v>223</v>
      </c>
      <c r="L122" s="212" t="s">
        <v>236</v>
      </c>
      <c r="M122" s="212" t="s">
        <v>44</v>
      </c>
      <c r="N122" s="212" t="s">
        <v>45</v>
      </c>
      <c r="O122" s="212" t="s">
        <v>63</v>
      </c>
      <c r="P122" s="212" t="s">
        <v>674</v>
      </c>
      <c r="R122" s="212">
        <v>123</v>
      </c>
      <c r="S122" s="479">
        <v>44225</v>
      </c>
      <c r="T122" s="212" t="s">
        <v>2806</v>
      </c>
      <c r="U122" s="475">
        <f>33000000-11000000</f>
        <v>22000000</v>
      </c>
      <c r="V122" s="444">
        <v>11000000</v>
      </c>
      <c r="W122" s="398"/>
      <c r="X122" s="483">
        <v>200</v>
      </c>
      <c r="Y122" s="484">
        <v>44253</v>
      </c>
      <c r="Z122" s="484">
        <v>44253</v>
      </c>
      <c r="AA122" s="484">
        <v>44556</v>
      </c>
      <c r="AB122" s="485" t="s">
        <v>2548</v>
      </c>
      <c r="AC122" s="483">
        <v>138</v>
      </c>
      <c r="AD122" s="485" t="s">
        <v>2807</v>
      </c>
      <c r="AE122" s="486" t="s">
        <v>2808</v>
      </c>
      <c r="AF122" s="473">
        <v>22000000</v>
      </c>
      <c r="AG122" s="474">
        <f t="shared" si="1"/>
        <v>0</v>
      </c>
      <c r="AK122" s="475">
        <v>2200000</v>
      </c>
      <c r="AL122" s="475">
        <v>2200000</v>
      </c>
      <c r="AM122" s="306">
        <v>2200000</v>
      </c>
    </row>
    <row r="123" spans="1:39" ht="15" hidden="1" customHeight="1" x14ac:dyDescent="0.35">
      <c r="A123" s="494" t="s">
        <v>2809</v>
      </c>
      <c r="B123" s="495">
        <v>18000000</v>
      </c>
      <c r="C123" s="212" t="s">
        <v>2544</v>
      </c>
      <c r="D123" s="212">
        <v>121</v>
      </c>
      <c r="E123" s="478">
        <v>20214000006123</v>
      </c>
      <c r="F123" s="479">
        <v>44235</v>
      </c>
      <c r="G123" s="478" t="s">
        <v>2571</v>
      </c>
      <c r="H123" s="212" t="s">
        <v>2572</v>
      </c>
      <c r="I123" s="212" t="s">
        <v>117</v>
      </c>
      <c r="J123" s="475">
        <v>18000000</v>
      </c>
      <c r="K123" s="212" t="s">
        <v>112</v>
      </c>
      <c r="L123" s="212" t="s">
        <v>2573</v>
      </c>
      <c r="M123" s="212" t="s">
        <v>44</v>
      </c>
      <c r="N123" s="212" t="s">
        <v>45</v>
      </c>
      <c r="O123" s="212" t="s">
        <v>63</v>
      </c>
      <c r="P123" s="212" t="s">
        <v>43</v>
      </c>
      <c r="R123" s="212">
        <v>208</v>
      </c>
      <c r="S123" s="479">
        <v>44235</v>
      </c>
      <c r="T123" s="212" t="s">
        <v>2810</v>
      </c>
      <c r="U123" s="475">
        <f>18000000-3464000</f>
        <v>14536000</v>
      </c>
      <c r="V123" s="406">
        <v>3464000</v>
      </c>
      <c r="W123" s="362"/>
      <c r="X123" s="308" t="s">
        <v>2811</v>
      </c>
      <c r="Y123" s="484">
        <v>44257</v>
      </c>
      <c r="Z123" s="484">
        <v>44257</v>
      </c>
      <c r="AA123" s="484">
        <v>44379</v>
      </c>
      <c r="AB123" s="485" t="s">
        <v>2548</v>
      </c>
      <c r="AC123" s="211" t="s">
        <v>2812</v>
      </c>
      <c r="AD123" s="485" t="s">
        <v>2813</v>
      </c>
      <c r="AE123" s="486" t="s">
        <v>2814</v>
      </c>
      <c r="AF123" s="473">
        <v>14536000</v>
      </c>
      <c r="AG123" s="474">
        <f t="shared" si="1"/>
        <v>0</v>
      </c>
      <c r="AK123" s="475">
        <v>3270600</v>
      </c>
      <c r="AL123" s="475">
        <v>3634000</v>
      </c>
      <c r="AM123" s="306">
        <v>3634000</v>
      </c>
    </row>
    <row r="124" spans="1:39" ht="15" hidden="1" customHeight="1" x14ac:dyDescent="0.35">
      <c r="A124" s="476" t="s">
        <v>1999</v>
      </c>
      <c r="B124" s="477">
        <v>33000000</v>
      </c>
      <c r="C124" s="212" t="s">
        <v>2544</v>
      </c>
      <c r="D124" s="212">
        <v>122</v>
      </c>
      <c r="E124" s="478">
        <v>20215000002833</v>
      </c>
      <c r="F124" s="479">
        <v>44225</v>
      </c>
      <c r="G124" s="478" t="s">
        <v>2538</v>
      </c>
      <c r="H124" s="212" t="s">
        <v>2539</v>
      </c>
      <c r="I124" s="212" t="s">
        <v>228</v>
      </c>
      <c r="J124" s="475">
        <v>33000000</v>
      </c>
      <c r="K124" s="212" t="s">
        <v>223</v>
      </c>
      <c r="L124" s="212" t="s">
        <v>236</v>
      </c>
      <c r="M124" s="212" t="s">
        <v>44</v>
      </c>
      <c r="N124" s="212" t="s">
        <v>45</v>
      </c>
      <c r="O124" s="212" t="s">
        <v>63</v>
      </c>
      <c r="P124" s="212" t="s">
        <v>674</v>
      </c>
      <c r="R124" s="212">
        <v>125</v>
      </c>
      <c r="S124" s="479">
        <v>44225</v>
      </c>
      <c r="T124" s="212" t="s">
        <v>2815</v>
      </c>
      <c r="U124" s="475">
        <f>33000000-3000000</f>
        <v>30000000</v>
      </c>
      <c r="V124" s="444">
        <v>3000000</v>
      </c>
      <c r="W124" s="398"/>
      <c r="X124" s="483">
        <v>181</v>
      </c>
      <c r="Y124" s="484">
        <v>44250</v>
      </c>
      <c r="Z124" s="484">
        <v>44250</v>
      </c>
      <c r="AA124" s="484">
        <v>44553</v>
      </c>
      <c r="AB124" s="485" t="s">
        <v>2548</v>
      </c>
      <c r="AC124" s="483">
        <v>122</v>
      </c>
      <c r="AD124" s="485">
        <v>52302200</v>
      </c>
      <c r="AE124" s="486" t="s">
        <v>2816</v>
      </c>
      <c r="AF124" s="473">
        <v>30000000</v>
      </c>
      <c r="AG124" s="474">
        <f t="shared" si="1"/>
        <v>0</v>
      </c>
      <c r="AK124" s="475">
        <f>600000+3000000</f>
        <v>3600000</v>
      </c>
      <c r="AL124" s="475">
        <v>3000000</v>
      </c>
      <c r="AM124" s="306">
        <v>3000000</v>
      </c>
    </row>
    <row r="125" spans="1:39" ht="15" hidden="1" customHeight="1" x14ac:dyDescent="0.35">
      <c r="A125" s="494" t="s">
        <v>2429</v>
      </c>
      <c r="B125" s="495">
        <v>24000000</v>
      </c>
      <c r="C125" s="212" t="s">
        <v>2660</v>
      </c>
      <c r="D125" s="212">
        <v>123</v>
      </c>
      <c r="E125" s="478">
        <v>20214000006113</v>
      </c>
      <c r="F125" s="479">
        <v>44235</v>
      </c>
      <c r="G125" s="478" t="s">
        <v>2571</v>
      </c>
      <c r="H125" s="212" t="s">
        <v>2572</v>
      </c>
      <c r="I125" s="212" t="s">
        <v>117</v>
      </c>
      <c r="J125" s="475">
        <v>24000000</v>
      </c>
      <c r="K125" s="212" t="s">
        <v>112</v>
      </c>
      <c r="L125" s="212" t="s">
        <v>2573</v>
      </c>
      <c r="M125" s="212" t="s">
        <v>44</v>
      </c>
      <c r="N125" s="212" t="s">
        <v>45</v>
      </c>
      <c r="O125" s="212" t="s">
        <v>63</v>
      </c>
      <c r="P125" s="212" t="s">
        <v>43</v>
      </c>
      <c r="R125" s="212">
        <v>207</v>
      </c>
      <c r="S125" s="479">
        <v>44235</v>
      </c>
      <c r="T125" s="212" t="s">
        <v>2817</v>
      </c>
      <c r="U125" s="475">
        <v>24000000</v>
      </c>
      <c r="V125" s="406"/>
      <c r="W125" s="362"/>
      <c r="X125" s="308">
        <v>214</v>
      </c>
      <c r="Y125" s="484">
        <v>44257</v>
      </c>
      <c r="Z125" s="484">
        <v>44257</v>
      </c>
      <c r="AA125" s="484">
        <v>44379</v>
      </c>
      <c r="AB125" s="485" t="s">
        <v>2548</v>
      </c>
      <c r="AC125" s="211">
        <v>143</v>
      </c>
      <c r="AD125" s="485" t="s">
        <v>2818</v>
      </c>
      <c r="AE125" s="486" t="s">
        <v>2819</v>
      </c>
      <c r="AF125" s="473">
        <v>24000000</v>
      </c>
      <c r="AG125" s="474">
        <f t="shared" si="1"/>
        <v>0</v>
      </c>
      <c r="AK125" s="475">
        <v>5800000</v>
      </c>
      <c r="AL125" s="475">
        <v>6000000</v>
      </c>
      <c r="AM125" s="306">
        <v>6000000</v>
      </c>
    </row>
    <row r="126" spans="1:39" ht="15" hidden="1" customHeight="1" x14ac:dyDescent="0.35">
      <c r="A126" s="476" t="s">
        <v>2119</v>
      </c>
      <c r="B126" s="477">
        <v>8000000</v>
      </c>
      <c r="C126" s="212" t="s">
        <v>2544</v>
      </c>
      <c r="D126" s="212">
        <v>124</v>
      </c>
      <c r="E126" s="309">
        <v>20214000008293</v>
      </c>
      <c r="F126" s="310">
        <v>44243</v>
      </c>
      <c r="G126" s="478" t="s">
        <v>2578</v>
      </c>
      <c r="H126" s="212" t="s">
        <v>2579</v>
      </c>
      <c r="I126" s="212" t="s">
        <v>47</v>
      </c>
      <c r="J126" s="475">
        <v>8000000</v>
      </c>
      <c r="K126" s="212" t="s">
        <v>37</v>
      </c>
      <c r="L126" s="212" t="s">
        <v>2580</v>
      </c>
      <c r="M126" s="212" t="s">
        <v>44</v>
      </c>
      <c r="N126" s="212" t="s">
        <v>45</v>
      </c>
      <c r="O126" s="212" t="s">
        <v>310</v>
      </c>
      <c r="P126" s="212" t="s">
        <v>43</v>
      </c>
      <c r="R126" s="212">
        <v>257</v>
      </c>
      <c r="S126" s="479">
        <v>44244</v>
      </c>
      <c r="T126" s="212" t="s">
        <v>2820</v>
      </c>
      <c r="U126" s="475">
        <v>8000000</v>
      </c>
      <c r="V126" s="406"/>
      <c r="W126" s="362"/>
      <c r="X126" s="308">
        <v>215</v>
      </c>
      <c r="Y126" s="484">
        <v>44257</v>
      </c>
      <c r="Z126" s="484">
        <v>44257</v>
      </c>
      <c r="AA126" s="484">
        <v>44502</v>
      </c>
      <c r="AB126" s="485" t="s">
        <v>2548</v>
      </c>
      <c r="AC126" s="211">
        <v>144</v>
      </c>
      <c r="AD126" s="485" t="s">
        <v>2821</v>
      </c>
      <c r="AE126" s="486" t="s">
        <v>2822</v>
      </c>
      <c r="AF126" s="473">
        <v>8000000</v>
      </c>
      <c r="AG126" s="474">
        <f t="shared" si="1"/>
        <v>0</v>
      </c>
      <c r="AK126" s="475">
        <v>966667</v>
      </c>
      <c r="AL126" s="475">
        <v>1000000</v>
      </c>
      <c r="AM126" s="212"/>
    </row>
    <row r="127" spans="1:39" ht="15" hidden="1" customHeight="1" x14ac:dyDescent="0.35">
      <c r="A127" s="476" t="s">
        <v>2434</v>
      </c>
      <c r="B127" s="477">
        <v>72000000</v>
      </c>
      <c r="C127" s="212" t="s">
        <v>2660</v>
      </c>
      <c r="D127" s="212">
        <v>125</v>
      </c>
      <c r="E127" s="309">
        <v>20214000008293</v>
      </c>
      <c r="F127" s="310">
        <v>44243</v>
      </c>
      <c r="G127" s="478" t="s">
        <v>2571</v>
      </c>
      <c r="H127" s="212" t="s">
        <v>2572</v>
      </c>
      <c r="I127" s="212" t="s">
        <v>117</v>
      </c>
      <c r="J127" s="475">
        <v>56000000</v>
      </c>
      <c r="K127" s="212" t="s">
        <v>112</v>
      </c>
      <c r="L127" s="212" t="s">
        <v>2573</v>
      </c>
      <c r="M127" s="212" t="s">
        <v>44</v>
      </c>
      <c r="N127" s="212" t="s">
        <v>45</v>
      </c>
      <c r="O127" s="212" t="s">
        <v>63</v>
      </c>
      <c r="P127" s="212" t="s">
        <v>43</v>
      </c>
      <c r="R127" s="486">
        <v>257</v>
      </c>
      <c r="S127" s="490">
        <v>44244</v>
      </c>
      <c r="T127" s="486" t="s">
        <v>2820</v>
      </c>
      <c r="U127" s="475">
        <v>56000000</v>
      </c>
      <c r="V127" s="406"/>
      <c r="W127" s="362"/>
      <c r="X127" s="308">
        <v>215</v>
      </c>
      <c r="Y127" s="484">
        <v>44257</v>
      </c>
      <c r="Z127" s="484">
        <v>44257</v>
      </c>
      <c r="AA127" s="484">
        <v>44502</v>
      </c>
      <c r="AB127" s="485" t="s">
        <v>2548</v>
      </c>
      <c r="AC127" s="211">
        <v>144</v>
      </c>
      <c r="AD127" s="485" t="s">
        <v>2821</v>
      </c>
      <c r="AE127" s="486" t="s">
        <v>2822</v>
      </c>
      <c r="AF127" s="473">
        <v>56000000</v>
      </c>
      <c r="AG127" s="474">
        <f t="shared" si="1"/>
        <v>0</v>
      </c>
      <c r="AK127" s="475">
        <v>6766666</v>
      </c>
      <c r="AL127" s="475">
        <v>7000000</v>
      </c>
      <c r="AM127" s="212"/>
    </row>
    <row r="128" spans="1:39" ht="15" hidden="1" customHeight="1" x14ac:dyDescent="0.35">
      <c r="A128" s="476" t="s">
        <v>1931</v>
      </c>
      <c r="B128" s="477">
        <v>33000000</v>
      </c>
      <c r="C128" s="212" t="s">
        <v>2544</v>
      </c>
      <c r="D128" s="212">
        <v>126</v>
      </c>
      <c r="E128" s="478">
        <v>20215000002893</v>
      </c>
      <c r="F128" s="479">
        <v>44225</v>
      </c>
      <c r="G128" s="478" t="s">
        <v>2538</v>
      </c>
      <c r="H128" s="212" t="s">
        <v>2539</v>
      </c>
      <c r="I128" s="212" t="s">
        <v>228</v>
      </c>
      <c r="J128" s="475">
        <v>33000000</v>
      </c>
      <c r="K128" s="212" t="s">
        <v>223</v>
      </c>
      <c r="L128" s="212" t="s">
        <v>236</v>
      </c>
      <c r="M128" s="212" t="s">
        <v>44</v>
      </c>
      <c r="N128" s="212" t="s">
        <v>45</v>
      </c>
      <c r="O128" s="212" t="s">
        <v>63</v>
      </c>
      <c r="P128" s="212" t="s">
        <v>674</v>
      </c>
      <c r="R128" s="212">
        <v>130</v>
      </c>
      <c r="S128" s="479">
        <v>44225</v>
      </c>
      <c r="T128" s="212" t="s">
        <v>2823</v>
      </c>
      <c r="U128" s="475">
        <f>33000000-9000000</f>
        <v>24000000</v>
      </c>
      <c r="V128" s="406">
        <v>9000000</v>
      </c>
      <c r="W128" s="362"/>
      <c r="X128" s="483" t="s">
        <v>2824</v>
      </c>
      <c r="Y128" s="484">
        <v>44306</v>
      </c>
      <c r="Z128" s="484">
        <v>44306</v>
      </c>
      <c r="AA128" s="484">
        <v>44549</v>
      </c>
      <c r="AB128" s="485" t="s">
        <v>2548</v>
      </c>
      <c r="AC128" s="483" t="s">
        <v>2825</v>
      </c>
      <c r="AD128" s="485" t="s">
        <v>2826</v>
      </c>
      <c r="AE128" s="486" t="s">
        <v>2827</v>
      </c>
      <c r="AF128" s="473">
        <v>24000000</v>
      </c>
      <c r="AG128" s="474">
        <f t="shared" si="1"/>
        <v>0</v>
      </c>
      <c r="AL128" s="475">
        <v>900000</v>
      </c>
      <c r="AM128" s="306">
        <v>3000000</v>
      </c>
    </row>
    <row r="129" spans="1:39" hidden="1" x14ac:dyDescent="0.35">
      <c r="A129" s="476" t="s">
        <v>1935</v>
      </c>
      <c r="B129" s="477">
        <v>33000000</v>
      </c>
      <c r="C129" s="212" t="s">
        <v>2544</v>
      </c>
      <c r="D129" s="212">
        <v>127</v>
      </c>
      <c r="E129" s="478">
        <v>20215000002903</v>
      </c>
      <c r="F129" s="479">
        <v>44225</v>
      </c>
      <c r="G129" s="478" t="s">
        <v>2538</v>
      </c>
      <c r="H129" s="212" t="s">
        <v>2539</v>
      </c>
      <c r="I129" s="212" t="s">
        <v>228</v>
      </c>
      <c r="J129" s="475">
        <v>33000000</v>
      </c>
      <c r="K129" s="212" t="s">
        <v>223</v>
      </c>
      <c r="L129" s="212" t="s">
        <v>236</v>
      </c>
      <c r="M129" s="212" t="s">
        <v>44</v>
      </c>
      <c r="N129" s="212" t="s">
        <v>45</v>
      </c>
      <c r="O129" s="212" t="s">
        <v>63</v>
      </c>
      <c r="P129" s="212" t="s">
        <v>674</v>
      </c>
      <c r="R129" s="212">
        <v>131</v>
      </c>
      <c r="S129" s="479">
        <v>44225</v>
      </c>
      <c r="T129" s="212" t="s">
        <v>2828</v>
      </c>
      <c r="U129" s="475">
        <f>33000000-11400000</f>
        <v>21600000</v>
      </c>
      <c r="V129" s="406">
        <v>11400000</v>
      </c>
      <c r="W129" s="362"/>
      <c r="X129" s="483" t="s">
        <v>2829</v>
      </c>
      <c r="Y129" s="484">
        <v>44307</v>
      </c>
      <c r="Z129" s="484">
        <v>44307</v>
      </c>
      <c r="AA129" s="484">
        <v>44550</v>
      </c>
      <c r="AB129" s="485" t="s">
        <v>2548</v>
      </c>
      <c r="AC129" s="483" t="s">
        <v>2830</v>
      </c>
      <c r="AD129" s="485" t="s">
        <v>2831</v>
      </c>
      <c r="AE129" s="486" t="s">
        <v>2832</v>
      </c>
      <c r="AF129" s="473">
        <v>21600000</v>
      </c>
      <c r="AG129" s="474">
        <f t="shared" si="1"/>
        <v>0</v>
      </c>
      <c r="AL129" s="475">
        <v>900000</v>
      </c>
      <c r="AM129" s="306">
        <v>2700000</v>
      </c>
    </row>
    <row r="130" spans="1:39" s="312" customFormat="1" hidden="1" x14ac:dyDescent="0.35">
      <c r="A130" s="361" t="s">
        <v>2833</v>
      </c>
      <c r="B130" s="417">
        <v>55000000</v>
      </c>
      <c r="C130" s="312" t="s">
        <v>2544</v>
      </c>
      <c r="D130" s="312">
        <v>128</v>
      </c>
      <c r="E130" s="325">
        <v>20215000002913</v>
      </c>
      <c r="F130" s="315">
        <v>44225</v>
      </c>
      <c r="G130" s="325" t="s">
        <v>2538</v>
      </c>
      <c r="H130" s="312" t="s">
        <v>2539</v>
      </c>
      <c r="I130" s="312" t="s">
        <v>228</v>
      </c>
      <c r="J130" s="405">
        <v>55000000</v>
      </c>
      <c r="K130" s="312" t="s">
        <v>223</v>
      </c>
      <c r="L130" s="312" t="s">
        <v>257</v>
      </c>
      <c r="M130" s="312" t="s">
        <v>44</v>
      </c>
      <c r="N130" s="312" t="s">
        <v>2834</v>
      </c>
      <c r="O130" s="312" t="s">
        <v>255</v>
      </c>
      <c r="P130" s="312" t="s">
        <v>674</v>
      </c>
      <c r="R130" s="312">
        <v>132</v>
      </c>
      <c r="S130" s="315">
        <v>44225</v>
      </c>
      <c r="T130" s="312" t="s">
        <v>2835</v>
      </c>
      <c r="U130" s="405">
        <f>55000000-55000000</f>
        <v>0</v>
      </c>
      <c r="V130" s="406">
        <v>55000000</v>
      </c>
      <c r="W130" s="362" t="s">
        <v>1428</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x14ac:dyDescent="0.35">
      <c r="A131" s="476" t="s">
        <v>2378</v>
      </c>
      <c r="B131" s="477">
        <v>54712000</v>
      </c>
      <c r="C131" s="212" t="s">
        <v>2544</v>
      </c>
      <c r="D131" s="212">
        <v>129</v>
      </c>
      <c r="E131" s="478">
        <v>20215000002943</v>
      </c>
      <c r="F131" s="479">
        <v>44225</v>
      </c>
      <c r="G131" s="478" t="s">
        <v>2538</v>
      </c>
      <c r="H131" s="212" t="s">
        <v>2539</v>
      </c>
      <c r="I131" s="212" t="s">
        <v>228</v>
      </c>
      <c r="J131" s="475">
        <v>54712000</v>
      </c>
      <c r="K131" s="212" t="s">
        <v>288</v>
      </c>
      <c r="L131" s="212" t="s">
        <v>294</v>
      </c>
      <c r="M131" s="212" t="s">
        <v>44</v>
      </c>
      <c r="N131" s="212" t="s">
        <v>45</v>
      </c>
      <c r="O131" s="212" t="s">
        <v>63</v>
      </c>
      <c r="P131" s="212" t="s">
        <v>674</v>
      </c>
      <c r="R131" s="212">
        <v>140</v>
      </c>
      <c r="S131" s="479">
        <v>44228</v>
      </c>
      <c r="T131" s="212" t="s">
        <v>2836</v>
      </c>
      <c r="U131" s="475">
        <f>54712000-17292000</f>
        <v>37420000</v>
      </c>
      <c r="V131" s="411">
        <v>17292000</v>
      </c>
      <c r="W131" s="397"/>
      <c r="X131" s="483">
        <v>117</v>
      </c>
      <c r="Y131" s="484">
        <v>44238</v>
      </c>
      <c r="Z131" s="484">
        <v>44238</v>
      </c>
      <c r="AA131" s="484">
        <v>44541</v>
      </c>
      <c r="AB131" s="485" t="s">
        <v>2548</v>
      </c>
      <c r="AC131" s="211">
        <v>70</v>
      </c>
      <c r="AD131" s="485">
        <v>80149008</v>
      </c>
      <c r="AE131" s="486" t="s">
        <v>2837</v>
      </c>
      <c r="AF131" s="473">
        <v>37420000</v>
      </c>
      <c r="AG131" s="474">
        <f t="shared" si="2"/>
        <v>0</v>
      </c>
      <c r="AJ131" s="475">
        <v>2245200</v>
      </c>
      <c r="AK131" s="475">
        <v>3742000</v>
      </c>
      <c r="AL131" s="475">
        <v>3742000</v>
      </c>
      <c r="AM131" s="306">
        <v>3742000</v>
      </c>
    </row>
    <row r="132" spans="1:39" hidden="1" x14ac:dyDescent="0.35">
      <c r="A132" s="476" t="s">
        <v>2053</v>
      </c>
      <c r="B132" s="477">
        <v>52800000</v>
      </c>
      <c r="C132" s="212" t="s">
        <v>2544</v>
      </c>
      <c r="D132" s="212">
        <v>130</v>
      </c>
      <c r="E132" s="478">
        <v>20215000003683</v>
      </c>
      <c r="F132" s="479">
        <v>44225</v>
      </c>
      <c r="G132" s="478" t="s">
        <v>2538</v>
      </c>
      <c r="H132" s="212" t="s">
        <v>2539</v>
      </c>
      <c r="I132" s="212" t="s">
        <v>228</v>
      </c>
      <c r="J132" s="475">
        <v>52800000</v>
      </c>
      <c r="K132" s="212" t="s">
        <v>223</v>
      </c>
      <c r="L132" s="212" t="s">
        <v>269</v>
      </c>
      <c r="M132" s="212" t="s">
        <v>44</v>
      </c>
      <c r="N132" s="212" t="s">
        <v>45</v>
      </c>
      <c r="O132" s="212" t="s">
        <v>63</v>
      </c>
      <c r="P132" s="212" t="s">
        <v>674</v>
      </c>
      <c r="R132" s="212">
        <v>133</v>
      </c>
      <c r="S132" s="479">
        <v>44225</v>
      </c>
      <c r="T132" s="212" t="s">
        <v>2838</v>
      </c>
      <c r="U132" s="475">
        <f>52800000-8800000</f>
        <v>44000000</v>
      </c>
      <c r="V132" s="411">
        <v>8800000</v>
      </c>
      <c r="W132" s="397"/>
      <c r="X132" s="483">
        <v>121</v>
      </c>
      <c r="Y132" s="484">
        <v>44238</v>
      </c>
      <c r="Z132" s="484">
        <v>44238</v>
      </c>
      <c r="AA132" s="484">
        <v>44541</v>
      </c>
      <c r="AB132" s="485" t="s">
        <v>2548</v>
      </c>
      <c r="AC132" s="483">
        <v>71</v>
      </c>
      <c r="AD132" s="485">
        <v>1033729303</v>
      </c>
      <c r="AE132" s="486" t="s">
        <v>2839</v>
      </c>
      <c r="AF132" s="473">
        <v>44000000</v>
      </c>
      <c r="AG132" s="474">
        <f t="shared" si="2"/>
        <v>0</v>
      </c>
      <c r="AJ132" s="475">
        <v>2640000</v>
      </c>
      <c r="AK132" s="475">
        <v>4400000</v>
      </c>
      <c r="AL132" s="475">
        <v>4400000</v>
      </c>
      <c r="AM132" s="306">
        <v>4400000</v>
      </c>
    </row>
    <row r="133" spans="1:39" hidden="1" x14ac:dyDescent="0.35">
      <c r="A133" s="476" t="s">
        <v>2056</v>
      </c>
      <c r="B133" s="477">
        <v>64900000</v>
      </c>
      <c r="C133" s="212" t="s">
        <v>2544</v>
      </c>
      <c r="D133" s="212">
        <v>131</v>
      </c>
      <c r="E133" s="478">
        <v>20215000003693</v>
      </c>
      <c r="F133" s="479">
        <v>44225</v>
      </c>
      <c r="G133" s="478" t="s">
        <v>2538</v>
      </c>
      <c r="H133" s="212" t="s">
        <v>2539</v>
      </c>
      <c r="I133" s="212" t="s">
        <v>228</v>
      </c>
      <c r="J133" s="475">
        <v>64900000</v>
      </c>
      <c r="K133" s="212" t="s">
        <v>223</v>
      </c>
      <c r="L133" s="212" t="s">
        <v>233</v>
      </c>
      <c r="M133" s="212" t="s">
        <v>44</v>
      </c>
      <c r="N133" s="212" t="s">
        <v>45</v>
      </c>
      <c r="O133" s="212" t="s">
        <v>63</v>
      </c>
      <c r="P133" s="212" t="s">
        <v>674</v>
      </c>
      <c r="R133" s="212">
        <v>134</v>
      </c>
      <c r="S133" s="479">
        <v>44225</v>
      </c>
      <c r="T133" s="212" t="s">
        <v>2840</v>
      </c>
      <c r="U133" s="475">
        <f>64900000-24900000</f>
        <v>40000000</v>
      </c>
      <c r="V133" s="411">
        <v>24900000</v>
      </c>
      <c r="W133" s="397"/>
      <c r="X133" s="308">
        <v>101</v>
      </c>
      <c r="Y133" s="484">
        <v>44236</v>
      </c>
      <c r="Z133" s="484">
        <v>44236</v>
      </c>
      <c r="AA133" s="484">
        <v>44539</v>
      </c>
      <c r="AB133" s="485" t="s">
        <v>2548</v>
      </c>
      <c r="AC133" s="211">
        <v>62</v>
      </c>
      <c r="AD133" s="487">
        <v>1032432961</v>
      </c>
      <c r="AE133" s="486" t="s">
        <v>2841</v>
      </c>
      <c r="AF133" s="473">
        <v>40000000</v>
      </c>
      <c r="AG133" s="474">
        <f t="shared" si="2"/>
        <v>0</v>
      </c>
      <c r="AJ133" s="475">
        <v>2666667</v>
      </c>
      <c r="AK133" s="475">
        <v>4000000</v>
      </c>
      <c r="AL133" s="475">
        <v>4000000</v>
      </c>
      <c r="AM133" s="306">
        <v>4000000</v>
      </c>
    </row>
    <row r="134" spans="1:39" hidden="1" x14ac:dyDescent="0.35">
      <c r="A134" s="476" t="s">
        <v>1723</v>
      </c>
      <c r="B134" s="477">
        <v>44000000</v>
      </c>
      <c r="C134" s="212" t="s">
        <v>2544</v>
      </c>
      <c r="D134" s="212">
        <v>132</v>
      </c>
      <c r="E134" s="478">
        <v>20215000003713</v>
      </c>
      <c r="F134" s="479">
        <v>44225</v>
      </c>
      <c r="G134" s="478" t="s">
        <v>2538</v>
      </c>
      <c r="H134" s="212" t="s">
        <v>2539</v>
      </c>
      <c r="I134" s="212" t="s">
        <v>228</v>
      </c>
      <c r="J134" s="475">
        <v>44000000</v>
      </c>
      <c r="K134" s="212" t="s">
        <v>223</v>
      </c>
      <c r="L134" s="212" t="s">
        <v>269</v>
      </c>
      <c r="M134" s="212" t="s">
        <v>44</v>
      </c>
      <c r="N134" s="212" t="s">
        <v>45</v>
      </c>
      <c r="O134" s="212" t="s">
        <v>63</v>
      </c>
      <c r="P134" s="212" t="s">
        <v>674</v>
      </c>
      <c r="R134" s="212">
        <v>135</v>
      </c>
      <c r="S134" s="479">
        <v>44225</v>
      </c>
      <c r="T134" s="212" t="s">
        <v>2842</v>
      </c>
      <c r="U134" s="475">
        <f>44000000-13400000</f>
        <v>30600000</v>
      </c>
      <c r="V134" s="406">
        <v>13400000</v>
      </c>
      <c r="W134" s="362"/>
      <c r="X134" s="483" t="s">
        <v>2843</v>
      </c>
      <c r="Y134" s="484">
        <v>44302</v>
      </c>
      <c r="Z134" s="484">
        <v>44302</v>
      </c>
      <c r="AA134" s="484">
        <v>44561</v>
      </c>
      <c r="AB134" s="485" t="s">
        <v>2548</v>
      </c>
      <c r="AC134" s="483" t="s">
        <v>2844</v>
      </c>
      <c r="AD134" s="485" t="s">
        <v>2845</v>
      </c>
      <c r="AE134" s="486" t="s">
        <v>2846</v>
      </c>
      <c r="AF134" s="473">
        <v>30600000</v>
      </c>
      <c r="AG134" s="474">
        <f t="shared" si="2"/>
        <v>0</v>
      </c>
      <c r="AL134" s="475">
        <v>1440000</v>
      </c>
      <c r="AM134" s="306">
        <v>3600000</v>
      </c>
    </row>
    <row r="135" spans="1:39" hidden="1" x14ac:dyDescent="0.35">
      <c r="A135" s="476" t="s">
        <v>2153</v>
      </c>
      <c r="B135" s="477">
        <v>34967856</v>
      </c>
      <c r="C135" s="212" t="s">
        <v>2544</v>
      </c>
      <c r="D135" s="212">
        <v>133</v>
      </c>
      <c r="E135" s="478">
        <v>20217000003833</v>
      </c>
      <c r="F135" s="479">
        <v>44225</v>
      </c>
      <c r="G135" s="478" t="s">
        <v>2545</v>
      </c>
      <c r="H135" s="212" t="s">
        <v>2546</v>
      </c>
      <c r="I135" s="212" t="s">
        <v>164</v>
      </c>
      <c r="J135" s="475">
        <v>19100000</v>
      </c>
      <c r="K135" s="212" t="s">
        <v>138</v>
      </c>
      <c r="L135" s="212" t="s">
        <v>139</v>
      </c>
      <c r="M135" s="212" t="s">
        <v>44</v>
      </c>
      <c r="N135" s="212" t="s">
        <v>45</v>
      </c>
      <c r="O135" s="212" t="s">
        <v>142</v>
      </c>
      <c r="P135" s="212" t="s">
        <v>43</v>
      </c>
      <c r="R135" s="212">
        <v>136</v>
      </c>
      <c r="S135" s="479">
        <v>44225</v>
      </c>
      <c r="T135" s="212" t="s">
        <v>2847</v>
      </c>
      <c r="U135" s="475">
        <v>19100000</v>
      </c>
      <c r="V135" s="406"/>
      <c r="W135" s="362"/>
      <c r="X135" s="308">
        <v>74</v>
      </c>
      <c r="Y135" s="484">
        <v>44231</v>
      </c>
      <c r="Z135" s="484">
        <v>44231</v>
      </c>
      <c r="AA135" s="484">
        <v>44412</v>
      </c>
      <c r="AB135" s="485" t="s">
        <v>2548</v>
      </c>
      <c r="AC135" s="211">
        <v>35</v>
      </c>
      <c r="AD135" s="487">
        <v>1013582050</v>
      </c>
      <c r="AE135" s="486" t="s">
        <v>2848</v>
      </c>
      <c r="AF135" s="473">
        <v>19073376</v>
      </c>
      <c r="AG135" s="474">
        <f t="shared" si="2"/>
        <v>26624</v>
      </c>
      <c r="AJ135" s="475">
        <v>2543117</v>
      </c>
      <c r="AK135" s="475">
        <v>3178896</v>
      </c>
      <c r="AL135" s="475">
        <v>3178896</v>
      </c>
      <c r="AM135" s="306">
        <v>3178896</v>
      </c>
    </row>
    <row r="136" spans="1:39" hidden="1" x14ac:dyDescent="0.35">
      <c r="A136" s="476" t="s">
        <v>2152</v>
      </c>
      <c r="B136" s="477">
        <v>29972448</v>
      </c>
      <c r="C136" s="212" t="s">
        <v>2544</v>
      </c>
      <c r="D136" s="212">
        <v>134</v>
      </c>
      <c r="E136" s="478">
        <v>20217000002483</v>
      </c>
      <c r="F136" s="479">
        <v>44225</v>
      </c>
      <c r="G136" s="478" t="s">
        <v>2545</v>
      </c>
      <c r="H136" s="212" t="s">
        <v>2546</v>
      </c>
      <c r="I136" s="212" t="s">
        <v>164</v>
      </c>
      <c r="J136" s="475">
        <v>19079046</v>
      </c>
      <c r="K136" s="212" t="s">
        <v>138</v>
      </c>
      <c r="L136" s="212" t="s">
        <v>139</v>
      </c>
      <c r="M136" s="212" t="s">
        <v>44</v>
      </c>
      <c r="N136" s="212" t="s">
        <v>45</v>
      </c>
      <c r="O136" s="212" t="s">
        <v>142</v>
      </c>
      <c r="P136" s="212" t="s">
        <v>43</v>
      </c>
      <c r="R136" s="212">
        <v>127</v>
      </c>
      <c r="S136" s="479">
        <v>44225</v>
      </c>
      <c r="T136" s="212" t="s">
        <v>2849</v>
      </c>
      <c r="U136" s="475">
        <v>19079046</v>
      </c>
      <c r="V136" s="406"/>
      <c r="W136" s="362"/>
      <c r="X136" s="308">
        <v>216</v>
      </c>
      <c r="Y136" s="484">
        <v>44257</v>
      </c>
      <c r="Z136" s="484">
        <v>44257</v>
      </c>
      <c r="AA136" s="484">
        <v>44438</v>
      </c>
      <c r="AB136" s="485" t="s">
        <v>2548</v>
      </c>
      <c r="AC136" s="211">
        <v>153</v>
      </c>
      <c r="AD136" s="485" t="s">
        <v>2850</v>
      </c>
      <c r="AE136" s="486" t="s">
        <v>2851</v>
      </c>
      <c r="AF136" s="473">
        <v>19079046</v>
      </c>
      <c r="AG136" s="474">
        <f t="shared" si="2"/>
        <v>0</v>
      </c>
      <c r="AK136" s="475">
        <v>3179841</v>
      </c>
      <c r="AL136" s="475">
        <v>3179841</v>
      </c>
      <c r="AM136" s="306">
        <v>3179841</v>
      </c>
    </row>
    <row r="137" spans="1:39" hidden="1" x14ac:dyDescent="0.35">
      <c r="A137" s="476" t="s">
        <v>2292</v>
      </c>
      <c r="B137" s="477">
        <v>19987572</v>
      </c>
      <c r="C137" s="212" t="s">
        <v>2544</v>
      </c>
      <c r="D137" s="212">
        <v>135</v>
      </c>
      <c r="E137" s="478">
        <v>20217000002363</v>
      </c>
      <c r="F137" s="479">
        <v>44225</v>
      </c>
      <c r="G137" s="478" t="s">
        <v>2545</v>
      </c>
      <c r="H137" s="212" t="s">
        <v>2546</v>
      </c>
      <c r="I137" s="212" t="s">
        <v>164</v>
      </c>
      <c r="J137" s="475">
        <v>7268208</v>
      </c>
      <c r="K137" s="212" t="s">
        <v>138</v>
      </c>
      <c r="L137" s="212" t="s">
        <v>139</v>
      </c>
      <c r="M137" s="212" t="s">
        <v>44</v>
      </c>
      <c r="N137" s="212" t="s">
        <v>45</v>
      </c>
      <c r="O137" s="212" t="s">
        <v>142</v>
      </c>
      <c r="P137" s="212" t="s">
        <v>43</v>
      </c>
      <c r="R137" s="212">
        <v>137</v>
      </c>
      <c r="S137" s="479">
        <v>44225</v>
      </c>
      <c r="T137" s="212" t="s">
        <v>2852</v>
      </c>
      <c r="U137" s="475">
        <v>7268208</v>
      </c>
      <c r="V137" s="406"/>
      <c r="W137" s="362"/>
      <c r="X137" s="32">
        <v>88</v>
      </c>
      <c r="Y137" s="484">
        <v>44235</v>
      </c>
      <c r="Z137" s="484">
        <v>44235</v>
      </c>
      <c r="AA137" s="484">
        <v>44355</v>
      </c>
      <c r="AB137" s="485" t="s">
        <v>2548</v>
      </c>
      <c r="AC137" s="211">
        <v>51</v>
      </c>
      <c r="AD137" s="487">
        <v>1014307538</v>
      </c>
      <c r="AE137" s="486" t="s">
        <v>2853</v>
      </c>
      <c r="AF137" s="473">
        <v>7268208</v>
      </c>
      <c r="AG137" s="474">
        <f t="shared" si="2"/>
        <v>0</v>
      </c>
      <c r="AJ137" s="475">
        <v>1271936</v>
      </c>
      <c r="AK137" s="475">
        <v>1817052</v>
      </c>
      <c r="AL137" s="475">
        <v>1817052</v>
      </c>
      <c r="AM137" s="212"/>
    </row>
    <row r="138" spans="1:39" hidden="1" x14ac:dyDescent="0.35">
      <c r="A138" s="476" t="s">
        <v>2003</v>
      </c>
      <c r="B138" s="477">
        <v>39718800</v>
      </c>
      <c r="C138" s="212" t="s">
        <v>2544</v>
      </c>
      <c r="D138" s="212">
        <v>136</v>
      </c>
      <c r="E138" s="478">
        <v>20212000001333</v>
      </c>
      <c r="F138" s="479">
        <v>44228</v>
      </c>
      <c r="G138" s="478" t="s">
        <v>2538</v>
      </c>
      <c r="H138" s="212" t="s">
        <v>2539</v>
      </c>
      <c r="I138" s="212" t="s">
        <v>391</v>
      </c>
      <c r="J138" s="475">
        <v>39500000</v>
      </c>
      <c r="K138" s="210" t="s">
        <v>2609</v>
      </c>
      <c r="L138" s="212" t="s">
        <v>2610</v>
      </c>
      <c r="M138" s="212" t="s">
        <v>44</v>
      </c>
      <c r="N138" s="212" t="s">
        <v>45</v>
      </c>
      <c r="O138" s="212" t="s">
        <v>63</v>
      </c>
      <c r="P138" s="212" t="s">
        <v>674</v>
      </c>
      <c r="R138" s="212">
        <v>139</v>
      </c>
      <c r="S138" s="479">
        <v>44228</v>
      </c>
      <c r="T138" s="212" t="s">
        <v>2854</v>
      </c>
      <c r="U138" s="475">
        <v>39500000</v>
      </c>
      <c r="V138" s="406"/>
      <c r="W138" s="362"/>
      <c r="X138" s="483">
        <v>155</v>
      </c>
      <c r="Y138" s="484">
        <v>44244</v>
      </c>
      <c r="Z138" s="484">
        <v>44244</v>
      </c>
      <c r="AA138" s="484">
        <v>44547</v>
      </c>
      <c r="AB138" s="485" t="s">
        <v>2548</v>
      </c>
      <c r="AC138" s="483">
        <v>101</v>
      </c>
      <c r="AD138" s="485">
        <v>1014262560</v>
      </c>
      <c r="AE138" s="486" t="s">
        <v>2855</v>
      </c>
      <c r="AF138" s="473">
        <v>39500000</v>
      </c>
      <c r="AG138" s="474">
        <f t="shared" si="2"/>
        <v>0</v>
      </c>
      <c r="AJ138" s="475">
        <v>1448333</v>
      </c>
      <c r="AK138" s="475">
        <v>3950000</v>
      </c>
      <c r="AL138" s="475">
        <v>3950000</v>
      </c>
      <c r="AM138" s="306">
        <v>3950000</v>
      </c>
    </row>
    <row r="139" spans="1:39" hidden="1" x14ac:dyDescent="0.35">
      <c r="A139" s="476" t="s">
        <v>2395</v>
      </c>
      <c r="B139" s="477">
        <v>84766080</v>
      </c>
      <c r="C139" s="212" t="s">
        <v>2544</v>
      </c>
      <c r="D139" s="212">
        <v>137</v>
      </c>
      <c r="E139" s="478">
        <v>20212000004023</v>
      </c>
      <c r="F139" s="479">
        <v>44228</v>
      </c>
      <c r="G139" s="478" t="s">
        <v>2538</v>
      </c>
      <c r="H139" s="212" t="s">
        <v>2539</v>
      </c>
      <c r="I139" s="212" t="s">
        <v>391</v>
      </c>
      <c r="J139" s="475">
        <v>83252400</v>
      </c>
      <c r="K139" s="210" t="s">
        <v>2609</v>
      </c>
      <c r="L139" s="212" t="s">
        <v>2610</v>
      </c>
      <c r="M139" s="212" t="s">
        <v>44</v>
      </c>
      <c r="N139" s="212" t="s">
        <v>45</v>
      </c>
      <c r="O139" s="212" t="s">
        <v>63</v>
      </c>
      <c r="P139" s="212" t="s">
        <v>674</v>
      </c>
      <c r="R139" s="212">
        <v>149</v>
      </c>
      <c r="S139" s="479">
        <v>44228</v>
      </c>
      <c r="T139" s="212" t="s">
        <v>2856</v>
      </c>
      <c r="U139" s="475">
        <f>83252400-7568400</f>
        <v>75684000</v>
      </c>
      <c r="V139" s="411">
        <v>7568400</v>
      </c>
      <c r="W139" s="397"/>
      <c r="X139" s="483">
        <v>185</v>
      </c>
      <c r="Y139" s="484">
        <v>44251</v>
      </c>
      <c r="Z139" s="484">
        <v>44251</v>
      </c>
      <c r="AA139" s="484">
        <v>44554</v>
      </c>
      <c r="AB139" s="485" t="s">
        <v>2548</v>
      </c>
      <c r="AC139" s="483">
        <v>129</v>
      </c>
      <c r="AD139" s="485">
        <v>1022941209</v>
      </c>
      <c r="AE139" s="486" t="s">
        <v>2857</v>
      </c>
      <c r="AF139" s="473">
        <v>75684000</v>
      </c>
      <c r="AG139" s="474">
        <f t="shared" si="2"/>
        <v>0</v>
      </c>
      <c r="AK139" s="475">
        <v>8577520</v>
      </c>
      <c r="AL139" s="475">
        <v>7568400</v>
      </c>
      <c r="AM139" s="306">
        <v>7568400</v>
      </c>
    </row>
    <row r="140" spans="1:39" s="312" customFormat="1" hidden="1" x14ac:dyDescent="0.35">
      <c r="A140" s="361" t="s">
        <v>2858</v>
      </c>
      <c r="B140" s="417">
        <v>51408000</v>
      </c>
      <c r="C140" s="312" t="s">
        <v>2544</v>
      </c>
      <c r="D140" s="312">
        <v>138</v>
      </c>
      <c r="E140" s="325">
        <v>20212000004033</v>
      </c>
      <c r="F140" s="315">
        <v>44228</v>
      </c>
      <c r="G140" s="325" t="s">
        <v>2538</v>
      </c>
      <c r="H140" s="312" t="s">
        <v>2539</v>
      </c>
      <c r="I140" s="312" t="s">
        <v>391</v>
      </c>
      <c r="J140" s="405">
        <v>50490000</v>
      </c>
      <c r="K140" s="312" t="s">
        <v>2609</v>
      </c>
      <c r="L140" s="312" t="s">
        <v>2610</v>
      </c>
      <c r="M140" s="312" t="s">
        <v>44</v>
      </c>
      <c r="N140" s="312" t="s">
        <v>45</v>
      </c>
      <c r="O140" s="312" t="s">
        <v>63</v>
      </c>
      <c r="P140" s="312" t="s">
        <v>674</v>
      </c>
      <c r="R140" s="312">
        <v>150</v>
      </c>
      <c r="S140" s="315">
        <v>44228</v>
      </c>
      <c r="T140" s="312" t="s">
        <v>2859</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x14ac:dyDescent="0.35">
      <c r="A141" s="361" t="s">
        <v>2860</v>
      </c>
      <c r="B141" s="417">
        <v>62832000</v>
      </c>
      <c r="C141" s="312" t="s">
        <v>2544</v>
      </c>
      <c r="D141" s="312">
        <v>139</v>
      </c>
      <c r="E141" s="325">
        <v>20212000004043</v>
      </c>
      <c r="F141" s="315">
        <v>44228</v>
      </c>
      <c r="G141" s="325" t="s">
        <v>2538</v>
      </c>
      <c r="H141" s="312" t="s">
        <v>2539</v>
      </c>
      <c r="I141" s="312" t="s">
        <v>391</v>
      </c>
      <c r="J141" s="405">
        <v>28050000</v>
      </c>
      <c r="K141" s="312" t="s">
        <v>2609</v>
      </c>
      <c r="L141" s="312" t="s">
        <v>2610</v>
      </c>
      <c r="M141" s="312" t="s">
        <v>44</v>
      </c>
      <c r="N141" s="312" t="s">
        <v>45</v>
      </c>
      <c r="O141" s="312" t="s">
        <v>63</v>
      </c>
      <c r="P141" s="312" t="s">
        <v>674</v>
      </c>
      <c r="R141" s="312">
        <v>151</v>
      </c>
      <c r="S141" s="315">
        <v>44228</v>
      </c>
      <c r="T141" s="312" t="s">
        <v>2861</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x14ac:dyDescent="0.35">
      <c r="A142" s="476" t="s">
        <v>2401</v>
      </c>
      <c r="B142" s="477">
        <v>66198000</v>
      </c>
      <c r="C142" s="212" t="s">
        <v>2544</v>
      </c>
      <c r="D142" s="212">
        <v>140</v>
      </c>
      <c r="E142" s="478">
        <v>20212000004053</v>
      </c>
      <c r="F142" s="479">
        <v>44228</v>
      </c>
      <c r="G142" s="478" t="s">
        <v>2538</v>
      </c>
      <c r="H142" s="212" t="s">
        <v>2539</v>
      </c>
      <c r="I142" s="212" t="s">
        <v>391</v>
      </c>
      <c r="J142" s="475">
        <v>61710000</v>
      </c>
      <c r="K142" s="210" t="s">
        <v>2609</v>
      </c>
      <c r="L142" s="212" t="s">
        <v>2610</v>
      </c>
      <c r="M142" s="212" t="s">
        <v>44</v>
      </c>
      <c r="N142" s="212" t="s">
        <v>45</v>
      </c>
      <c r="O142" s="212" t="s">
        <v>63</v>
      </c>
      <c r="P142" s="212" t="s">
        <v>674</v>
      </c>
      <c r="R142" s="212">
        <v>152</v>
      </c>
      <c r="S142" s="479">
        <v>44228</v>
      </c>
      <c r="T142" s="212" t="s">
        <v>2862</v>
      </c>
      <c r="U142" s="475">
        <f>61710000-5610000</f>
        <v>56100000</v>
      </c>
      <c r="V142" s="411">
        <v>5610000</v>
      </c>
      <c r="W142" s="397"/>
      <c r="X142" s="483">
        <v>178</v>
      </c>
      <c r="Y142" s="484">
        <v>44249</v>
      </c>
      <c r="Z142" s="484">
        <v>44249</v>
      </c>
      <c r="AA142" s="484">
        <v>44552</v>
      </c>
      <c r="AB142" s="485" t="s">
        <v>2548</v>
      </c>
      <c r="AC142" s="483">
        <v>114</v>
      </c>
      <c r="AD142" s="485">
        <v>53093666</v>
      </c>
      <c r="AE142" s="486" t="s">
        <v>2863</v>
      </c>
      <c r="AF142" s="473">
        <v>56100000</v>
      </c>
      <c r="AG142" s="474">
        <f t="shared" si="2"/>
        <v>0</v>
      </c>
      <c r="AJ142" s="475">
        <v>1309000</v>
      </c>
      <c r="AK142" s="475">
        <v>5610000</v>
      </c>
      <c r="AL142" s="475">
        <v>5610000</v>
      </c>
      <c r="AM142" s="306">
        <v>5610000</v>
      </c>
    </row>
    <row r="143" spans="1:39" s="312" customFormat="1" hidden="1" x14ac:dyDescent="0.35">
      <c r="A143" s="361" t="s">
        <v>2403</v>
      </c>
      <c r="B143" s="417">
        <v>81844800</v>
      </c>
      <c r="C143" s="312" t="s">
        <v>2544</v>
      </c>
      <c r="D143" s="312">
        <v>141</v>
      </c>
      <c r="E143" s="325">
        <v>20212000004063</v>
      </c>
      <c r="F143" s="315">
        <v>44228</v>
      </c>
      <c r="G143" s="325" t="s">
        <v>2538</v>
      </c>
      <c r="H143" s="312" t="s">
        <v>2539</v>
      </c>
      <c r="I143" s="312" t="s">
        <v>391</v>
      </c>
      <c r="J143" s="405">
        <v>76296000</v>
      </c>
      <c r="K143" s="312" t="s">
        <v>2609</v>
      </c>
      <c r="L143" s="312" t="s">
        <v>2610</v>
      </c>
      <c r="M143" s="312" t="s">
        <v>44</v>
      </c>
      <c r="N143" s="312" t="s">
        <v>45</v>
      </c>
      <c r="O143" s="312" t="s">
        <v>63</v>
      </c>
      <c r="P143" s="312" t="s">
        <v>674</v>
      </c>
      <c r="R143" s="312">
        <v>153</v>
      </c>
      <c r="S143" s="315">
        <v>44228</v>
      </c>
      <c r="T143" s="312" t="s">
        <v>2864</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x14ac:dyDescent="0.35">
      <c r="A144" s="476" t="s">
        <v>2404</v>
      </c>
      <c r="B144" s="477">
        <v>44319000</v>
      </c>
      <c r="C144" s="212" t="s">
        <v>2544</v>
      </c>
      <c r="D144" s="212">
        <v>142</v>
      </c>
      <c r="E144" s="478">
        <v>20212000004073</v>
      </c>
      <c r="F144" s="479">
        <v>44228</v>
      </c>
      <c r="G144" s="478" t="s">
        <v>2538</v>
      </c>
      <c r="H144" s="212" t="s">
        <v>2539</v>
      </c>
      <c r="I144" s="212" t="s">
        <v>391</v>
      </c>
      <c r="J144" s="475">
        <v>44319000</v>
      </c>
      <c r="K144" s="210" t="s">
        <v>2609</v>
      </c>
      <c r="L144" s="212" t="s">
        <v>2610</v>
      </c>
      <c r="M144" s="212" t="s">
        <v>44</v>
      </c>
      <c r="N144" s="212" t="s">
        <v>45</v>
      </c>
      <c r="O144" s="212" t="s">
        <v>63</v>
      </c>
      <c r="P144" s="212" t="s">
        <v>674</v>
      </c>
      <c r="R144" s="212">
        <v>154</v>
      </c>
      <c r="S144" s="479">
        <v>44228</v>
      </c>
      <c r="T144" s="212" t="s">
        <v>2865</v>
      </c>
      <c r="U144" s="475">
        <f>44319000-4029000</f>
        <v>40290000</v>
      </c>
      <c r="V144" s="411">
        <v>4029000</v>
      </c>
      <c r="W144" s="397"/>
      <c r="X144" s="483">
        <v>161</v>
      </c>
      <c r="Y144" s="484">
        <v>44245</v>
      </c>
      <c r="Z144" s="484">
        <v>44245</v>
      </c>
      <c r="AA144" s="484">
        <v>44548</v>
      </c>
      <c r="AB144" s="485" t="s">
        <v>2548</v>
      </c>
      <c r="AC144" s="483">
        <v>108</v>
      </c>
      <c r="AD144" s="485">
        <v>1020832710</v>
      </c>
      <c r="AE144" s="486" t="s">
        <v>2866</v>
      </c>
      <c r="AF144" s="473">
        <v>40290000</v>
      </c>
      <c r="AG144" s="474">
        <f t="shared" si="2"/>
        <v>0</v>
      </c>
      <c r="AJ144" s="475">
        <v>1343000</v>
      </c>
      <c r="AK144" s="475">
        <v>4029000</v>
      </c>
      <c r="AL144" s="475">
        <v>4029000</v>
      </c>
      <c r="AM144" s="306">
        <v>4029000</v>
      </c>
    </row>
    <row r="145" spans="1:39" hidden="1" x14ac:dyDescent="0.35">
      <c r="A145" s="476" t="s">
        <v>1893</v>
      </c>
      <c r="B145" s="477">
        <v>99000000</v>
      </c>
      <c r="C145" s="212" t="s">
        <v>2544</v>
      </c>
      <c r="D145" s="212">
        <v>143</v>
      </c>
      <c r="E145" s="478">
        <v>20212000004083</v>
      </c>
      <c r="F145" s="479">
        <v>44228</v>
      </c>
      <c r="G145" s="478" t="s">
        <v>2538</v>
      </c>
      <c r="H145" s="212" t="s">
        <v>2539</v>
      </c>
      <c r="I145" s="212" t="s">
        <v>391</v>
      </c>
      <c r="J145" s="475">
        <v>99000000</v>
      </c>
      <c r="K145" s="210" t="s">
        <v>2609</v>
      </c>
      <c r="L145" s="212" t="s">
        <v>2610</v>
      </c>
      <c r="M145" s="212" t="s">
        <v>44</v>
      </c>
      <c r="N145" s="212" t="s">
        <v>45</v>
      </c>
      <c r="O145" s="212" t="s">
        <v>63</v>
      </c>
      <c r="P145" s="212" t="s">
        <v>674</v>
      </c>
      <c r="R145" s="212">
        <v>155</v>
      </c>
      <c r="S145" s="479">
        <v>44228</v>
      </c>
      <c r="T145" s="212" t="s">
        <v>2867</v>
      </c>
      <c r="U145" s="475">
        <f>99000000-4500000</f>
        <v>94500000</v>
      </c>
      <c r="V145" s="411">
        <v>4500000</v>
      </c>
      <c r="W145" s="397"/>
      <c r="X145" s="483">
        <v>133</v>
      </c>
      <c r="Y145" s="484">
        <v>44242</v>
      </c>
      <c r="Z145" s="484">
        <v>44242</v>
      </c>
      <c r="AA145" s="484">
        <v>44561</v>
      </c>
      <c r="AB145" s="485" t="s">
        <v>2548</v>
      </c>
      <c r="AC145" s="483">
        <v>82</v>
      </c>
      <c r="AD145" s="485">
        <v>9430711</v>
      </c>
      <c r="AE145" s="486" t="s">
        <v>2868</v>
      </c>
      <c r="AF145" s="473">
        <v>94500000</v>
      </c>
      <c r="AG145" s="474">
        <f t="shared" si="2"/>
        <v>0</v>
      </c>
      <c r="AM145" s="212"/>
    </row>
    <row r="146" spans="1:39" hidden="1" x14ac:dyDescent="0.35">
      <c r="A146" s="476" t="s">
        <v>2289</v>
      </c>
      <c r="B146" s="477">
        <v>13926000</v>
      </c>
      <c r="C146" s="212" t="s">
        <v>2544</v>
      </c>
      <c r="D146" s="212">
        <v>144</v>
      </c>
      <c r="E146" s="478">
        <v>20213000003813</v>
      </c>
      <c r="F146" s="479">
        <v>44228</v>
      </c>
      <c r="G146" s="478" t="s">
        <v>2538</v>
      </c>
      <c r="H146" s="212" t="s">
        <v>2539</v>
      </c>
      <c r="I146" s="212" t="s">
        <v>432</v>
      </c>
      <c r="J146" s="475">
        <v>13926000</v>
      </c>
      <c r="K146" s="212" t="s">
        <v>358</v>
      </c>
      <c r="L146" s="212" t="s">
        <v>2689</v>
      </c>
      <c r="M146" s="212" t="s">
        <v>44</v>
      </c>
      <c r="N146" s="212" t="s">
        <v>45</v>
      </c>
      <c r="O146" s="212" t="s">
        <v>63</v>
      </c>
      <c r="P146" s="212" t="s">
        <v>674</v>
      </c>
      <c r="R146" s="212">
        <v>141</v>
      </c>
      <c r="S146" s="479">
        <v>44228</v>
      </c>
      <c r="T146" s="212" t="s">
        <v>2869</v>
      </c>
      <c r="U146" s="475">
        <v>13926000</v>
      </c>
      <c r="V146" s="406"/>
      <c r="W146" s="362"/>
      <c r="X146" s="483">
        <v>171</v>
      </c>
      <c r="Y146" s="484">
        <v>44246</v>
      </c>
      <c r="Z146" s="484">
        <v>44246</v>
      </c>
      <c r="AA146" s="484">
        <v>44427</v>
      </c>
      <c r="AB146" s="485" t="s">
        <v>2548</v>
      </c>
      <c r="AC146" s="483">
        <v>118</v>
      </c>
      <c r="AD146" s="485">
        <v>71332821</v>
      </c>
      <c r="AE146" s="486" t="s">
        <v>2870</v>
      </c>
      <c r="AF146" s="473">
        <v>13926000</v>
      </c>
      <c r="AG146" s="474">
        <f t="shared" si="2"/>
        <v>0</v>
      </c>
      <c r="AJ146" s="475">
        <v>541567</v>
      </c>
      <c r="AK146" s="475">
        <v>2321000</v>
      </c>
      <c r="AL146" s="475">
        <v>2321000</v>
      </c>
      <c r="AM146" s="306">
        <v>2321000</v>
      </c>
    </row>
    <row r="147" spans="1:39" hidden="1" x14ac:dyDescent="0.35">
      <c r="A147" s="476" t="s">
        <v>2039</v>
      </c>
      <c r="B147" s="477">
        <v>68000000</v>
      </c>
      <c r="C147" s="212" t="s">
        <v>2544</v>
      </c>
      <c r="D147" s="212">
        <v>145</v>
      </c>
      <c r="E147" s="478">
        <v>20213000003853</v>
      </c>
      <c r="F147" s="479">
        <v>44228</v>
      </c>
      <c r="G147" s="478" t="s">
        <v>2538</v>
      </c>
      <c r="H147" s="212" t="s">
        <v>2539</v>
      </c>
      <c r="I147" s="212" t="s">
        <v>432</v>
      </c>
      <c r="J147" s="475">
        <v>68000000</v>
      </c>
      <c r="K147" s="212" t="s">
        <v>358</v>
      </c>
      <c r="L147" s="212" t="s">
        <v>2689</v>
      </c>
      <c r="M147" s="212" t="s">
        <v>44</v>
      </c>
      <c r="N147" s="212" t="s">
        <v>45</v>
      </c>
      <c r="O147" s="212" t="s">
        <v>63</v>
      </c>
      <c r="P147" s="212" t="s">
        <v>674</v>
      </c>
      <c r="R147" s="212">
        <v>142</v>
      </c>
      <c r="S147" s="479">
        <v>44228</v>
      </c>
      <c r="T147" s="212" t="s">
        <v>2871</v>
      </c>
      <c r="U147" s="475">
        <v>68000000</v>
      </c>
      <c r="V147" s="406"/>
      <c r="W147" s="362"/>
      <c r="X147" s="308">
        <v>107</v>
      </c>
      <c r="Y147" s="484">
        <v>44236</v>
      </c>
      <c r="Z147" s="484">
        <v>44236</v>
      </c>
      <c r="AA147" s="484">
        <v>44478</v>
      </c>
      <c r="AB147" s="485" t="s">
        <v>2548</v>
      </c>
      <c r="AC147" s="211">
        <v>54</v>
      </c>
      <c r="AD147" s="487">
        <v>80053511</v>
      </c>
      <c r="AE147" s="486" t="s">
        <v>2872</v>
      </c>
      <c r="AF147" s="473">
        <v>68000000</v>
      </c>
      <c r="AG147" s="474">
        <f t="shared" si="2"/>
        <v>0</v>
      </c>
      <c r="AJ147" s="475">
        <v>5666667</v>
      </c>
      <c r="AK147" s="475">
        <v>8500000</v>
      </c>
      <c r="AL147" s="475">
        <v>8500000</v>
      </c>
      <c r="AM147" s="306">
        <v>8500000</v>
      </c>
    </row>
    <row r="148" spans="1:39" hidden="1" x14ac:dyDescent="0.35">
      <c r="A148" s="476" t="s">
        <v>2044</v>
      </c>
      <c r="B148" s="477">
        <v>39975144</v>
      </c>
      <c r="C148" s="212" t="s">
        <v>2544</v>
      </c>
      <c r="D148" s="212">
        <v>146</v>
      </c>
      <c r="E148" s="478">
        <v>20213000003883</v>
      </c>
      <c r="F148" s="479">
        <v>44228</v>
      </c>
      <c r="G148" s="478" t="s">
        <v>2538</v>
      </c>
      <c r="H148" s="212" t="s">
        <v>2539</v>
      </c>
      <c r="I148" s="212" t="s">
        <v>432</v>
      </c>
      <c r="J148" s="475">
        <v>39975144</v>
      </c>
      <c r="K148" s="212" t="s">
        <v>358</v>
      </c>
      <c r="L148" s="212" t="s">
        <v>2689</v>
      </c>
      <c r="M148" s="212" t="s">
        <v>44</v>
      </c>
      <c r="N148" s="212" t="s">
        <v>45</v>
      </c>
      <c r="O148" s="212" t="s">
        <v>63</v>
      </c>
      <c r="P148" s="212" t="s">
        <v>674</v>
      </c>
      <c r="R148" s="212">
        <v>143</v>
      </c>
      <c r="S148" s="479">
        <v>44228</v>
      </c>
      <c r="T148" s="212" t="s">
        <v>2873</v>
      </c>
      <c r="U148" s="475">
        <v>39975144</v>
      </c>
      <c r="V148" s="406"/>
      <c r="W148" s="362"/>
      <c r="X148" s="308">
        <v>103</v>
      </c>
      <c r="Y148" s="484">
        <v>44236</v>
      </c>
      <c r="Z148" s="484">
        <v>44236</v>
      </c>
      <c r="AA148" s="484">
        <v>44478</v>
      </c>
      <c r="AB148" s="485" t="s">
        <v>2548</v>
      </c>
      <c r="AC148" s="211">
        <v>56</v>
      </c>
      <c r="AD148" s="487">
        <v>1014215801</v>
      </c>
      <c r="AE148" s="486" t="s">
        <v>2874</v>
      </c>
      <c r="AF148" s="473">
        <v>39975144</v>
      </c>
      <c r="AG148" s="474">
        <f t="shared" si="2"/>
        <v>0</v>
      </c>
      <c r="AJ148" s="475">
        <v>3164699</v>
      </c>
      <c r="AK148" s="475">
        <v>4996893</v>
      </c>
      <c r="AL148" s="475">
        <v>4996893</v>
      </c>
      <c r="AM148" s="306">
        <v>4996893</v>
      </c>
    </row>
    <row r="149" spans="1:39" hidden="1" x14ac:dyDescent="0.35">
      <c r="A149" s="476" t="s">
        <v>2875</v>
      </c>
      <c r="B149" s="477">
        <v>12000000</v>
      </c>
      <c r="C149" s="212" t="s">
        <v>2544</v>
      </c>
      <c r="D149" s="212">
        <v>147</v>
      </c>
      <c r="E149" s="478">
        <v>20213000003903</v>
      </c>
      <c r="F149" s="479">
        <v>44228</v>
      </c>
      <c r="G149" s="478" t="s">
        <v>2538</v>
      </c>
      <c r="H149" s="212" t="s">
        <v>2539</v>
      </c>
      <c r="I149" s="212" t="s">
        <v>432</v>
      </c>
      <c r="J149" s="475">
        <v>12000000</v>
      </c>
      <c r="K149" s="212" t="s">
        <v>358</v>
      </c>
      <c r="L149" s="212" t="s">
        <v>2689</v>
      </c>
      <c r="M149" s="212" t="s">
        <v>44</v>
      </c>
      <c r="N149" s="212" t="s">
        <v>45</v>
      </c>
      <c r="O149" s="212" t="s">
        <v>63</v>
      </c>
      <c r="P149" s="212" t="s">
        <v>674</v>
      </c>
      <c r="R149" s="212">
        <v>144</v>
      </c>
      <c r="S149" s="479">
        <v>44228</v>
      </c>
      <c r="T149" s="212" t="s">
        <v>2876</v>
      </c>
      <c r="U149" s="475">
        <v>12000000</v>
      </c>
      <c r="V149" s="406"/>
      <c r="W149" s="362"/>
      <c r="X149" s="308">
        <v>99</v>
      </c>
      <c r="Y149" s="484">
        <v>44236</v>
      </c>
      <c r="Z149" s="484">
        <v>44236</v>
      </c>
      <c r="AA149" s="484">
        <v>44356</v>
      </c>
      <c r="AB149" s="485" t="s">
        <v>2548</v>
      </c>
      <c r="AC149" s="211">
        <v>60</v>
      </c>
      <c r="AD149" s="487">
        <v>1033777087</v>
      </c>
      <c r="AE149" s="486" t="s">
        <v>2877</v>
      </c>
      <c r="AF149" s="473">
        <v>12000000</v>
      </c>
      <c r="AG149" s="474">
        <f t="shared" si="2"/>
        <v>0</v>
      </c>
      <c r="AJ149" s="475">
        <v>2000000</v>
      </c>
      <c r="AK149" s="475">
        <v>3000000</v>
      </c>
      <c r="AL149" s="475">
        <v>3000000</v>
      </c>
      <c r="AM149" s="306">
        <v>3000000</v>
      </c>
    </row>
    <row r="150" spans="1:39" hidden="1" x14ac:dyDescent="0.35">
      <c r="A150" s="476" t="s">
        <v>2047</v>
      </c>
      <c r="B150" s="477">
        <v>16353468</v>
      </c>
      <c r="C150" s="212" t="s">
        <v>2544</v>
      </c>
      <c r="D150" s="212">
        <v>148</v>
      </c>
      <c r="E150" s="478">
        <v>20213000003933</v>
      </c>
      <c r="F150" s="479">
        <v>44228</v>
      </c>
      <c r="G150" s="478" t="s">
        <v>2538</v>
      </c>
      <c r="H150" s="212" t="s">
        <v>2539</v>
      </c>
      <c r="I150" s="212" t="s">
        <v>432</v>
      </c>
      <c r="J150" s="475">
        <v>16353468</v>
      </c>
      <c r="K150" s="212" t="s">
        <v>358</v>
      </c>
      <c r="L150" s="212" t="s">
        <v>2689</v>
      </c>
      <c r="M150" s="212" t="s">
        <v>44</v>
      </c>
      <c r="N150" s="212" t="s">
        <v>45</v>
      </c>
      <c r="O150" s="212" t="s">
        <v>63</v>
      </c>
      <c r="P150" s="212" t="s">
        <v>674</v>
      </c>
      <c r="R150" s="212">
        <v>145</v>
      </c>
      <c r="S150" s="479">
        <v>44228</v>
      </c>
      <c r="T150" s="212" t="s">
        <v>2878</v>
      </c>
      <c r="U150" s="475">
        <v>16353468</v>
      </c>
      <c r="V150" s="406"/>
      <c r="W150" s="362"/>
      <c r="X150" s="308">
        <v>100</v>
      </c>
      <c r="Y150" s="484">
        <v>44236</v>
      </c>
      <c r="Z150" s="484">
        <v>44236</v>
      </c>
      <c r="AA150" s="484">
        <v>44356</v>
      </c>
      <c r="AB150" s="485" t="s">
        <v>2548</v>
      </c>
      <c r="AC150" s="211">
        <v>63</v>
      </c>
      <c r="AD150" s="487">
        <v>1133929197</v>
      </c>
      <c r="AE150" s="486" t="s">
        <v>2879</v>
      </c>
      <c r="AF150" s="473">
        <v>16353468</v>
      </c>
      <c r="AG150" s="474">
        <f t="shared" si="2"/>
        <v>0</v>
      </c>
      <c r="AJ150" s="475">
        <v>2725578</v>
      </c>
      <c r="AK150" s="475">
        <v>4088367</v>
      </c>
      <c r="AL150" s="475">
        <v>4088367</v>
      </c>
      <c r="AM150" s="306">
        <v>4088367</v>
      </c>
    </row>
    <row r="151" spans="1:39" hidden="1" x14ac:dyDescent="0.35">
      <c r="A151" s="476" t="s">
        <v>2045</v>
      </c>
      <c r="B151" s="477">
        <v>64000000</v>
      </c>
      <c r="C151" s="212" t="s">
        <v>2544</v>
      </c>
      <c r="D151" s="212">
        <v>149</v>
      </c>
      <c r="E151" s="478">
        <v>20213000003943</v>
      </c>
      <c r="F151" s="479">
        <v>44228</v>
      </c>
      <c r="G151" s="478" t="s">
        <v>2538</v>
      </c>
      <c r="H151" s="212" t="s">
        <v>2539</v>
      </c>
      <c r="I151" s="212" t="s">
        <v>432</v>
      </c>
      <c r="J151" s="475">
        <v>64000000</v>
      </c>
      <c r="K151" s="212" t="s">
        <v>358</v>
      </c>
      <c r="L151" s="212" t="s">
        <v>2689</v>
      </c>
      <c r="M151" s="212" t="s">
        <v>44</v>
      </c>
      <c r="N151" s="212" t="s">
        <v>45</v>
      </c>
      <c r="O151" s="212" t="s">
        <v>63</v>
      </c>
      <c r="P151" s="212" t="s">
        <v>674</v>
      </c>
      <c r="R151" s="212">
        <v>146</v>
      </c>
      <c r="S151" s="479">
        <v>44228</v>
      </c>
      <c r="T151" s="212" t="s">
        <v>2880</v>
      </c>
      <c r="U151" s="475">
        <v>64000000</v>
      </c>
      <c r="V151" s="406"/>
      <c r="W151" s="362"/>
      <c r="X151" s="483">
        <v>157</v>
      </c>
      <c r="Y151" s="484">
        <v>44245</v>
      </c>
      <c r="Z151" s="484">
        <v>44245</v>
      </c>
      <c r="AA151" s="484">
        <v>44487</v>
      </c>
      <c r="AB151" s="485" t="s">
        <v>2548</v>
      </c>
      <c r="AC151" s="483">
        <v>104</v>
      </c>
      <c r="AD151" s="485">
        <v>1020714204</v>
      </c>
      <c r="AE151" s="486" t="s">
        <v>2881</v>
      </c>
      <c r="AF151" s="473">
        <v>64000000</v>
      </c>
      <c r="AG151" s="474">
        <f t="shared" si="2"/>
        <v>0</v>
      </c>
      <c r="AJ151" s="475">
        <v>2933333</v>
      </c>
      <c r="AK151" s="475">
        <v>8000000</v>
      </c>
      <c r="AL151" s="475">
        <v>8000000</v>
      </c>
      <c r="AM151" s="306">
        <v>8000000</v>
      </c>
    </row>
    <row r="152" spans="1:39" hidden="1" x14ac:dyDescent="0.35">
      <c r="A152" s="476" t="s">
        <v>2004</v>
      </c>
      <c r="B152" s="477">
        <v>39975144</v>
      </c>
      <c r="C152" s="212" t="s">
        <v>2544</v>
      </c>
      <c r="D152" s="212">
        <v>150</v>
      </c>
      <c r="E152" s="478">
        <v>20213000003963</v>
      </c>
      <c r="F152" s="479">
        <v>44228</v>
      </c>
      <c r="G152" s="478" t="s">
        <v>2538</v>
      </c>
      <c r="H152" s="212" t="s">
        <v>2539</v>
      </c>
      <c r="I152" s="212" t="s">
        <v>432</v>
      </c>
      <c r="J152" s="475">
        <v>39975144</v>
      </c>
      <c r="K152" s="212" t="s">
        <v>358</v>
      </c>
      <c r="L152" s="212" t="s">
        <v>2689</v>
      </c>
      <c r="M152" s="212" t="s">
        <v>44</v>
      </c>
      <c r="N152" s="212" t="s">
        <v>45</v>
      </c>
      <c r="O152" s="212" t="s">
        <v>63</v>
      </c>
      <c r="P152" s="212" t="s">
        <v>674</v>
      </c>
      <c r="R152" s="212">
        <v>147</v>
      </c>
      <c r="S152" s="479">
        <v>44228</v>
      </c>
      <c r="T152" s="212" t="s">
        <v>2882</v>
      </c>
      <c r="U152" s="475">
        <v>39975144</v>
      </c>
      <c r="V152" s="406"/>
      <c r="W152" s="362"/>
      <c r="X152" s="483">
        <v>187</v>
      </c>
      <c r="Y152" s="484">
        <v>44251</v>
      </c>
      <c r="Z152" s="484">
        <v>44251</v>
      </c>
      <c r="AA152" s="484">
        <v>44493</v>
      </c>
      <c r="AB152" s="485" t="s">
        <v>2548</v>
      </c>
      <c r="AC152" s="483">
        <v>128</v>
      </c>
      <c r="AD152" s="485">
        <v>52157159</v>
      </c>
      <c r="AE152" s="486" t="s">
        <v>2883</v>
      </c>
      <c r="AF152" s="473">
        <v>39975144</v>
      </c>
      <c r="AG152" s="474">
        <f t="shared" si="2"/>
        <v>0</v>
      </c>
      <c r="AK152" s="475">
        <v>5663145</v>
      </c>
      <c r="AL152" s="475">
        <v>4996893</v>
      </c>
      <c r="AM152" s="306">
        <v>4996893</v>
      </c>
    </row>
    <row r="153" spans="1:39" hidden="1" x14ac:dyDescent="0.35">
      <c r="A153" s="476" t="s">
        <v>2005</v>
      </c>
      <c r="B153" s="477">
        <v>40883670</v>
      </c>
      <c r="C153" s="212" t="s">
        <v>2544</v>
      </c>
      <c r="D153" s="212">
        <v>151</v>
      </c>
      <c r="E153" s="478">
        <v>20213000003973</v>
      </c>
      <c r="F153" s="479">
        <v>44228</v>
      </c>
      <c r="G153" s="478" t="s">
        <v>2538</v>
      </c>
      <c r="H153" s="212" t="s">
        <v>2539</v>
      </c>
      <c r="I153" s="212" t="s">
        <v>432</v>
      </c>
      <c r="J153" s="475">
        <v>40883670</v>
      </c>
      <c r="K153" s="212" t="s">
        <v>358</v>
      </c>
      <c r="L153" s="212" t="s">
        <v>2689</v>
      </c>
      <c r="M153" s="212" t="s">
        <v>44</v>
      </c>
      <c r="N153" s="212" t="s">
        <v>45</v>
      </c>
      <c r="O153" s="212" t="s">
        <v>63</v>
      </c>
      <c r="P153" s="212" t="s">
        <v>674</v>
      </c>
      <c r="R153" s="212">
        <v>148</v>
      </c>
      <c r="S153" s="479">
        <v>44228</v>
      </c>
      <c r="T153" s="212" t="s">
        <v>2884</v>
      </c>
      <c r="U153" s="475">
        <v>40883670</v>
      </c>
      <c r="V153" s="406"/>
      <c r="W153" s="362"/>
      <c r="X153" s="308">
        <v>94</v>
      </c>
      <c r="Y153" s="484">
        <v>44235</v>
      </c>
      <c r="Z153" s="484">
        <v>44235</v>
      </c>
      <c r="AA153" s="484">
        <v>44538</v>
      </c>
      <c r="AB153" s="485" t="s">
        <v>2548</v>
      </c>
      <c r="AC153" s="211">
        <v>57</v>
      </c>
      <c r="AD153" s="487">
        <v>1019124435</v>
      </c>
      <c r="AE153" s="486" t="s">
        <v>2885</v>
      </c>
      <c r="AF153" s="473">
        <v>40883670</v>
      </c>
      <c r="AG153" s="474">
        <f t="shared" si="2"/>
        <v>0</v>
      </c>
      <c r="AJ153" s="475">
        <v>2861857</v>
      </c>
      <c r="AK153" s="475">
        <v>4088367</v>
      </c>
      <c r="AL153" s="475">
        <v>4088367</v>
      </c>
      <c r="AM153" s="306">
        <v>4088367</v>
      </c>
    </row>
    <row r="154" spans="1:39" hidden="1" x14ac:dyDescent="0.35">
      <c r="A154" s="476" t="s">
        <v>2886</v>
      </c>
      <c r="B154" s="477">
        <v>60282833</v>
      </c>
      <c r="C154" s="212" t="s">
        <v>2544</v>
      </c>
      <c r="D154" s="212">
        <v>152</v>
      </c>
      <c r="E154" s="478">
        <v>20214000004313</v>
      </c>
      <c r="F154" s="479">
        <v>44228</v>
      </c>
      <c r="G154" s="478" t="s">
        <v>2571</v>
      </c>
      <c r="H154" s="212" t="s">
        <v>2572</v>
      </c>
      <c r="I154" s="212" t="s">
        <v>117</v>
      </c>
      <c r="J154" s="475">
        <v>51345000</v>
      </c>
      <c r="K154" s="212" t="s">
        <v>112</v>
      </c>
      <c r="L154" s="212" t="s">
        <v>2573</v>
      </c>
      <c r="M154" s="212" t="s">
        <v>44</v>
      </c>
      <c r="N154" s="212" t="s">
        <v>45</v>
      </c>
      <c r="O154" s="212" t="s">
        <v>63</v>
      </c>
      <c r="P154" s="212" t="s">
        <v>43</v>
      </c>
      <c r="R154" s="212">
        <v>156</v>
      </c>
      <c r="S154" s="479">
        <v>44228</v>
      </c>
      <c r="T154" s="212" t="s">
        <v>2887</v>
      </c>
      <c r="U154" s="475">
        <v>51345000</v>
      </c>
      <c r="V154" s="406"/>
      <c r="W154" s="362"/>
      <c r="X154" s="483">
        <v>177</v>
      </c>
      <c r="Y154" s="484">
        <v>44249</v>
      </c>
      <c r="Z154" s="484">
        <v>44249</v>
      </c>
      <c r="AA154" s="484">
        <v>44522</v>
      </c>
      <c r="AB154" s="485" t="s">
        <v>2548</v>
      </c>
      <c r="AC154" s="483">
        <v>115</v>
      </c>
      <c r="AD154" s="485">
        <v>1022381682</v>
      </c>
      <c r="AE154" s="486" t="s">
        <v>2888</v>
      </c>
      <c r="AF154" s="473">
        <v>51345000</v>
      </c>
      <c r="AG154" s="474">
        <f t="shared" si="2"/>
        <v>0</v>
      </c>
      <c r="AK154" s="475">
        <f>1101400+5705000</f>
        <v>6806400</v>
      </c>
      <c r="AL154" s="475">
        <v>5705000</v>
      </c>
      <c r="AM154" s="306">
        <v>5705000</v>
      </c>
    </row>
    <row r="155" spans="1:39" hidden="1" x14ac:dyDescent="0.35">
      <c r="A155" s="476" t="s">
        <v>2889</v>
      </c>
      <c r="B155" s="477">
        <v>52833333</v>
      </c>
      <c r="C155" s="212" t="s">
        <v>2544</v>
      </c>
      <c r="D155" s="212">
        <v>153</v>
      </c>
      <c r="E155" s="478">
        <v>20214000004323</v>
      </c>
      <c r="F155" s="479">
        <v>44228</v>
      </c>
      <c r="G155" s="478" t="s">
        <v>2571</v>
      </c>
      <c r="H155" s="212" t="s">
        <v>2572</v>
      </c>
      <c r="I155" s="212" t="s">
        <v>117</v>
      </c>
      <c r="J155" s="475">
        <v>45000000</v>
      </c>
      <c r="K155" s="212" t="s">
        <v>112</v>
      </c>
      <c r="L155" s="212" t="s">
        <v>2573</v>
      </c>
      <c r="M155" s="212" t="s">
        <v>44</v>
      </c>
      <c r="N155" s="212" t="s">
        <v>45</v>
      </c>
      <c r="O155" s="212" t="s">
        <v>63</v>
      </c>
      <c r="P155" s="212" t="s">
        <v>43</v>
      </c>
      <c r="R155" s="212">
        <v>157</v>
      </c>
      <c r="S155" s="479">
        <v>44228</v>
      </c>
      <c r="T155" s="212" t="s">
        <v>2890</v>
      </c>
      <c r="U155" s="475">
        <v>45000000</v>
      </c>
      <c r="V155" s="406"/>
      <c r="W155" s="362"/>
      <c r="X155" s="483">
        <v>151</v>
      </c>
      <c r="Y155" s="484">
        <v>44244</v>
      </c>
      <c r="Z155" s="484">
        <v>44244</v>
      </c>
      <c r="AA155" s="484">
        <v>44517</v>
      </c>
      <c r="AB155" s="485" t="s">
        <v>2548</v>
      </c>
      <c r="AC155" s="483">
        <v>96</v>
      </c>
      <c r="AD155" s="485">
        <v>1012370019</v>
      </c>
      <c r="AE155" s="486" t="s">
        <v>2891</v>
      </c>
      <c r="AF155" s="473">
        <v>45000000</v>
      </c>
      <c r="AG155" s="474">
        <f t="shared" si="2"/>
        <v>0</v>
      </c>
      <c r="AK155" s="475">
        <f>2000000+5000000</f>
        <v>7000000</v>
      </c>
      <c r="AL155" s="475">
        <v>5000000</v>
      </c>
      <c r="AM155" s="212"/>
    </row>
    <row r="156" spans="1:39" hidden="1" x14ac:dyDescent="0.35">
      <c r="A156" s="476" t="s">
        <v>2892</v>
      </c>
      <c r="B156" s="477">
        <v>28700000</v>
      </c>
      <c r="C156" s="212" t="s">
        <v>2544</v>
      </c>
      <c r="D156" s="212">
        <v>154</v>
      </c>
      <c r="E156" s="478">
        <v>20214000004333</v>
      </c>
      <c r="F156" s="479">
        <v>44228</v>
      </c>
      <c r="G156" s="478" t="s">
        <v>2578</v>
      </c>
      <c r="H156" s="212" t="s">
        <v>2579</v>
      </c>
      <c r="I156" s="212" t="s">
        <v>47</v>
      </c>
      <c r="J156" s="475">
        <v>27000000</v>
      </c>
      <c r="K156" s="212" t="s">
        <v>37</v>
      </c>
      <c r="L156" s="212" t="s">
        <v>2580</v>
      </c>
      <c r="M156" s="212" t="s">
        <v>44</v>
      </c>
      <c r="N156" s="212" t="s">
        <v>45</v>
      </c>
      <c r="O156" s="212" t="s">
        <v>310</v>
      </c>
      <c r="P156" s="212" t="s">
        <v>43</v>
      </c>
      <c r="R156" s="212">
        <v>158</v>
      </c>
      <c r="S156" s="479">
        <v>44228</v>
      </c>
      <c r="T156" s="212" t="s">
        <v>2893</v>
      </c>
      <c r="U156" s="475">
        <v>27000000</v>
      </c>
      <c r="V156" s="406"/>
      <c r="W156" s="362"/>
      <c r="X156" s="483">
        <v>189</v>
      </c>
      <c r="Y156" s="484">
        <v>44252</v>
      </c>
      <c r="Z156" s="484">
        <v>44252</v>
      </c>
      <c r="AA156" s="484">
        <v>44525</v>
      </c>
      <c r="AB156" s="485" t="s">
        <v>2548</v>
      </c>
      <c r="AC156" s="483">
        <v>126</v>
      </c>
      <c r="AD156" s="485">
        <v>1014249184</v>
      </c>
      <c r="AE156" s="486" t="s">
        <v>2894</v>
      </c>
      <c r="AF156" s="473">
        <v>27000000</v>
      </c>
      <c r="AG156" s="474">
        <f t="shared" si="2"/>
        <v>0</v>
      </c>
      <c r="AL156" s="475">
        <v>3400000</v>
      </c>
      <c r="AM156" s="306">
        <v>3000000</v>
      </c>
    </row>
    <row r="157" spans="1:39" hidden="1" x14ac:dyDescent="0.35">
      <c r="A157" s="476" t="s">
        <v>2382</v>
      </c>
      <c r="B157" s="477">
        <v>54965093</v>
      </c>
      <c r="C157" s="212" t="s">
        <v>2544</v>
      </c>
      <c r="D157" s="212">
        <v>155</v>
      </c>
      <c r="E157" s="478">
        <v>20214000004343</v>
      </c>
      <c r="F157" s="479">
        <v>44228</v>
      </c>
      <c r="G157" s="478" t="s">
        <v>2578</v>
      </c>
      <c r="H157" s="212" t="s">
        <v>2579</v>
      </c>
      <c r="I157" s="212" t="s">
        <v>47</v>
      </c>
      <c r="J157" s="475">
        <v>51345000</v>
      </c>
      <c r="K157" s="212" t="s">
        <v>37</v>
      </c>
      <c r="L157" s="212" t="s">
        <v>2580</v>
      </c>
      <c r="M157" s="212" t="s">
        <v>44</v>
      </c>
      <c r="N157" s="212" t="s">
        <v>45</v>
      </c>
      <c r="O157" s="212" t="s">
        <v>310</v>
      </c>
      <c r="P157" s="212" t="s">
        <v>43</v>
      </c>
      <c r="R157" s="212">
        <v>159</v>
      </c>
      <c r="S157" s="479">
        <v>44228</v>
      </c>
      <c r="T157" s="212" t="s">
        <v>2895</v>
      </c>
      <c r="U157" s="475">
        <v>51345000</v>
      </c>
      <c r="V157" s="406"/>
      <c r="W157" s="362"/>
      <c r="X157" s="483">
        <v>142</v>
      </c>
      <c r="Y157" s="484">
        <v>44243</v>
      </c>
      <c r="Z157" s="484">
        <v>44243</v>
      </c>
      <c r="AA157" s="484">
        <v>44516</v>
      </c>
      <c r="AB157" s="485" t="s">
        <v>2548</v>
      </c>
      <c r="AC157" s="483">
        <v>94</v>
      </c>
      <c r="AD157" s="485">
        <v>1026270734</v>
      </c>
      <c r="AE157" s="486" t="s">
        <v>2896</v>
      </c>
      <c r="AF157" s="473">
        <v>51345000</v>
      </c>
      <c r="AG157" s="474">
        <f t="shared" si="2"/>
        <v>0</v>
      </c>
      <c r="AJ157" s="475">
        <v>2472167</v>
      </c>
      <c r="AK157" s="475">
        <v>5705000</v>
      </c>
      <c r="AL157" s="475">
        <v>5705000</v>
      </c>
      <c r="AM157" s="306">
        <v>5705000</v>
      </c>
    </row>
    <row r="158" spans="1:39" hidden="1" x14ac:dyDescent="0.35">
      <c r="A158" s="476" t="s">
        <v>2897</v>
      </c>
      <c r="B158" s="477">
        <v>5940000</v>
      </c>
      <c r="C158" s="212" t="s">
        <v>2544</v>
      </c>
      <c r="D158" s="212">
        <v>156</v>
      </c>
      <c r="E158" s="478">
        <v>20214000004353</v>
      </c>
      <c r="F158" s="479">
        <v>44228</v>
      </c>
      <c r="G158" s="478" t="s">
        <v>2578</v>
      </c>
      <c r="H158" s="212" t="s">
        <v>2579</v>
      </c>
      <c r="I158" s="212" t="s">
        <v>47</v>
      </c>
      <c r="J158" s="475">
        <v>5940000</v>
      </c>
      <c r="K158" s="212" t="s">
        <v>37</v>
      </c>
      <c r="L158" s="212" t="s">
        <v>2580</v>
      </c>
      <c r="M158" s="212" t="s">
        <v>44</v>
      </c>
      <c r="N158" s="212" t="s">
        <v>45</v>
      </c>
      <c r="O158" s="212" t="s">
        <v>310</v>
      </c>
      <c r="P158" s="212" t="s">
        <v>43</v>
      </c>
      <c r="R158" s="212">
        <v>160</v>
      </c>
      <c r="S158" s="479">
        <v>44228</v>
      </c>
      <c r="T158" s="212" t="s">
        <v>2898</v>
      </c>
      <c r="U158" s="475">
        <v>5940000</v>
      </c>
      <c r="V158" s="406"/>
      <c r="W158" s="362"/>
      <c r="X158" s="483">
        <v>119</v>
      </c>
      <c r="Y158" s="484">
        <v>44238</v>
      </c>
      <c r="Z158" s="484">
        <v>44238</v>
      </c>
      <c r="AA158" s="484">
        <v>44511</v>
      </c>
      <c r="AB158" s="485" t="s">
        <v>2548</v>
      </c>
      <c r="AC158" s="211">
        <v>69</v>
      </c>
      <c r="AD158" s="485">
        <v>1118550734</v>
      </c>
      <c r="AE158" s="486" t="s">
        <v>2899</v>
      </c>
      <c r="AF158" s="473">
        <v>5940000</v>
      </c>
      <c r="AG158" s="474">
        <f t="shared" si="2"/>
        <v>0</v>
      </c>
      <c r="AJ158" s="475">
        <v>396000</v>
      </c>
      <c r="AK158" s="475">
        <v>660000</v>
      </c>
      <c r="AL158" s="475">
        <v>660000</v>
      </c>
      <c r="AM158" s="306">
        <v>660000</v>
      </c>
    </row>
    <row r="159" spans="1:39" hidden="1" x14ac:dyDescent="0.35">
      <c r="A159" s="476" t="s">
        <v>2897</v>
      </c>
      <c r="B159" s="477">
        <v>53460000</v>
      </c>
      <c r="C159" s="212" t="s">
        <v>2544</v>
      </c>
      <c r="D159" s="212">
        <v>156</v>
      </c>
      <c r="E159" s="478">
        <v>20214000004353</v>
      </c>
      <c r="F159" s="479">
        <v>44228</v>
      </c>
      <c r="G159" s="478" t="s">
        <v>2571</v>
      </c>
      <c r="H159" s="212" t="s">
        <v>2572</v>
      </c>
      <c r="I159" s="212" t="s">
        <v>117</v>
      </c>
      <c r="J159" s="475">
        <v>43560000</v>
      </c>
      <c r="K159" s="212" t="s">
        <v>112</v>
      </c>
      <c r="L159" s="212" t="s">
        <v>2573</v>
      </c>
      <c r="M159" s="212" t="s">
        <v>44</v>
      </c>
      <c r="N159" s="212" t="s">
        <v>45</v>
      </c>
      <c r="O159" s="212" t="s">
        <v>63</v>
      </c>
      <c r="P159" s="212" t="s">
        <v>43</v>
      </c>
      <c r="R159" s="329">
        <v>160</v>
      </c>
      <c r="S159" s="479">
        <v>44228</v>
      </c>
      <c r="T159" s="212" t="s">
        <v>2898</v>
      </c>
      <c r="U159" s="475">
        <v>43560000</v>
      </c>
      <c r="V159" s="406"/>
      <c r="W159" s="362"/>
      <c r="X159" s="483">
        <v>119</v>
      </c>
      <c r="Y159" s="484">
        <v>44238</v>
      </c>
      <c r="Z159" s="484">
        <v>44238</v>
      </c>
      <c r="AA159" s="484">
        <v>44511</v>
      </c>
      <c r="AB159" s="485" t="s">
        <v>2548</v>
      </c>
      <c r="AC159" s="211">
        <v>69</v>
      </c>
      <c r="AD159" s="485">
        <v>1118550734</v>
      </c>
      <c r="AE159" s="486" t="s">
        <v>2899</v>
      </c>
      <c r="AF159" s="473">
        <v>43560000</v>
      </c>
      <c r="AG159" s="474">
        <f t="shared" si="2"/>
        <v>0</v>
      </c>
      <c r="AJ159" s="496">
        <v>2904000</v>
      </c>
      <c r="AK159" s="475">
        <v>4840000</v>
      </c>
      <c r="AL159" s="475">
        <v>4840000</v>
      </c>
      <c r="AM159" s="306">
        <v>4840000</v>
      </c>
    </row>
    <row r="160" spans="1:39" hidden="1" x14ac:dyDescent="0.35">
      <c r="A160" s="476" t="s">
        <v>2381</v>
      </c>
      <c r="B160" s="477">
        <v>82500000</v>
      </c>
      <c r="C160" s="212" t="s">
        <v>2544</v>
      </c>
      <c r="D160" s="212">
        <v>157</v>
      </c>
      <c r="E160" s="478">
        <v>20214000004373</v>
      </c>
      <c r="F160" s="479">
        <v>44228</v>
      </c>
      <c r="G160" s="478" t="s">
        <v>2578</v>
      </c>
      <c r="H160" s="212" t="s">
        <v>2579</v>
      </c>
      <c r="I160" s="212" t="s">
        <v>47</v>
      </c>
      <c r="J160" s="475">
        <v>67500000</v>
      </c>
      <c r="K160" s="212" t="s">
        <v>37</v>
      </c>
      <c r="L160" s="212" t="s">
        <v>2580</v>
      </c>
      <c r="M160" s="212" t="s">
        <v>44</v>
      </c>
      <c r="N160" s="212" t="s">
        <v>45</v>
      </c>
      <c r="O160" s="212" t="s">
        <v>310</v>
      </c>
      <c r="P160" s="212" t="s">
        <v>43</v>
      </c>
      <c r="R160" s="212">
        <v>161</v>
      </c>
      <c r="S160" s="479">
        <v>44228</v>
      </c>
      <c r="T160" s="212" t="s">
        <v>2900</v>
      </c>
      <c r="U160" s="475">
        <v>67500000</v>
      </c>
      <c r="V160" s="406"/>
      <c r="W160" s="362"/>
      <c r="X160" s="308">
        <v>98</v>
      </c>
      <c r="Y160" s="484">
        <v>44236</v>
      </c>
      <c r="Z160" s="484">
        <v>44236</v>
      </c>
      <c r="AA160" s="484">
        <v>44509</v>
      </c>
      <c r="AB160" s="485" t="s">
        <v>2548</v>
      </c>
      <c r="AC160" s="211">
        <v>59</v>
      </c>
      <c r="AD160" s="487">
        <v>52975379</v>
      </c>
      <c r="AE160" s="486" t="s">
        <v>2901</v>
      </c>
      <c r="AF160" s="473">
        <v>67500000</v>
      </c>
      <c r="AG160" s="474">
        <f t="shared" si="2"/>
        <v>0</v>
      </c>
      <c r="AJ160" s="475">
        <v>5000000</v>
      </c>
      <c r="AK160" s="475">
        <v>7500000</v>
      </c>
      <c r="AL160" s="475">
        <v>7500000</v>
      </c>
      <c r="AM160" s="306">
        <v>7500000</v>
      </c>
    </row>
    <row r="161" spans="1:39" hidden="1" x14ac:dyDescent="0.35">
      <c r="A161" s="476" t="s">
        <v>2902</v>
      </c>
      <c r="B161" s="477">
        <v>6000000</v>
      </c>
      <c r="C161" s="212" t="s">
        <v>2544</v>
      </c>
      <c r="D161" s="212">
        <v>158</v>
      </c>
      <c r="E161" s="478">
        <v>20214000004383</v>
      </c>
      <c r="F161" s="479">
        <v>44228</v>
      </c>
      <c r="G161" s="478" t="s">
        <v>2578</v>
      </c>
      <c r="H161" s="212" t="s">
        <v>2579</v>
      </c>
      <c r="I161" s="212" t="s">
        <v>47</v>
      </c>
      <c r="J161" s="475">
        <v>6000000</v>
      </c>
      <c r="K161" s="212" t="s">
        <v>37</v>
      </c>
      <c r="L161" s="212" t="s">
        <v>2580</v>
      </c>
      <c r="M161" s="212" t="s">
        <v>44</v>
      </c>
      <c r="N161" s="212" t="s">
        <v>45</v>
      </c>
      <c r="O161" s="212" t="s">
        <v>310</v>
      </c>
      <c r="P161" s="212" t="s">
        <v>43</v>
      </c>
      <c r="R161" s="212">
        <v>162</v>
      </c>
      <c r="S161" s="479">
        <v>44228</v>
      </c>
      <c r="T161" s="212" t="s">
        <v>2903</v>
      </c>
      <c r="U161" s="475">
        <v>6000000</v>
      </c>
      <c r="V161" s="406"/>
      <c r="W161" s="362"/>
      <c r="X161" s="308">
        <v>114</v>
      </c>
      <c r="Y161" s="484">
        <v>44237</v>
      </c>
      <c r="Z161" s="484">
        <v>44237</v>
      </c>
      <c r="AA161" s="484">
        <v>44510</v>
      </c>
      <c r="AB161" s="485" t="s">
        <v>2548</v>
      </c>
      <c r="AC161" s="211">
        <v>64</v>
      </c>
      <c r="AD161" s="487">
        <v>79316274</v>
      </c>
      <c r="AE161" s="486" t="s">
        <v>2904</v>
      </c>
      <c r="AF161" s="473">
        <v>6000000</v>
      </c>
      <c r="AG161" s="474">
        <f t="shared" si="2"/>
        <v>0</v>
      </c>
      <c r="AJ161" s="475">
        <v>422222</v>
      </c>
      <c r="AK161" s="475">
        <v>666667</v>
      </c>
      <c r="AL161" s="475">
        <v>666667</v>
      </c>
      <c r="AM161" s="306">
        <v>666667</v>
      </c>
    </row>
    <row r="162" spans="1:39" hidden="1" x14ac:dyDescent="0.35">
      <c r="A162" s="476" t="s">
        <v>2902</v>
      </c>
      <c r="B162" s="477">
        <v>54000000</v>
      </c>
      <c r="C162" s="212" t="s">
        <v>2544</v>
      </c>
      <c r="D162" s="212">
        <v>158</v>
      </c>
      <c r="E162" s="478">
        <v>20214000004383</v>
      </c>
      <c r="F162" s="479">
        <v>44228</v>
      </c>
      <c r="G162" s="478" t="s">
        <v>2571</v>
      </c>
      <c r="H162" s="212" t="s">
        <v>2572</v>
      </c>
      <c r="I162" s="212" t="s">
        <v>117</v>
      </c>
      <c r="J162" s="475">
        <v>48000000</v>
      </c>
      <c r="K162" s="212" t="s">
        <v>112</v>
      </c>
      <c r="L162" s="212" t="s">
        <v>2573</v>
      </c>
      <c r="M162" s="212" t="s">
        <v>44</v>
      </c>
      <c r="N162" s="212" t="s">
        <v>45</v>
      </c>
      <c r="O162" s="212" t="s">
        <v>63</v>
      </c>
      <c r="P162" s="212" t="s">
        <v>43</v>
      </c>
      <c r="R162" s="329">
        <v>162</v>
      </c>
      <c r="S162" s="479">
        <v>44228</v>
      </c>
      <c r="T162" s="212" t="s">
        <v>2903</v>
      </c>
      <c r="U162" s="475">
        <v>48000000</v>
      </c>
      <c r="V162" s="406"/>
      <c r="W162" s="362"/>
      <c r="X162" s="308">
        <v>114</v>
      </c>
      <c r="Y162" s="484">
        <v>44237</v>
      </c>
      <c r="Z162" s="484">
        <v>44237</v>
      </c>
      <c r="AA162" s="484">
        <v>44510</v>
      </c>
      <c r="AB162" s="485" t="s">
        <v>2548</v>
      </c>
      <c r="AC162" s="211">
        <v>64</v>
      </c>
      <c r="AD162" s="487">
        <v>79316274</v>
      </c>
      <c r="AE162" s="486" t="s">
        <v>2904</v>
      </c>
      <c r="AF162" s="473">
        <v>48000000</v>
      </c>
      <c r="AG162" s="474">
        <f t="shared" si="2"/>
        <v>0</v>
      </c>
      <c r="AJ162" s="475">
        <v>3377778</v>
      </c>
      <c r="AK162" s="475">
        <v>5333333</v>
      </c>
      <c r="AL162" s="475">
        <v>5333333</v>
      </c>
      <c r="AM162" s="306">
        <v>5333333</v>
      </c>
    </row>
    <row r="163" spans="1:39" hidden="1" x14ac:dyDescent="0.35">
      <c r="A163" s="476" t="s">
        <v>2383</v>
      </c>
      <c r="B163" s="477">
        <v>24000000</v>
      </c>
      <c r="C163" s="212" t="s">
        <v>2544</v>
      </c>
      <c r="D163" s="212">
        <v>159</v>
      </c>
      <c r="E163" s="478">
        <v>20214000004593</v>
      </c>
      <c r="F163" s="479">
        <v>44228</v>
      </c>
      <c r="G163" s="478" t="s">
        <v>2578</v>
      </c>
      <c r="H163" s="212" t="s">
        <v>2579</v>
      </c>
      <c r="I163" s="212" t="s">
        <v>47</v>
      </c>
      <c r="J163" s="475">
        <v>24000000</v>
      </c>
      <c r="K163" s="212" t="s">
        <v>37</v>
      </c>
      <c r="L163" s="212" t="s">
        <v>2580</v>
      </c>
      <c r="M163" s="212" t="s">
        <v>44</v>
      </c>
      <c r="N163" s="212" t="s">
        <v>45</v>
      </c>
      <c r="O163" s="212" t="s">
        <v>310</v>
      </c>
      <c r="P163" s="212" t="s">
        <v>43</v>
      </c>
      <c r="R163" s="212">
        <v>164</v>
      </c>
      <c r="S163" s="479">
        <v>44228</v>
      </c>
      <c r="T163" s="212" t="s">
        <v>2905</v>
      </c>
      <c r="U163" s="475">
        <v>24000000</v>
      </c>
      <c r="V163" s="406"/>
      <c r="W163" s="362"/>
      <c r="X163" s="483">
        <v>123</v>
      </c>
      <c r="Y163" s="484">
        <v>44239</v>
      </c>
      <c r="Z163" s="484">
        <v>44239</v>
      </c>
      <c r="AA163" s="484">
        <v>44359</v>
      </c>
      <c r="AB163" s="485" t="s">
        <v>2548</v>
      </c>
      <c r="AC163" s="483">
        <v>81</v>
      </c>
      <c r="AD163" s="485">
        <v>74859637</v>
      </c>
      <c r="AE163" s="486" t="s">
        <v>2906</v>
      </c>
      <c r="AF163" s="473">
        <v>24000000</v>
      </c>
      <c r="AG163" s="474">
        <f t="shared" si="2"/>
        <v>0</v>
      </c>
      <c r="AM163" s="212"/>
    </row>
    <row r="164" spans="1:39" hidden="1" x14ac:dyDescent="0.35">
      <c r="A164" s="476" t="s">
        <v>2286</v>
      </c>
      <c r="B164" s="477">
        <v>56000000</v>
      </c>
      <c r="C164" s="212" t="s">
        <v>2544</v>
      </c>
      <c r="D164" s="212">
        <v>160</v>
      </c>
      <c r="E164" s="478">
        <v>20213000007863</v>
      </c>
      <c r="F164" s="479">
        <v>44243</v>
      </c>
      <c r="G164" s="478" t="s">
        <v>2538</v>
      </c>
      <c r="H164" s="212" t="s">
        <v>2539</v>
      </c>
      <c r="I164" s="212" t="s">
        <v>432</v>
      </c>
      <c r="J164" s="475">
        <v>56000000</v>
      </c>
      <c r="K164" s="212" t="s">
        <v>358</v>
      </c>
      <c r="L164" s="212" t="s">
        <v>2689</v>
      </c>
      <c r="M164" s="212" t="s">
        <v>44</v>
      </c>
      <c r="N164" s="212" t="s">
        <v>45</v>
      </c>
      <c r="O164" s="212" t="s">
        <v>63</v>
      </c>
      <c r="P164" s="212" t="s">
        <v>674</v>
      </c>
      <c r="R164" s="212">
        <v>241</v>
      </c>
      <c r="S164" s="479">
        <v>44243</v>
      </c>
      <c r="T164" s="212" t="s">
        <v>2907</v>
      </c>
      <c r="U164" s="475">
        <v>56000000</v>
      </c>
      <c r="V164" s="406"/>
      <c r="W164" s="362"/>
      <c r="X164" s="308">
        <v>217</v>
      </c>
      <c r="Y164" s="484">
        <v>44257</v>
      </c>
      <c r="Z164" s="484">
        <v>44257</v>
      </c>
      <c r="AA164" s="484">
        <v>44500</v>
      </c>
      <c r="AB164" s="485" t="s">
        <v>2548</v>
      </c>
      <c r="AC164" s="211">
        <v>133</v>
      </c>
      <c r="AD164" s="485" t="s">
        <v>2908</v>
      </c>
      <c r="AE164" s="486" t="s">
        <v>2909</v>
      </c>
      <c r="AF164" s="473">
        <v>56000000</v>
      </c>
      <c r="AG164" s="474">
        <f t="shared" si="2"/>
        <v>0</v>
      </c>
      <c r="AK164" s="475">
        <v>6766666</v>
      </c>
      <c r="AL164" s="475">
        <v>7000000</v>
      </c>
      <c r="AM164" s="306">
        <v>7000000</v>
      </c>
    </row>
    <row r="165" spans="1:39" hidden="1" x14ac:dyDescent="0.35">
      <c r="A165" s="476" t="s">
        <v>2337</v>
      </c>
      <c r="B165" s="477">
        <v>60000000</v>
      </c>
      <c r="C165" s="212" t="s">
        <v>2544</v>
      </c>
      <c r="D165" s="212">
        <v>161</v>
      </c>
      <c r="E165" s="478">
        <v>20211200004633</v>
      </c>
      <c r="F165" s="479">
        <v>44228</v>
      </c>
      <c r="G165" s="478" t="s">
        <v>2545</v>
      </c>
      <c r="H165" s="212" t="s">
        <v>2546</v>
      </c>
      <c r="I165" s="212" t="s">
        <v>143</v>
      </c>
      <c r="J165" s="475">
        <v>60000000</v>
      </c>
      <c r="K165" s="212" t="s">
        <v>138</v>
      </c>
      <c r="L165" s="212" t="s">
        <v>139</v>
      </c>
      <c r="M165" s="212" t="s">
        <v>44</v>
      </c>
      <c r="N165" s="212" t="s">
        <v>45</v>
      </c>
      <c r="O165" s="212" t="s">
        <v>142</v>
      </c>
      <c r="P165" s="212" t="s">
        <v>43</v>
      </c>
      <c r="R165" s="212">
        <v>166</v>
      </c>
      <c r="S165" s="479">
        <v>44228</v>
      </c>
      <c r="T165" s="212" t="s">
        <v>2910</v>
      </c>
      <c r="U165" s="475">
        <v>60000000</v>
      </c>
      <c r="V165" s="406"/>
      <c r="W165" s="362"/>
      <c r="X165" s="483">
        <v>147</v>
      </c>
      <c r="Y165" s="484">
        <v>44243</v>
      </c>
      <c r="Z165" s="484">
        <v>44243</v>
      </c>
      <c r="AA165" s="484">
        <v>44546</v>
      </c>
      <c r="AB165" s="485" t="s">
        <v>2548</v>
      </c>
      <c r="AC165" s="483">
        <v>83</v>
      </c>
      <c r="AD165" s="485">
        <v>52964083</v>
      </c>
      <c r="AE165" s="486" t="s">
        <v>2911</v>
      </c>
      <c r="AF165" s="473">
        <v>60000000</v>
      </c>
      <c r="AG165" s="474">
        <f t="shared" si="2"/>
        <v>0</v>
      </c>
      <c r="AJ165" s="475">
        <v>2600000</v>
      </c>
      <c r="AK165" s="475">
        <v>6000000</v>
      </c>
      <c r="AL165" s="475">
        <v>6000000</v>
      </c>
      <c r="AM165" s="306">
        <v>6000000</v>
      </c>
    </row>
    <row r="166" spans="1:39" s="312" customFormat="1" hidden="1" x14ac:dyDescent="0.35">
      <c r="A166" s="361" t="s">
        <v>2338</v>
      </c>
      <c r="B166" s="417">
        <v>65000000</v>
      </c>
      <c r="C166" s="312" t="s">
        <v>2544</v>
      </c>
      <c r="D166" s="312">
        <v>162</v>
      </c>
      <c r="E166" s="325">
        <v>20211200004653</v>
      </c>
      <c r="F166" s="315">
        <v>44228</v>
      </c>
      <c r="G166" s="325" t="s">
        <v>2545</v>
      </c>
      <c r="H166" s="312" t="s">
        <v>2546</v>
      </c>
      <c r="I166" s="312" t="s">
        <v>143</v>
      </c>
      <c r="J166" s="405">
        <v>32500000</v>
      </c>
      <c r="K166" s="312" t="s">
        <v>138</v>
      </c>
      <c r="L166" s="312" t="s">
        <v>139</v>
      </c>
      <c r="M166" s="312" t="s">
        <v>44</v>
      </c>
      <c r="N166" s="312" t="s">
        <v>45</v>
      </c>
      <c r="O166" s="312" t="s">
        <v>142</v>
      </c>
      <c r="P166" s="312" t="s">
        <v>43</v>
      </c>
      <c r="R166" s="312">
        <v>167</v>
      </c>
      <c r="S166" s="315">
        <v>44228</v>
      </c>
      <c r="T166" s="312" t="s">
        <v>2912</v>
      </c>
      <c r="U166" s="405">
        <f>32500000-29250000</f>
        <v>3250000</v>
      </c>
      <c r="V166" s="444">
        <v>29250000</v>
      </c>
      <c r="W166" s="398"/>
      <c r="X166" s="314">
        <v>113</v>
      </c>
      <c r="Y166" s="390">
        <v>44237</v>
      </c>
      <c r="Z166" s="390">
        <v>44237</v>
      </c>
      <c r="AA166" s="390">
        <v>44387</v>
      </c>
      <c r="AB166" s="391" t="s">
        <v>2548</v>
      </c>
      <c r="AC166" s="316">
        <v>61</v>
      </c>
      <c r="AD166" s="392">
        <v>52428475</v>
      </c>
      <c r="AE166" s="360" t="s">
        <v>2913</v>
      </c>
      <c r="AF166" s="410">
        <f>32500000-29250000</f>
        <v>3250000</v>
      </c>
      <c r="AG166" s="318">
        <f t="shared" si="2"/>
        <v>0</v>
      </c>
      <c r="AH166" s="405"/>
      <c r="AI166" s="405"/>
      <c r="AJ166" s="405"/>
      <c r="AK166" s="405"/>
      <c r="AL166" s="405"/>
      <c r="AM166" s="212"/>
    </row>
    <row r="167" spans="1:39" hidden="1" x14ac:dyDescent="0.35">
      <c r="A167" s="476" t="s">
        <v>2914</v>
      </c>
      <c r="C167" s="212" t="s">
        <v>2544</v>
      </c>
      <c r="D167" s="212">
        <v>163</v>
      </c>
      <c r="E167" s="478">
        <v>20213000004523</v>
      </c>
      <c r="F167" s="479">
        <v>44228</v>
      </c>
      <c r="G167" s="478" t="s">
        <v>2538</v>
      </c>
      <c r="H167" s="212" t="s">
        <v>2539</v>
      </c>
      <c r="I167" s="212" t="s">
        <v>432</v>
      </c>
      <c r="J167" s="475">
        <v>2800000</v>
      </c>
      <c r="K167" s="212" t="s">
        <v>358</v>
      </c>
      <c r="L167" s="212" t="s">
        <v>2689</v>
      </c>
      <c r="M167" s="212" t="s">
        <v>44</v>
      </c>
      <c r="N167" s="212" t="s">
        <v>45</v>
      </c>
      <c r="O167" s="212" t="s">
        <v>63</v>
      </c>
      <c r="P167" s="212" t="s">
        <v>674</v>
      </c>
      <c r="R167" s="212">
        <v>163</v>
      </c>
      <c r="S167" s="479">
        <v>44228</v>
      </c>
      <c r="T167" s="212" t="s">
        <v>2915</v>
      </c>
      <c r="U167" s="475">
        <v>2800000</v>
      </c>
      <c r="V167" s="406"/>
      <c r="W167" s="362"/>
      <c r="X167" s="308">
        <v>79</v>
      </c>
      <c r="Y167" s="484">
        <v>44232</v>
      </c>
      <c r="Z167" s="484">
        <v>44233</v>
      </c>
      <c r="AA167" s="484">
        <v>44260</v>
      </c>
      <c r="AB167" s="485" t="s">
        <v>2548</v>
      </c>
      <c r="AC167" s="211">
        <v>559</v>
      </c>
      <c r="AD167" s="487">
        <v>1024579339</v>
      </c>
      <c r="AE167" s="486" t="s">
        <v>2916</v>
      </c>
      <c r="AF167" s="473">
        <v>2800000</v>
      </c>
      <c r="AG167" s="474">
        <f t="shared" si="2"/>
        <v>0</v>
      </c>
      <c r="AJ167" s="475">
        <v>2800000</v>
      </c>
      <c r="AM167" s="212"/>
    </row>
    <row r="168" spans="1:39" hidden="1" x14ac:dyDescent="0.35">
      <c r="A168" s="476" t="s">
        <v>2917</v>
      </c>
      <c r="B168" s="477">
        <v>12000000</v>
      </c>
      <c r="C168" s="212" t="s">
        <v>2544</v>
      </c>
      <c r="D168" s="212">
        <v>164</v>
      </c>
      <c r="E168" s="478">
        <v>20214000004683</v>
      </c>
      <c r="F168" s="479">
        <v>44228</v>
      </c>
      <c r="G168" s="478" t="s">
        <v>2571</v>
      </c>
      <c r="H168" s="212" t="s">
        <v>2572</v>
      </c>
      <c r="I168" s="212" t="s">
        <v>117</v>
      </c>
      <c r="J168" s="475">
        <v>12000000</v>
      </c>
      <c r="K168" s="212" t="s">
        <v>112</v>
      </c>
      <c r="L168" s="212" t="s">
        <v>2573</v>
      </c>
      <c r="M168" s="212" t="s">
        <v>44</v>
      </c>
      <c r="N168" s="212" t="s">
        <v>45</v>
      </c>
      <c r="O168" s="212" t="s">
        <v>63</v>
      </c>
      <c r="P168" s="212" t="s">
        <v>43</v>
      </c>
      <c r="R168" s="212">
        <v>168</v>
      </c>
      <c r="S168" s="479">
        <v>44229</v>
      </c>
      <c r="T168" s="212" t="s">
        <v>2918</v>
      </c>
      <c r="U168" s="475">
        <v>12000000</v>
      </c>
      <c r="V168" s="406"/>
      <c r="W168" s="362"/>
      <c r="X168" s="483">
        <v>172</v>
      </c>
      <c r="Y168" s="484">
        <v>44246</v>
      </c>
      <c r="Z168" s="484">
        <v>44246</v>
      </c>
      <c r="AA168" s="484">
        <v>44366</v>
      </c>
      <c r="AB168" s="485" t="s">
        <v>2548</v>
      </c>
      <c r="AC168" s="483">
        <v>117</v>
      </c>
      <c r="AD168" s="485">
        <v>51692528</v>
      </c>
      <c r="AE168" s="486" t="s">
        <v>2919</v>
      </c>
      <c r="AF168" s="473">
        <v>12000000</v>
      </c>
      <c r="AG168" s="474">
        <f t="shared" si="2"/>
        <v>0</v>
      </c>
      <c r="AL168" s="475">
        <v>6700000</v>
      </c>
      <c r="AM168" s="306">
        <v>3000000</v>
      </c>
    </row>
    <row r="169" spans="1:39" hidden="1" x14ac:dyDescent="0.35">
      <c r="A169" s="476" t="s">
        <v>2920</v>
      </c>
      <c r="B169" s="477">
        <v>77500000</v>
      </c>
      <c r="C169" s="212" t="s">
        <v>2544</v>
      </c>
      <c r="D169" s="212">
        <v>165</v>
      </c>
      <c r="E169" s="478">
        <v>20214000004703</v>
      </c>
      <c r="F169" s="479">
        <v>44228</v>
      </c>
      <c r="G169" s="478" t="s">
        <v>2571</v>
      </c>
      <c r="H169" s="212" t="s">
        <v>2572</v>
      </c>
      <c r="I169" s="212" t="s">
        <v>117</v>
      </c>
      <c r="J169" s="475">
        <v>60000000</v>
      </c>
      <c r="K169" s="212" t="s">
        <v>112</v>
      </c>
      <c r="L169" s="212" t="s">
        <v>2573</v>
      </c>
      <c r="M169" s="212" t="s">
        <v>44</v>
      </c>
      <c r="N169" s="212" t="s">
        <v>45</v>
      </c>
      <c r="O169" s="212" t="s">
        <v>63</v>
      </c>
      <c r="P169" s="212" t="s">
        <v>43</v>
      </c>
      <c r="R169" s="212">
        <v>169</v>
      </c>
      <c r="S169" s="479">
        <v>44229</v>
      </c>
      <c r="T169" s="212" t="s">
        <v>2921</v>
      </c>
      <c r="U169" s="475">
        <v>60000000</v>
      </c>
      <c r="V169" s="406"/>
      <c r="W169" s="362"/>
      <c r="X169" s="483">
        <v>198</v>
      </c>
      <c r="Y169" s="484">
        <v>44253</v>
      </c>
      <c r="Z169" s="484">
        <v>44253</v>
      </c>
      <c r="AA169" s="484">
        <v>44495</v>
      </c>
      <c r="AB169" s="485" t="s">
        <v>2548</v>
      </c>
      <c r="AC169" s="483">
        <v>135</v>
      </c>
      <c r="AD169" s="485">
        <v>74369283</v>
      </c>
      <c r="AE169" s="486" t="s">
        <v>2922</v>
      </c>
      <c r="AF169" s="473">
        <v>60000000</v>
      </c>
      <c r="AG169" s="474">
        <f t="shared" si="2"/>
        <v>0</v>
      </c>
      <c r="AL169" s="475">
        <v>8250000</v>
      </c>
      <c r="AM169" s="212"/>
    </row>
    <row r="170" spans="1:39" hidden="1" x14ac:dyDescent="0.35">
      <c r="A170" s="476" t="s">
        <v>2923</v>
      </c>
      <c r="B170" s="477">
        <v>31000000</v>
      </c>
      <c r="C170" s="212" t="s">
        <v>2544</v>
      </c>
      <c r="D170" s="212">
        <v>166</v>
      </c>
      <c r="E170" s="478">
        <v>20214000004713</v>
      </c>
      <c r="F170" s="479">
        <v>44228</v>
      </c>
      <c r="G170" s="478" t="s">
        <v>2571</v>
      </c>
      <c r="H170" s="212" t="s">
        <v>2572</v>
      </c>
      <c r="I170" s="212" t="s">
        <v>117</v>
      </c>
      <c r="J170" s="475">
        <v>24000000</v>
      </c>
      <c r="K170" s="212" t="s">
        <v>112</v>
      </c>
      <c r="L170" s="212" t="s">
        <v>2573</v>
      </c>
      <c r="M170" s="212" t="s">
        <v>44</v>
      </c>
      <c r="N170" s="212" t="s">
        <v>45</v>
      </c>
      <c r="O170" s="212" t="s">
        <v>63</v>
      </c>
      <c r="P170" s="212" t="s">
        <v>43</v>
      </c>
      <c r="R170" s="212">
        <v>170</v>
      </c>
      <c r="S170" s="479">
        <v>44229</v>
      </c>
      <c r="T170" s="212" t="s">
        <v>2924</v>
      </c>
      <c r="U170" s="475">
        <v>24000000</v>
      </c>
      <c r="V170" s="406"/>
      <c r="W170" s="362"/>
      <c r="X170" s="483">
        <v>197</v>
      </c>
      <c r="Y170" s="484">
        <v>44253</v>
      </c>
      <c r="Z170" s="484">
        <v>44253</v>
      </c>
      <c r="AA170" s="484">
        <v>44495</v>
      </c>
      <c r="AB170" s="485" t="s">
        <v>2548</v>
      </c>
      <c r="AC170" s="483">
        <v>137</v>
      </c>
      <c r="AD170" s="485">
        <v>1022444236</v>
      </c>
      <c r="AE170" s="486" t="s">
        <v>2925</v>
      </c>
      <c r="AF170" s="473">
        <v>24000000</v>
      </c>
      <c r="AG170" s="474">
        <f t="shared" si="2"/>
        <v>0</v>
      </c>
      <c r="AL170" s="475">
        <v>6300000</v>
      </c>
      <c r="AM170" s="306">
        <v>3000000</v>
      </c>
    </row>
    <row r="171" spans="1:39" hidden="1" x14ac:dyDescent="0.35">
      <c r="A171" s="476" t="s">
        <v>2926</v>
      </c>
      <c r="B171" s="477">
        <v>58900000</v>
      </c>
      <c r="C171" s="212" t="s">
        <v>2544</v>
      </c>
      <c r="D171" s="212">
        <v>167</v>
      </c>
      <c r="E171" s="478">
        <v>20214000004603</v>
      </c>
      <c r="F171" s="479">
        <v>44228</v>
      </c>
      <c r="G171" s="478" t="s">
        <v>2571</v>
      </c>
      <c r="H171" s="212" t="s">
        <v>2572</v>
      </c>
      <c r="I171" s="212" t="s">
        <v>117</v>
      </c>
      <c r="J171" s="475">
        <v>45600000</v>
      </c>
      <c r="K171" s="212" t="s">
        <v>112</v>
      </c>
      <c r="L171" s="212" t="s">
        <v>2573</v>
      </c>
      <c r="M171" s="212" t="s">
        <v>44</v>
      </c>
      <c r="N171" s="212" t="s">
        <v>45</v>
      </c>
      <c r="O171" s="212" t="s">
        <v>63</v>
      </c>
      <c r="P171" s="212" t="s">
        <v>43</v>
      </c>
      <c r="R171" s="212">
        <v>165</v>
      </c>
      <c r="S171" s="479">
        <v>44228</v>
      </c>
      <c r="T171" s="212" t="s">
        <v>2927</v>
      </c>
      <c r="U171" s="475">
        <v>45600000</v>
      </c>
      <c r="V171" s="406"/>
      <c r="W171" s="362"/>
      <c r="X171" s="308">
        <v>218</v>
      </c>
      <c r="Y171" s="484">
        <v>44257</v>
      </c>
      <c r="Z171" s="484">
        <v>44257</v>
      </c>
      <c r="AA171" s="484">
        <v>44500</v>
      </c>
      <c r="AB171" s="485" t="s">
        <v>2548</v>
      </c>
      <c r="AC171" s="211">
        <v>160</v>
      </c>
      <c r="AD171" s="485" t="s">
        <v>2928</v>
      </c>
      <c r="AE171" s="486" t="s">
        <v>2929</v>
      </c>
      <c r="AF171" s="473">
        <v>45600000</v>
      </c>
      <c r="AG171" s="474">
        <f t="shared" si="2"/>
        <v>0</v>
      </c>
      <c r="AK171" s="475">
        <v>5320000</v>
      </c>
      <c r="AL171" s="475">
        <v>5700000</v>
      </c>
      <c r="AM171" s="306">
        <v>5700000</v>
      </c>
    </row>
    <row r="172" spans="1:39" hidden="1" x14ac:dyDescent="0.35">
      <c r="A172" s="476" t="s">
        <v>2431</v>
      </c>
      <c r="B172" s="477">
        <v>55000000</v>
      </c>
      <c r="C172" s="212" t="s">
        <v>2544</v>
      </c>
      <c r="D172" s="212">
        <v>168</v>
      </c>
      <c r="E172" s="309">
        <v>20214000008333</v>
      </c>
      <c r="F172" s="310">
        <v>44243</v>
      </c>
      <c r="G172" s="478" t="s">
        <v>2571</v>
      </c>
      <c r="H172" s="212" t="s">
        <v>2572</v>
      </c>
      <c r="I172" s="212" t="s">
        <v>117</v>
      </c>
      <c r="J172" s="475">
        <v>38500000</v>
      </c>
      <c r="K172" s="212" t="s">
        <v>112</v>
      </c>
      <c r="L172" s="212" t="s">
        <v>2573</v>
      </c>
      <c r="M172" s="212" t="s">
        <v>44</v>
      </c>
      <c r="N172" s="212" t="s">
        <v>45</v>
      </c>
      <c r="O172" s="212" t="s">
        <v>63</v>
      </c>
      <c r="P172" s="212" t="s">
        <v>43</v>
      </c>
      <c r="R172" s="486">
        <v>259</v>
      </c>
      <c r="S172" s="490">
        <v>44244</v>
      </c>
      <c r="T172" s="486" t="s">
        <v>2930</v>
      </c>
      <c r="U172" s="475">
        <v>38500000</v>
      </c>
      <c r="V172" s="406"/>
      <c r="W172" s="362"/>
      <c r="X172" s="308">
        <v>219</v>
      </c>
      <c r="Y172" s="484">
        <v>44257</v>
      </c>
      <c r="Z172" s="484">
        <v>44257</v>
      </c>
      <c r="AA172" s="484">
        <v>44469</v>
      </c>
      <c r="AB172" s="485" t="s">
        <v>2548</v>
      </c>
      <c r="AC172" s="211">
        <v>159</v>
      </c>
      <c r="AD172" s="485" t="s">
        <v>2931</v>
      </c>
      <c r="AE172" s="486" t="s">
        <v>2932</v>
      </c>
      <c r="AF172" s="473">
        <v>38500000</v>
      </c>
      <c r="AG172" s="474">
        <f t="shared" si="2"/>
        <v>0</v>
      </c>
      <c r="AK172" s="475">
        <v>5133333</v>
      </c>
      <c r="AL172" s="475">
        <v>5500000</v>
      </c>
      <c r="AM172" s="306">
        <v>5500000</v>
      </c>
    </row>
    <row r="173" spans="1:39" hidden="1" x14ac:dyDescent="0.35">
      <c r="A173" s="476" t="s">
        <v>1833</v>
      </c>
      <c r="B173" s="477">
        <v>17854947</v>
      </c>
      <c r="C173" s="212" t="s">
        <v>2544</v>
      </c>
      <c r="D173" s="212">
        <v>169</v>
      </c>
      <c r="E173" s="478">
        <v>20212000007613</v>
      </c>
      <c r="F173" s="479">
        <v>44243</v>
      </c>
      <c r="G173" s="478" t="s">
        <v>2538</v>
      </c>
      <c r="H173" s="212" t="s">
        <v>2539</v>
      </c>
      <c r="I173" s="212" t="s">
        <v>391</v>
      </c>
      <c r="J173" s="475">
        <v>15800000</v>
      </c>
      <c r="K173" s="210" t="s">
        <v>2609</v>
      </c>
      <c r="L173" s="212" t="s">
        <v>2610</v>
      </c>
      <c r="M173" s="212" t="s">
        <v>44</v>
      </c>
      <c r="N173" s="212" t="s">
        <v>45</v>
      </c>
      <c r="O173" s="212" t="s">
        <v>63</v>
      </c>
      <c r="P173" s="212" t="s">
        <v>674</v>
      </c>
      <c r="R173" s="212">
        <v>239</v>
      </c>
      <c r="S173" s="479">
        <v>44243</v>
      </c>
      <c r="T173" s="212" t="s">
        <v>2933</v>
      </c>
      <c r="U173" s="475">
        <v>15800000</v>
      </c>
      <c r="V173" s="406"/>
      <c r="W173" s="362"/>
      <c r="X173" s="308">
        <v>220</v>
      </c>
      <c r="Y173" s="484">
        <v>44257</v>
      </c>
      <c r="Z173" s="484">
        <v>44257</v>
      </c>
      <c r="AA173" s="484">
        <v>44377</v>
      </c>
      <c r="AB173" s="485" t="s">
        <v>2548</v>
      </c>
      <c r="AC173" s="211">
        <v>157</v>
      </c>
      <c r="AD173" s="485" t="s">
        <v>2934</v>
      </c>
      <c r="AE173" s="486" t="s">
        <v>2935</v>
      </c>
      <c r="AF173" s="473">
        <v>15800000</v>
      </c>
      <c r="AG173" s="474">
        <f t="shared" si="2"/>
        <v>0</v>
      </c>
      <c r="AK173" s="475">
        <v>3555000</v>
      </c>
      <c r="AL173" s="475">
        <v>3950000</v>
      </c>
      <c r="AM173" s="306">
        <v>3950000</v>
      </c>
    </row>
    <row r="174" spans="1:39" hidden="1" x14ac:dyDescent="0.35">
      <c r="A174" s="476" t="s">
        <v>2411</v>
      </c>
      <c r="B174" s="477">
        <v>33129600</v>
      </c>
      <c r="C174" s="212" t="s">
        <v>2544</v>
      </c>
      <c r="D174" s="212">
        <v>170</v>
      </c>
      <c r="E174" s="478">
        <v>20212000005163</v>
      </c>
      <c r="F174" s="479">
        <v>44229</v>
      </c>
      <c r="G174" s="478" t="s">
        <v>2538</v>
      </c>
      <c r="H174" s="212" t="s">
        <v>2539</v>
      </c>
      <c r="I174" s="212" t="s">
        <v>391</v>
      </c>
      <c r="J174" s="475">
        <v>31059000</v>
      </c>
      <c r="K174" s="210" t="s">
        <v>2609</v>
      </c>
      <c r="L174" s="212" t="s">
        <v>2610</v>
      </c>
      <c r="M174" s="212" t="s">
        <v>44</v>
      </c>
      <c r="N174" s="212" t="s">
        <v>45</v>
      </c>
      <c r="O174" s="212" t="s">
        <v>63</v>
      </c>
      <c r="P174" s="212" t="s">
        <v>674</v>
      </c>
      <c r="R174" s="212">
        <v>176</v>
      </c>
      <c r="S174" s="479">
        <v>44229</v>
      </c>
      <c r="T174" s="212" t="s">
        <v>2936</v>
      </c>
      <c r="U174" s="475">
        <f>31059000-1479000</f>
        <v>29580000</v>
      </c>
      <c r="V174" s="411">
        <v>1479000</v>
      </c>
      <c r="W174" s="397"/>
      <c r="X174" s="483">
        <v>199</v>
      </c>
      <c r="Y174" s="484">
        <v>44253</v>
      </c>
      <c r="Z174" s="484">
        <v>44253</v>
      </c>
      <c r="AA174" s="484">
        <v>44556</v>
      </c>
      <c r="AB174" s="485" t="s">
        <v>2548</v>
      </c>
      <c r="AC174" s="483">
        <v>132</v>
      </c>
      <c r="AD174" s="485" t="s">
        <v>2937</v>
      </c>
      <c r="AE174" s="486" t="s">
        <v>2938</v>
      </c>
      <c r="AF174" s="473">
        <v>29580000</v>
      </c>
      <c r="AG174" s="474">
        <f t="shared" si="2"/>
        <v>0</v>
      </c>
      <c r="AJ174" s="475">
        <v>295800</v>
      </c>
      <c r="AK174" s="475">
        <v>2958000</v>
      </c>
      <c r="AL174" s="475">
        <v>2958000</v>
      </c>
      <c r="AM174" s="306">
        <v>2958000</v>
      </c>
    </row>
    <row r="175" spans="1:39" hidden="1" x14ac:dyDescent="0.35">
      <c r="A175" s="476" t="s">
        <v>2412</v>
      </c>
      <c r="B175" s="477">
        <v>33129600</v>
      </c>
      <c r="C175" s="212" t="s">
        <v>2544</v>
      </c>
      <c r="D175" s="212">
        <v>171</v>
      </c>
      <c r="E175" s="478">
        <v>20212000005173</v>
      </c>
      <c r="F175" s="479">
        <v>44229</v>
      </c>
      <c r="G175" s="478" t="s">
        <v>2538</v>
      </c>
      <c r="H175" s="212" t="s">
        <v>2539</v>
      </c>
      <c r="I175" s="212" t="s">
        <v>391</v>
      </c>
      <c r="J175" s="475">
        <v>31059000</v>
      </c>
      <c r="K175" s="210" t="s">
        <v>2609</v>
      </c>
      <c r="L175" s="212" t="s">
        <v>2610</v>
      </c>
      <c r="M175" s="212" t="s">
        <v>44</v>
      </c>
      <c r="N175" s="212" t="s">
        <v>45</v>
      </c>
      <c r="O175" s="212" t="s">
        <v>63</v>
      </c>
      <c r="P175" s="212" t="s">
        <v>674</v>
      </c>
      <c r="R175" s="212">
        <v>177</v>
      </c>
      <c r="S175" s="479">
        <v>44229</v>
      </c>
      <c r="T175" s="212" t="s">
        <v>2939</v>
      </c>
      <c r="U175" s="475">
        <f>31059000-1479000</f>
        <v>29580000</v>
      </c>
      <c r="V175" s="411">
        <v>1479000</v>
      </c>
      <c r="W175" s="397"/>
      <c r="X175" s="483">
        <v>182</v>
      </c>
      <c r="Y175" s="484">
        <v>44250</v>
      </c>
      <c r="Z175" s="484">
        <v>44250</v>
      </c>
      <c r="AA175" s="484">
        <v>44553</v>
      </c>
      <c r="AB175" s="485" t="s">
        <v>2548</v>
      </c>
      <c r="AC175" s="483">
        <v>123</v>
      </c>
      <c r="AD175" s="485">
        <v>1030630774</v>
      </c>
      <c r="AE175" s="486" t="s">
        <v>2940</v>
      </c>
      <c r="AF175" s="473">
        <v>29580000</v>
      </c>
      <c r="AG175" s="474">
        <f t="shared" si="2"/>
        <v>0</v>
      </c>
      <c r="AJ175" s="475">
        <v>591600</v>
      </c>
      <c r="AK175" s="475">
        <v>2958000</v>
      </c>
      <c r="AL175" s="475">
        <v>2958000</v>
      </c>
      <c r="AM175" s="306">
        <v>2958000</v>
      </c>
    </row>
    <row r="176" spans="1:39" hidden="1" x14ac:dyDescent="0.35">
      <c r="A176" s="476" t="s">
        <v>2413</v>
      </c>
      <c r="B176" s="477">
        <v>33129600</v>
      </c>
      <c r="C176" s="212" t="s">
        <v>2544</v>
      </c>
      <c r="D176" s="212">
        <v>172</v>
      </c>
      <c r="E176" s="478">
        <v>20212000005183</v>
      </c>
      <c r="F176" s="479">
        <v>44229</v>
      </c>
      <c r="G176" s="478" t="s">
        <v>2538</v>
      </c>
      <c r="H176" s="212" t="s">
        <v>2539</v>
      </c>
      <c r="I176" s="212" t="s">
        <v>391</v>
      </c>
      <c r="J176" s="475">
        <v>31059000</v>
      </c>
      <c r="K176" s="210" t="s">
        <v>2609</v>
      </c>
      <c r="L176" s="212" t="s">
        <v>2610</v>
      </c>
      <c r="M176" s="212" t="s">
        <v>44</v>
      </c>
      <c r="N176" s="212" t="s">
        <v>45</v>
      </c>
      <c r="O176" s="212" t="s">
        <v>63</v>
      </c>
      <c r="P176" s="212" t="s">
        <v>674</v>
      </c>
      <c r="R176" s="212">
        <v>178</v>
      </c>
      <c r="S176" s="479">
        <v>44229</v>
      </c>
      <c r="T176" s="212" t="s">
        <v>2941</v>
      </c>
      <c r="U176" s="475">
        <f>31059000-1479000</f>
        <v>29580000</v>
      </c>
      <c r="V176" s="411">
        <v>1479000</v>
      </c>
      <c r="W176" s="397"/>
      <c r="X176" s="483">
        <v>164</v>
      </c>
      <c r="Y176" s="484">
        <v>44246</v>
      </c>
      <c r="Z176" s="484">
        <v>44246</v>
      </c>
      <c r="AA176" s="484">
        <v>44549</v>
      </c>
      <c r="AB176" s="485" t="s">
        <v>2548</v>
      </c>
      <c r="AC176" s="483">
        <v>107</v>
      </c>
      <c r="AD176" s="485">
        <v>1018456945</v>
      </c>
      <c r="AE176" s="486" t="s">
        <v>2942</v>
      </c>
      <c r="AF176" s="473">
        <v>29580000</v>
      </c>
      <c r="AG176" s="474">
        <f t="shared" si="2"/>
        <v>0</v>
      </c>
      <c r="AJ176" s="475">
        <v>690200</v>
      </c>
      <c r="AK176" s="475">
        <v>2958000</v>
      </c>
      <c r="AL176" s="475">
        <v>2958000</v>
      </c>
      <c r="AM176" s="306">
        <v>2958000</v>
      </c>
    </row>
    <row r="177" spans="1:39" hidden="1" x14ac:dyDescent="0.35">
      <c r="A177" s="476" t="s">
        <v>2943</v>
      </c>
      <c r="B177" s="477">
        <v>80000000</v>
      </c>
      <c r="C177" s="212" t="s">
        <v>2544</v>
      </c>
      <c r="D177" s="212">
        <v>173</v>
      </c>
      <c r="E177" s="478">
        <v>20214000005383</v>
      </c>
      <c r="F177" s="479">
        <v>44230</v>
      </c>
      <c r="G177" s="478" t="s">
        <v>2571</v>
      </c>
      <c r="H177" s="212" t="s">
        <v>2572</v>
      </c>
      <c r="I177" s="212" t="s">
        <v>117</v>
      </c>
      <c r="J177" s="475">
        <v>64000000</v>
      </c>
      <c r="K177" s="212" t="s">
        <v>112</v>
      </c>
      <c r="L177" s="212" t="s">
        <v>2573</v>
      </c>
      <c r="M177" s="212" t="s">
        <v>44</v>
      </c>
      <c r="N177" s="212" t="s">
        <v>45</v>
      </c>
      <c r="O177" s="212" t="s">
        <v>63</v>
      </c>
      <c r="P177" s="212" t="s">
        <v>43</v>
      </c>
      <c r="R177" s="212">
        <v>188</v>
      </c>
      <c r="S177" s="479">
        <v>44230</v>
      </c>
      <c r="T177" s="212" t="s">
        <v>2944</v>
      </c>
      <c r="U177" s="475">
        <v>64000000</v>
      </c>
      <c r="V177" s="406"/>
      <c r="W177" s="362"/>
      <c r="X177" s="308">
        <v>221</v>
      </c>
      <c r="Y177" s="484">
        <v>44257</v>
      </c>
      <c r="Z177" s="484">
        <v>44257</v>
      </c>
      <c r="AA177" s="484">
        <v>44500</v>
      </c>
      <c r="AB177" s="485" t="s">
        <v>2548</v>
      </c>
      <c r="AC177" s="211">
        <v>158</v>
      </c>
      <c r="AD177" s="485" t="s">
        <v>2945</v>
      </c>
      <c r="AE177" s="486" t="s">
        <v>2946</v>
      </c>
      <c r="AF177" s="473">
        <v>64000000</v>
      </c>
      <c r="AG177" s="474">
        <f t="shared" si="2"/>
        <v>0</v>
      </c>
      <c r="AK177" s="475">
        <v>7466666</v>
      </c>
      <c r="AL177" s="475">
        <v>8000000</v>
      </c>
      <c r="AM177" s="306">
        <v>8000000</v>
      </c>
    </row>
    <row r="178" spans="1:39" hidden="1" x14ac:dyDescent="0.35">
      <c r="A178" s="476" t="s">
        <v>2013</v>
      </c>
      <c r="B178" s="477">
        <v>28152000</v>
      </c>
      <c r="C178" s="212" t="s">
        <v>2544</v>
      </c>
      <c r="D178" s="212">
        <v>174</v>
      </c>
      <c r="E178" s="478">
        <v>20211400005073</v>
      </c>
      <c r="F178" s="479">
        <v>44230</v>
      </c>
      <c r="G178" s="478" t="s">
        <v>2545</v>
      </c>
      <c r="H178" s="212" t="s">
        <v>2546</v>
      </c>
      <c r="I178" s="212" t="s">
        <v>184</v>
      </c>
      <c r="J178" s="475">
        <v>28152000</v>
      </c>
      <c r="K178" s="212" t="s">
        <v>138</v>
      </c>
      <c r="L178" s="212" t="s">
        <v>2550</v>
      </c>
      <c r="M178" s="212" t="s">
        <v>44</v>
      </c>
      <c r="N178" s="212" t="s">
        <v>45</v>
      </c>
      <c r="O178" s="212" t="s">
        <v>142</v>
      </c>
      <c r="P178" s="212" t="s">
        <v>43</v>
      </c>
      <c r="R178" s="212">
        <v>184</v>
      </c>
      <c r="S178" s="479">
        <v>44230</v>
      </c>
      <c r="T178" s="212" t="s">
        <v>2947</v>
      </c>
      <c r="U178" s="475">
        <v>28152000</v>
      </c>
      <c r="V178" s="406"/>
      <c r="W178" s="362"/>
      <c r="X178" s="483">
        <v>135</v>
      </c>
      <c r="Y178" s="484">
        <v>44243</v>
      </c>
      <c r="Z178" s="484">
        <v>44243</v>
      </c>
      <c r="AA178" s="484">
        <v>44485</v>
      </c>
      <c r="AB178" s="485" t="s">
        <v>2548</v>
      </c>
      <c r="AC178" s="483">
        <v>84</v>
      </c>
      <c r="AD178" s="485">
        <v>1012417801</v>
      </c>
      <c r="AE178" s="486" t="s">
        <v>2948</v>
      </c>
      <c r="AF178" s="473">
        <v>28152000</v>
      </c>
      <c r="AG178" s="474">
        <f t="shared" si="2"/>
        <v>0</v>
      </c>
      <c r="AJ178" s="481">
        <v>1524900</v>
      </c>
      <c r="AK178" s="475">
        <v>3519000</v>
      </c>
      <c r="AL178" s="475">
        <v>3519000</v>
      </c>
      <c r="AM178" s="306">
        <v>3519000</v>
      </c>
    </row>
    <row r="179" spans="1:39" hidden="1" x14ac:dyDescent="0.35">
      <c r="A179" s="476" t="s">
        <v>2011</v>
      </c>
      <c r="B179" s="477">
        <v>26400000</v>
      </c>
      <c r="C179" s="212" t="s">
        <v>2544</v>
      </c>
      <c r="D179" s="212">
        <v>175</v>
      </c>
      <c r="E179" s="478">
        <v>20211400005033</v>
      </c>
      <c r="F179" s="479">
        <v>44230</v>
      </c>
      <c r="G179" s="478" t="s">
        <v>2545</v>
      </c>
      <c r="H179" s="212" t="s">
        <v>2546</v>
      </c>
      <c r="I179" s="212" t="s">
        <v>184</v>
      </c>
      <c r="J179" s="475">
        <v>26400000</v>
      </c>
      <c r="K179" s="212" t="s">
        <v>138</v>
      </c>
      <c r="L179" s="212" t="s">
        <v>2550</v>
      </c>
      <c r="M179" s="212" t="s">
        <v>44</v>
      </c>
      <c r="N179" s="212" t="s">
        <v>45</v>
      </c>
      <c r="O179" s="212" t="s">
        <v>142</v>
      </c>
      <c r="P179" s="212" t="s">
        <v>43</v>
      </c>
      <c r="R179" s="212">
        <v>181</v>
      </c>
      <c r="S179" s="479">
        <v>44230</v>
      </c>
      <c r="T179" s="212" t="s">
        <v>2949</v>
      </c>
      <c r="U179" s="475">
        <v>26400000</v>
      </c>
      <c r="V179" s="406"/>
      <c r="W179" s="362"/>
      <c r="X179" s="483">
        <v>124</v>
      </c>
      <c r="Y179" s="484">
        <v>44239</v>
      </c>
      <c r="Z179" s="484">
        <v>44239</v>
      </c>
      <c r="AA179" s="484">
        <v>44481</v>
      </c>
      <c r="AB179" s="485" t="s">
        <v>2548</v>
      </c>
      <c r="AC179" s="483">
        <v>76</v>
      </c>
      <c r="AD179" s="485">
        <v>1064977513</v>
      </c>
      <c r="AE179" s="486" t="s">
        <v>2950</v>
      </c>
      <c r="AF179" s="473">
        <v>26400000</v>
      </c>
      <c r="AG179" s="474">
        <f t="shared" si="2"/>
        <v>0</v>
      </c>
      <c r="AJ179" s="481">
        <v>1870000</v>
      </c>
      <c r="AK179" s="475">
        <v>3300000</v>
      </c>
      <c r="AL179" s="475">
        <v>3300000</v>
      </c>
      <c r="AM179" s="306">
        <v>3300000</v>
      </c>
    </row>
    <row r="180" spans="1:39" hidden="1" x14ac:dyDescent="0.35">
      <c r="A180" s="476" t="s">
        <v>2336</v>
      </c>
      <c r="B180" s="477">
        <v>43470000</v>
      </c>
      <c r="C180" s="212" t="s">
        <v>2544</v>
      </c>
      <c r="D180" s="212">
        <v>176</v>
      </c>
      <c r="E180" s="478">
        <v>20211400005083</v>
      </c>
      <c r="F180" s="479">
        <v>44230</v>
      </c>
      <c r="G180" s="478" t="s">
        <v>2545</v>
      </c>
      <c r="H180" s="212" t="s">
        <v>2546</v>
      </c>
      <c r="I180" s="212" t="s">
        <v>184</v>
      </c>
      <c r="J180" s="475">
        <v>43470000</v>
      </c>
      <c r="K180" s="212" t="s">
        <v>138</v>
      </c>
      <c r="L180" s="212" t="s">
        <v>2550</v>
      </c>
      <c r="M180" s="212" t="s">
        <v>44</v>
      </c>
      <c r="N180" s="212" t="s">
        <v>45</v>
      </c>
      <c r="O180" s="212" t="s">
        <v>142</v>
      </c>
      <c r="P180" s="212" t="s">
        <v>43</v>
      </c>
      <c r="R180" s="212">
        <v>185</v>
      </c>
      <c r="S180" s="479">
        <v>44230</v>
      </c>
      <c r="T180" s="212" t="s">
        <v>2951</v>
      </c>
      <c r="U180" s="475">
        <v>43470000</v>
      </c>
      <c r="V180" s="406"/>
      <c r="W180" s="362"/>
      <c r="X180" s="483">
        <v>183</v>
      </c>
      <c r="Y180" s="484">
        <v>44250</v>
      </c>
      <c r="Z180" s="484">
        <v>44250</v>
      </c>
      <c r="AA180" s="484">
        <v>44462</v>
      </c>
      <c r="AB180" s="485" t="s">
        <v>2548</v>
      </c>
      <c r="AC180" s="483">
        <v>121</v>
      </c>
      <c r="AD180" s="485">
        <v>80010368</v>
      </c>
      <c r="AE180" s="486" t="s">
        <v>2952</v>
      </c>
      <c r="AF180" s="473">
        <v>43470000</v>
      </c>
      <c r="AG180" s="474">
        <f t="shared" si="2"/>
        <v>0</v>
      </c>
      <c r="AK180" s="475">
        <v>7452000</v>
      </c>
      <c r="AL180" s="475">
        <v>6210000</v>
      </c>
      <c r="AM180" s="306">
        <v>6210000</v>
      </c>
    </row>
    <row r="181" spans="1:39" hidden="1" x14ac:dyDescent="0.35">
      <c r="A181" s="476" t="s">
        <v>2012</v>
      </c>
      <c r="B181" s="477">
        <v>47092500</v>
      </c>
      <c r="C181" s="212" t="s">
        <v>2544</v>
      </c>
      <c r="D181" s="212">
        <v>177</v>
      </c>
      <c r="E181" s="478">
        <v>20211400005063</v>
      </c>
      <c r="F181" s="479">
        <v>44230</v>
      </c>
      <c r="G181" s="478" t="s">
        <v>2545</v>
      </c>
      <c r="H181" s="212" t="s">
        <v>2546</v>
      </c>
      <c r="I181" s="212" t="s">
        <v>184</v>
      </c>
      <c r="J181" s="475">
        <v>47092500</v>
      </c>
      <c r="K181" s="212" t="s">
        <v>138</v>
      </c>
      <c r="L181" s="212" t="s">
        <v>2550</v>
      </c>
      <c r="M181" s="212" t="s">
        <v>44</v>
      </c>
      <c r="N181" s="212" t="s">
        <v>45</v>
      </c>
      <c r="O181" s="212" t="s">
        <v>142</v>
      </c>
      <c r="P181" s="212" t="s">
        <v>43</v>
      </c>
      <c r="R181" s="212">
        <v>183</v>
      </c>
      <c r="S181" s="479">
        <v>44230</v>
      </c>
      <c r="T181" s="212" t="s">
        <v>2953</v>
      </c>
      <c r="U181" s="475">
        <v>47092500</v>
      </c>
      <c r="V181" s="406"/>
      <c r="W181" s="362"/>
      <c r="X181" s="483">
        <v>132</v>
      </c>
      <c r="Y181" s="497">
        <v>44239</v>
      </c>
      <c r="Z181" s="497">
        <v>44239</v>
      </c>
      <c r="AA181" s="497">
        <v>44451</v>
      </c>
      <c r="AB181" s="498" t="s">
        <v>2548</v>
      </c>
      <c r="AC181" s="499">
        <v>77</v>
      </c>
      <c r="AD181" s="498">
        <v>1015995682</v>
      </c>
      <c r="AE181" s="500" t="s">
        <v>2954</v>
      </c>
      <c r="AF181" s="473">
        <v>47092500</v>
      </c>
      <c r="AG181" s="474">
        <f t="shared" si="2"/>
        <v>0</v>
      </c>
      <c r="AJ181" s="481">
        <v>3139500</v>
      </c>
      <c r="AK181" s="475">
        <v>6727500</v>
      </c>
      <c r="AL181" s="475">
        <v>6727500</v>
      </c>
      <c r="AM181" s="306">
        <v>6727500</v>
      </c>
    </row>
    <row r="182" spans="1:39" hidden="1" x14ac:dyDescent="0.35">
      <c r="A182" s="476" t="s">
        <v>2035</v>
      </c>
      <c r="B182" s="477">
        <v>38377800</v>
      </c>
      <c r="C182" s="212" t="s">
        <v>2544</v>
      </c>
      <c r="D182" s="212">
        <v>178</v>
      </c>
      <c r="E182" s="478">
        <v>20211400005093</v>
      </c>
      <c r="F182" s="479">
        <v>44230</v>
      </c>
      <c r="G182" s="478" t="s">
        <v>2545</v>
      </c>
      <c r="H182" s="212" t="s">
        <v>2546</v>
      </c>
      <c r="I182" s="212" t="s">
        <v>184</v>
      </c>
      <c r="J182" s="475">
        <v>38377800</v>
      </c>
      <c r="K182" s="212" t="s">
        <v>138</v>
      </c>
      <c r="L182" s="212" t="s">
        <v>2550</v>
      </c>
      <c r="M182" s="212" t="s">
        <v>44</v>
      </c>
      <c r="N182" s="212" t="s">
        <v>45</v>
      </c>
      <c r="O182" s="212" t="s">
        <v>142</v>
      </c>
      <c r="P182" s="212" t="s">
        <v>43</v>
      </c>
      <c r="R182" s="212">
        <v>186</v>
      </c>
      <c r="S182" s="479">
        <v>44230</v>
      </c>
      <c r="T182" s="212" t="s">
        <v>2955</v>
      </c>
      <c r="U182" s="475">
        <v>38377800</v>
      </c>
      <c r="V182" s="406"/>
      <c r="W182" s="362"/>
      <c r="X182" s="483">
        <v>145</v>
      </c>
      <c r="Y182" s="484">
        <v>44243</v>
      </c>
      <c r="Z182" s="484">
        <v>44243</v>
      </c>
      <c r="AA182" s="484">
        <v>44485</v>
      </c>
      <c r="AB182" s="485" t="s">
        <v>2548</v>
      </c>
      <c r="AC182" s="483">
        <v>95</v>
      </c>
      <c r="AD182" s="485">
        <v>36275348</v>
      </c>
      <c r="AE182" s="486" t="s">
        <v>2956</v>
      </c>
      <c r="AF182" s="473">
        <v>38377800</v>
      </c>
      <c r="AG182" s="474">
        <f t="shared" si="2"/>
        <v>0</v>
      </c>
      <c r="AJ182" s="481">
        <v>1918890</v>
      </c>
      <c r="AK182" s="475">
        <v>4797225</v>
      </c>
      <c r="AL182" s="475">
        <v>4797225</v>
      </c>
      <c r="AM182" s="306">
        <v>4797225</v>
      </c>
    </row>
    <row r="183" spans="1:39" hidden="1" x14ac:dyDescent="0.35">
      <c r="A183" s="476" t="s">
        <v>2010</v>
      </c>
      <c r="B183" s="477">
        <v>42745500</v>
      </c>
      <c r="C183" s="212" t="s">
        <v>2544</v>
      </c>
      <c r="D183" s="212">
        <v>179</v>
      </c>
      <c r="E183" s="478">
        <v>20211400005043</v>
      </c>
      <c r="F183" s="479">
        <v>44230</v>
      </c>
      <c r="G183" s="478" t="s">
        <v>2545</v>
      </c>
      <c r="H183" s="212" t="s">
        <v>2546</v>
      </c>
      <c r="I183" s="212" t="s">
        <v>184</v>
      </c>
      <c r="J183" s="475">
        <v>42745500</v>
      </c>
      <c r="K183" s="212" t="s">
        <v>138</v>
      </c>
      <c r="L183" s="212" t="s">
        <v>2550</v>
      </c>
      <c r="M183" s="212" t="s">
        <v>44</v>
      </c>
      <c r="N183" s="212" t="s">
        <v>45</v>
      </c>
      <c r="O183" s="212" t="s">
        <v>142</v>
      </c>
      <c r="P183" s="212" t="s">
        <v>43</v>
      </c>
      <c r="R183" s="212">
        <v>182</v>
      </c>
      <c r="S183" s="479">
        <v>44230</v>
      </c>
      <c r="T183" s="212" t="s">
        <v>2957</v>
      </c>
      <c r="U183" s="475">
        <v>42745500</v>
      </c>
      <c r="V183" s="406"/>
      <c r="W183" s="362"/>
      <c r="X183" s="483">
        <v>165</v>
      </c>
      <c r="Y183" s="484">
        <v>44246</v>
      </c>
      <c r="Z183" s="484">
        <v>44246</v>
      </c>
      <c r="AA183" s="484">
        <v>44458</v>
      </c>
      <c r="AB183" s="485" t="s">
        <v>2548</v>
      </c>
      <c r="AC183" s="483">
        <v>112</v>
      </c>
      <c r="AD183" s="485">
        <v>80014213</v>
      </c>
      <c r="AE183" s="486" t="s">
        <v>2958</v>
      </c>
      <c r="AF183" s="473">
        <v>42745500</v>
      </c>
      <c r="AG183" s="474">
        <f t="shared" si="2"/>
        <v>0</v>
      </c>
      <c r="AJ183" s="481">
        <v>1424850</v>
      </c>
      <c r="AK183" s="475">
        <v>6106500</v>
      </c>
      <c r="AL183" s="475">
        <v>6106500</v>
      </c>
      <c r="AM183" s="306">
        <v>6106500</v>
      </c>
    </row>
    <row r="184" spans="1:39" hidden="1" x14ac:dyDescent="0.35">
      <c r="A184" s="476" t="s">
        <v>2914</v>
      </c>
      <c r="B184" s="501" t="s">
        <v>2914</v>
      </c>
      <c r="C184" s="212" t="s">
        <v>2544</v>
      </c>
      <c r="D184" s="212">
        <v>180</v>
      </c>
      <c r="E184" s="478">
        <v>20217000005243</v>
      </c>
      <c r="F184" s="479">
        <v>44230</v>
      </c>
      <c r="G184" s="478" t="s">
        <v>2545</v>
      </c>
      <c r="H184" s="212" t="s">
        <v>2546</v>
      </c>
      <c r="I184" s="212" t="s">
        <v>164</v>
      </c>
      <c r="J184" s="475">
        <v>2633406</v>
      </c>
      <c r="K184" s="212" t="s">
        <v>138</v>
      </c>
      <c r="L184" s="212" t="s">
        <v>139</v>
      </c>
      <c r="M184" s="212" t="s">
        <v>44</v>
      </c>
      <c r="N184" s="212" t="s">
        <v>45</v>
      </c>
      <c r="O184" s="212" t="s">
        <v>142</v>
      </c>
      <c r="P184" s="212" t="s">
        <v>43</v>
      </c>
      <c r="R184" s="212">
        <v>196</v>
      </c>
      <c r="S184" s="479">
        <v>44230</v>
      </c>
      <c r="T184" s="212" t="s">
        <v>2959</v>
      </c>
      <c r="U184" s="475">
        <v>2633406</v>
      </c>
      <c r="V184" s="406"/>
      <c r="W184" s="362"/>
      <c r="X184" s="308">
        <f>VLOOKUP(R184,[3]Sheet1!$F$67:$O$130,2,0)</f>
        <v>85</v>
      </c>
      <c r="Y184" s="484">
        <v>44232</v>
      </c>
      <c r="Z184" s="484">
        <v>44233</v>
      </c>
      <c r="AA184" s="484">
        <v>44275</v>
      </c>
      <c r="AB184" s="485" t="s">
        <v>2548</v>
      </c>
      <c r="AC184" s="211">
        <v>569</v>
      </c>
      <c r="AD184" s="487">
        <v>1010118375</v>
      </c>
      <c r="AE184" s="486" t="s">
        <v>2960</v>
      </c>
      <c r="AF184" s="473">
        <v>2633406</v>
      </c>
      <c r="AG184" s="474">
        <f t="shared" si="2"/>
        <v>0</v>
      </c>
      <c r="AJ184" s="475">
        <v>1755604</v>
      </c>
      <c r="AK184" s="475">
        <v>877802</v>
      </c>
      <c r="AM184" s="212"/>
    </row>
    <row r="185" spans="1:39" hidden="1" x14ac:dyDescent="0.35">
      <c r="A185" s="476" t="s">
        <v>2265</v>
      </c>
      <c r="B185" s="477">
        <v>45500000</v>
      </c>
      <c r="C185" s="212" t="s">
        <v>2544</v>
      </c>
      <c r="D185" s="212">
        <v>181</v>
      </c>
      <c r="E185" s="478">
        <v>20214000005373</v>
      </c>
      <c r="F185" s="479">
        <v>44230</v>
      </c>
      <c r="G185" s="478" t="s">
        <v>2571</v>
      </c>
      <c r="H185" s="212" t="s">
        <v>2572</v>
      </c>
      <c r="I185" s="212" t="s">
        <v>117</v>
      </c>
      <c r="J185" s="475">
        <v>22800000</v>
      </c>
      <c r="K185" s="212" t="s">
        <v>112</v>
      </c>
      <c r="L185" s="212" t="s">
        <v>2573</v>
      </c>
      <c r="M185" s="212" t="s">
        <v>44</v>
      </c>
      <c r="N185" s="212" t="s">
        <v>45</v>
      </c>
      <c r="O185" s="212" t="s">
        <v>63</v>
      </c>
      <c r="P185" s="212" t="s">
        <v>43</v>
      </c>
      <c r="R185" s="212">
        <v>187</v>
      </c>
      <c r="S185" s="479">
        <v>44230</v>
      </c>
      <c r="T185" s="212" t="s">
        <v>2961</v>
      </c>
      <c r="U185" s="475">
        <v>22800000</v>
      </c>
      <c r="V185" s="406"/>
      <c r="W185" s="362"/>
      <c r="X185" s="483">
        <v>129</v>
      </c>
      <c r="Y185" s="484">
        <v>44239</v>
      </c>
      <c r="Z185" s="484">
        <v>44239</v>
      </c>
      <c r="AA185" s="484">
        <v>44359</v>
      </c>
      <c r="AB185" s="485" t="s">
        <v>2548</v>
      </c>
      <c r="AC185" s="483">
        <v>78</v>
      </c>
      <c r="AD185" s="485">
        <v>1053820192</v>
      </c>
      <c r="AE185" s="486" t="s">
        <v>2962</v>
      </c>
      <c r="AF185" s="473">
        <v>22800000</v>
      </c>
      <c r="AG185" s="474">
        <f t="shared" si="2"/>
        <v>0</v>
      </c>
      <c r="AJ185" s="475">
        <v>3230000</v>
      </c>
      <c r="AK185" s="475">
        <v>5700000</v>
      </c>
      <c r="AL185" s="475">
        <v>5700000</v>
      </c>
      <c r="AM185" s="306">
        <v>5700000</v>
      </c>
    </row>
    <row r="186" spans="1:39" hidden="1" x14ac:dyDescent="0.35">
      <c r="A186" s="494" t="s">
        <v>1735</v>
      </c>
      <c r="B186" s="495">
        <v>58300000</v>
      </c>
      <c r="C186" s="212" t="s">
        <v>2544</v>
      </c>
      <c r="D186" s="212">
        <v>182</v>
      </c>
      <c r="E186" s="478">
        <v>20215000006413</v>
      </c>
      <c r="F186" s="479">
        <v>44235</v>
      </c>
      <c r="G186" s="478" t="s">
        <v>2538</v>
      </c>
      <c r="H186" s="212" t="s">
        <v>2539</v>
      </c>
      <c r="I186" s="212" t="s">
        <v>228</v>
      </c>
      <c r="J186" s="475">
        <v>58300000</v>
      </c>
      <c r="K186" s="212" t="s">
        <v>223</v>
      </c>
      <c r="L186" s="212" t="s">
        <v>236</v>
      </c>
      <c r="M186" s="212" t="s">
        <v>44</v>
      </c>
      <c r="N186" s="212" t="s">
        <v>45</v>
      </c>
      <c r="O186" s="212" t="s">
        <v>63</v>
      </c>
      <c r="P186" s="212" t="s">
        <v>674</v>
      </c>
      <c r="R186" s="212">
        <v>220</v>
      </c>
      <c r="S186" s="479">
        <v>44236</v>
      </c>
      <c r="T186" s="212" t="s">
        <v>2963</v>
      </c>
      <c r="U186" s="475">
        <f>58300000-7950000</f>
        <v>50350000</v>
      </c>
      <c r="V186" s="444">
        <v>7950000</v>
      </c>
      <c r="W186" s="398"/>
      <c r="X186" s="308">
        <v>222</v>
      </c>
      <c r="Y186" s="484">
        <v>44258</v>
      </c>
      <c r="Z186" s="484">
        <v>44258</v>
      </c>
      <c r="AA186" s="484">
        <v>44545</v>
      </c>
      <c r="AB186" s="485" t="s">
        <v>2548</v>
      </c>
      <c r="AC186" s="211">
        <v>155</v>
      </c>
      <c r="AD186" s="485" t="s">
        <v>2964</v>
      </c>
      <c r="AE186" s="486" t="s">
        <v>2965</v>
      </c>
      <c r="AF186" s="473">
        <v>50350000</v>
      </c>
      <c r="AG186" s="474">
        <f t="shared" si="2"/>
        <v>0</v>
      </c>
      <c r="AK186" s="475">
        <v>4770000</v>
      </c>
      <c r="AL186" s="475">
        <v>5300000</v>
      </c>
      <c r="AM186" s="306">
        <v>5300000</v>
      </c>
    </row>
    <row r="187" spans="1:39" hidden="1" x14ac:dyDescent="0.35">
      <c r="A187" s="476" t="s">
        <v>2266</v>
      </c>
      <c r="B187" s="477">
        <v>80000000</v>
      </c>
      <c r="C187" s="212" t="s">
        <v>2544</v>
      </c>
      <c r="D187" s="212">
        <v>183</v>
      </c>
      <c r="E187" s="478">
        <v>20211200005433</v>
      </c>
      <c r="F187" s="479">
        <v>44230</v>
      </c>
      <c r="G187" s="478" t="s">
        <v>2545</v>
      </c>
      <c r="H187" s="212" t="s">
        <v>2546</v>
      </c>
      <c r="I187" s="212" t="s">
        <v>143</v>
      </c>
      <c r="J187" s="475">
        <v>80000000</v>
      </c>
      <c r="K187" s="212" t="s">
        <v>138</v>
      </c>
      <c r="L187" s="212" t="s">
        <v>139</v>
      </c>
      <c r="M187" s="212" t="s">
        <v>44</v>
      </c>
      <c r="N187" s="212" t="s">
        <v>45</v>
      </c>
      <c r="O187" s="212" t="s">
        <v>142</v>
      </c>
      <c r="P187" s="212" t="s">
        <v>43</v>
      </c>
      <c r="R187" s="212">
        <v>189</v>
      </c>
      <c r="S187" s="479">
        <v>44230</v>
      </c>
      <c r="T187" s="212" t="s">
        <v>2966</v>
      </c>
      <c r="U187" s="475">
        <v>80000000</v>
      </c>
      <c r="V187" s="406"/>
      <c r="W187" s="362"/>
      <c r="X187" s="483">
        <v>131</v>
      </c>
      <c r="Y187" s="484">
        <v>44239</v>
      </c>
      <c r="Z187" s="484">
        <v>44239</v>
      </c>
      <c r="AA187" s="484">
        <v>44542</v>
      </c>
      <c r="AB187" s="485" t="s">
        <v>2548</v>
      </c>
      <c r="AC187" s="483">
        <v>79</v>
      </c>
      <c r="AD187" s="485">
        <v>55250008</v>
      </c>
      <c r="AE187" s="486" t="s">
        <v>2967</v>
      </c>
      <c r="AF187" s="473">
        <v>80000000</v>
      </c>
      <c r="AG187" s="474">
        <f t="shared" si="2"/>
        <v>0</v>
      </c>
      <c r="AJ187" s="475">
        <v>4533333</v>
      </c>
      <c r="AK187" s="475">
        <v>8000000</v>
      </c>
      <c r="AL187" s="475">
        <v>8000000</v>
      </c>
      <c r="AM187" s="306">
        <v>8000000</v>
      </c>
    </row>
    <row r="188" spans="1:39" hidden="1" x14ac:dyDescent="0.35">
      <c r="A188" s="476" t="s">
        <v>2267</v>
      </c>
      <c r="B188" s="477">
        <v>80000000</v>
      </c>
      <c r="C188" s="212" t="s">
        <v>2544</v>
      </c>
      <c r="D188" s="212">
        <v>184</v>
      </c>
      <c r="E188" s="478">
        <v>20211200005453</v>
      </c>
      <c r="F188" s="479">
        <v>44230</v>
      </c>
      <c r="G188" s="478" t="s">
        <v>2545</v>
      </c>
      <c r="H188" s="212" t="s">
        <v>2546</v>
      </c>
      <c r="I188" s="212" t="s">
        <v>143</v>
      </c>
      <c r="J188" s="475">
        <v>80000000</v>
      </c>
      <c r="K188" s="212" t="s">
        <v>138</v>
      </c>
      <c r="L188" s="212" t="s">
        <v>139</v>
      </c>
      <c r="M188" s="212" t="s">
        <v>44</v>
      </c>
      <c r="N188" s="212" t="s">
        <v>45</v>
      </c>
      <c r="O188" s="212" t="s">
        <v>142</v>
      </c>
      <c r="P188" s="212" t="s">
        <v>43</v>
      </c>
      <c r="R188" s="212">
        <v>190</v>
      </c>
      <c r="S188" s="479">
        <v>44230</v>
      </c>
      <c r="T188" s="212" t="s">
        <v>2968</v>
      </c>
      <c r="U188" s="475">
        <v>80000000</v>
      </c>
      <c r="V188" s="406"/>
      <c r="W188" s="362"/>
      <c r="X188" s="483">
        <v>144</v>
      </c>
      <c r="Y188" s="484">
        <v>44243</v>
      </c>
      <c r="Z188" s="484">
        <v>44243</v>
      </c>
      <c r="AA188" s="484">
        <v>44546</v>
      </c>
      <c r="AB188" s="485" t="s">
        <v>2548</v>
      </c>
      <c r="AC188" s="483">
        <v>89</v>
      </c>
      <c r="AD188" s="485">
        <v>66999693</v>
      </c>
      <c r="AE188" s="486" t="s">
        <v>2969</v>
      </c>
      <c r="AF188" s="473">
        <v>80000000</v>
      </c>
      <c r="AG188" s="474">
        <f t="shared" si="2"/>
        <v>0</v>
      </c>
      <c r="AJ188" s="475">
        <v>3466666</v>
      </c>
      <c r="AK188" s="475">
        <v>8000000</v>
      </c>
      <c r="AL188" s="475">
        <v>8000000</v>
      </c>
      <c r="AM188" s="306">
        <v>8000000</v>
      </c>
    </row>
    <row r="189" spans="1:39" hidden="1" x14ac:dyDescent="0.35">
      <c r="A189" s="476" t="s">
        <v>2268</v>
      </c>
      <c r="B189" s="477">
        <v>65000000</v>
      </c>
      <c r="C189" s="212" t="s">
        <v>2544</v>
      </c>
      <c r="D189" s="212">
        <v>185</v>
      </c>
      <c r="E189" s="478">
        <v>20211200005473</v>
      </c>
      <c r="F189" s="479">
        <v>44230</v>
      </c>
      <c r="G189" s="478" t="s">
        <v>2545</v>
      </c>
      <c r="H189" s="212" t="s">
        <v>2546</v>
      </c>
      <c r="I189" s="212" t="s">
        <v>143</v>
      </c>
      <c r="J189" s="475">
        <v>65000000</v>
      </c>
      <c r="K189" s="212" t="s">
        <v>138</v>
      </c>
      <c r="L189" s="212" t="s">
        <v>139</v>
      </c>
      <c r="M189" s="212" t="s">
        <v>44</v>
      </c>
      <c r="N189" s="212" t="s">
        <v>45</v>
      </c>
      <c r="O189" s="212" t="s">
        <v>142</v>
      </c>
      <c r="P189" s="212" t="s">
        <v>43</v>
      </c>
      <c r="R189" s="212">
        <v>191</v>
      </c>
      <c r="S189" s="479">
        <v>44230</v>
      </c>
      <c r="T189" s="212" t="s">
        <v>2970</v>
      </c>
      <c r="U189" s="475">
        <v>65000000</v>
      </c>
      <c r="V189" s="406"/>
      <c r="W189" s="362"/>
      <c r="X189" s="483">
        <v>156</v>
      </c>
      <c r="Y189" s="484">
        <v>44244</v>
      </c>
      <c r="Z189" s="484">
        <v>44244</v>
      </c>
      <c r="AA189" s="484">
        <v>44547</v>
      </c>
      <c r="AB189" s="485" t="s">
        <v>2548</v>
      </c>
      <c r="AC189" s="483">
        <v>102</v>
      </c>
      <c r="AD189" s="485">
        <v>1010195421</v>
      </c>
      <c r="AE189" s="486" t="s">
        <v>2971</v>
      </c>
      <c r="AF189" s="473">
        <v>65000000</v>
      </c>
      <c r="AG189" s="474">
        <f t="shared" si="2"/>
        <v>0</v>
      </c>
      <c r="AJ189" s="475">
        <v>2383333</v>
      </c>
      <c r="AK189" s="475">
        <v>6500000</v>
      </c>
      <c r="AL189" s="475">
        <v>6500000</v>
      </c>
      <c r="AM189" s="306">
        <v>6500000</v>
      </c>
    </row>
    <row r="190" spans="1:39" hidden="1" x14ac:dyDescent="0.35">
      <c r="A190" s="476" t="s">
        <v>2270</v>
      </c>
      <c r="B190" s="477">
        <v>41337934</v>
      </c>
      <c r="C190" s="212" t="s">
        <v>2544</v>
      </c>
      <c r="D190" s="212">
        <v>186</v>
      </c>
      <c r="E190" s="478">
        <v>20211300005503</v>
      </c>
      <c r="F190" s="479">
        <v>44230</v>
      </c>
      <c r="G190" s="478" t="s">
        <v>2545</v>
      </c>
      <c r="H190" s="212" t="s">
        <v>2546</v>
      </c>
      <c r="I190" s="212" t="s">
        <v>210</v>
      </c>
      <c r="J190" s="475">
        <v>41337934</v>
      </c>
      <c r="K190" s="212" t="s">
        <v>138</v>
      </c>
      <c r="L190" s="212" t="s">
        <v>139</v>
      </c>
      <c r="M190" s="212" t="s">
        <v>44</v>
      </c>
      <c r="N190" s="212" t="s">
        <v>45</v>
      </c>
      <c r="O190" s="212" t="s">
        <v>142</v>
      </c>
      <c r="P190" s="212" t="s">
        <v>43</v>
      </c>
      <c r="R190" s="212">
        <v>192</v>
      </c>
      <c r="S190" s="479">
        <v>44230</v>
      </c>
      <c r="T190" s="212" t="s">
        <v>2972</v>
      </c>
      <c r="U190" s="475">
        <v>41337934</v>
      </c>
      <c r="V190" s="406"/>
      <c r="W190" s="362"/>
      <c r="X190" s="483">
        <v>139</v>
      </c>
      <c r="Y190" s="484">
        <v>44243</v>
      </c>
      <c r="Z190" s="484">
        <v>44243</v>
      </c>
      <c r="AA190" s="484">
        <v>44455</v>
      </c>
      <c r="AB190" s="485" t="s">
        <v>2548</v>
      </c>
      <c r="AC190" s="483">
        <v>87</v>
      </c>
      <c r="AD190" s="485">
        <v>52178572</v>
      </c>
      <c r="AE190" s="486" t="s">
        <v>2973</v>
      </c>
      <c r="AF190" s="473">
        <v>41337934</v>
      </c>
      <c r="AG190" s="474">
        <f t="shared" si="2"/>
        <v>0</v>
      </c>
      <c r="AJ190" s="475">
        <v>2362168</v>
      </c>
      <c r="AK190" s="475">
        <v>5905419</v>
      </c>
      <c r="AL190" s="475">
        <v>5905419</v>
      </c>
      <c r="AM190" s="306">
        <v>5905419</v>
      </c>
    </row>
    <row r="191" spans="1:39" hidden="1" x14ac:dyDescent="0.35">
      <c r="A191" s="476" t="s">
        <v>1991</v>
      </c>
      <c r="B191" s="477">
        <v>64900000</v>
      </c>
      <c r="C191" s="212" t="s">
        <v>2544</v>
      </c>
      <c r="D191" s="212">
        <v>187</v>
      </c>
      <c r="E191" s="309">
        <v>20215000007183</v>
      </c>
      <c r="F191" s="479">
        <v>44243</v>
      </c>
      <c r="G191" s="309" t="s">
        <v>2538</v>
      </c>
      <c r="H191" s="210" t="s">
        <v>2539</v>
      </c>
      <c r="I191" s="210" t="s">
        <v>228</v>
      </c>
      <c r="J191" s="407">
        <v>64900000</v>
      </c>
      <c r="K191" s="212" t="s">
        <v>288</v>
      </c>
      <c r="L191" s="212" t="s">
        <v>2634</v>
      </c>
      <c r="M191" s="212" t="s">
        <v>44</v>
      </c>
      <c r="N191" s="212" t="s">
        <v>45</v>
      </c>
      <c r="O191" s="212" t="s">
        <v>63</v>
      </c>
      <c r="P191" s="212" t="s">
        <v>674</v>
      </c>
      <c r="R191" s="212">
        <v>247</v>
      </c>
      <c r="S191" s="479">
        <v>44243</v>
      </c>
      <c r="T191" s="212" t="s">
        <v>2974</v>
      </c>
      <c r="U191" s="475">
        <f>64900000-8850000</f>
        <v>56050000</v>
      </c>
      <c r="V191" s="444">
        <v>8850000</v>
      </c>
      <c r="W191" s="398"/>
      <c r="X191" s="308">
        <v>223</v>
      </c>
      <c r="Y191" s="484">
        <v>44258</v>
      </c>
      <c r="Z191" s="484">
        <v>44258</v>
      </c>
      <c r="AA191" s="484">
        <v>44545</v>
      </c>
      <c r="AB191" s="485" t="s">
        <v>2548</v>
      </c>
      <c r="AC191" s="483" t="s">
        <v>2975</v>
      </c>
      <c r="AD191" s="485" t="s">
        <v>2976</v>
      </c>
      <c r="AE191" s="486" t="s">
        <v>2977</v>
      </c>
      <c r="AF191" s="473">
        <v>56050000</v>
      </c>
      <c r="AG191" s="474">
        <f t="shared" si="2"/>
        <v>0</v>
      </c>
      <c r="AK191" s="475">
        <v>5310000</v>
      </c>
      <c r="AL191" s="475">
        <v>5900000</v>
      </c>
      <c r="AM191" s="306">
        <v>5900000</v>
      </c>
    </row>
    <row r="192" spans="1:39" hidden="1" x14ac:dyDescent="0.35">
      <c r="A192" s="446" t="s">
        <v>1825</v>
      </c>
      <c r="B192" s="477">
        <v>309400000</v>
      </c>
      <c r="C192" s="212" t="s">
        <v>2978</v>
      </c>
      <c r="D192" s="212">
        <v>188</v>
      </c>
      <c r="E192" s="478">
        <v>20217000005513</v>
      </c>
      <c r="F192" s="479">
        <v>44230</v>
      </c>
      <c r="G192" s="478" t="s">
        <v>2545</v>
      </c>
      <c r="H192" s="212" t="s">
        <v>2546</v>
      </c>
      <c r="I192" s="212" t="s">
        <v>164</v>
      </c>
      <c r="J192" s="475">
        <v>105000000</v>
      </c>
      <c r="K192" s="212" t="s">
        <v>138</v>
      </c>
      <c r="L192" s="212" t="s">
        <v>139</v>
      </c>
      <c r="M192" s="212" t="s">
        <v>44</v>
      </c>
      <c r="N192" s="212" t="s">
        <v>45</v>
      </c>
      <c r="O192" s="212" t="s">
        <v>142</v>
      </c>
      <c r="P192" s="212" t="s">
        <v>43</v>
      </c>
      <c r="R192" s="212">
        <v>193</v>
      </c>
      <c r="S192" s="479">
        <v>44230</v>
      </c>
      <c r="T192" s="212" t="s">
        <v>2979</v>
      </c>
      <c r="U192" s="475">
        <v>105000000</v>
      </c>
      <c r="V192" s="406"/>
      <c r="W192" s="362"/>
      <c r="X192" s="483">
        <v>184</v>
      </c>
      <c r="Y192" s="484">
        <v>44250</v>
      </c>
      <c r="Z192" s="484">
        <v>44250</v>
      </c>
      <c r="AA192" s="484">
        <v>44553</v>
      </c>
      <c r="AB192" s="485" t="s">
        <v>2980</v>
      </c>
      <c r="AC192" s="483">
        <v>64584</v>
      </c>
      <c r="AD192" s="485">
        <v>900229503</v>
      </c>
      <c r="AE192" s="486" t="s">
        <v>2981</v>
      </c>
      <c r="AF192" s="691">
        <v>105000000</v>
      </c>
      <c r="AG192" s="474">
        <f t="shared" si="2"/>
        <v>0</v>
      </c>
      <c r="AL192" s="475">
        <v>10493743</v>
      </c>
      <c r="AM192" s="306">
        <f>9045236</f>
        <v>9045236</v>
      </c>
    </row>
    <row r="193" spans="1:50" ht="15" hidden="1" customHeight="1" x14ac:dyDescent="0.35">
      <c r="B193" s="477" t="s">
        <v>2581</v>
      </c>
      <c r="C193" s="212" t="s">
        <v>2544</v>
      </c>
      <c r="D193" s="212">
        <v>189</v>
      </c>
      <c r="E193" s="478">
        <v>20217000005583</v>
      </c>
      <c r="F193" s="479">
        <v>44230</v>
      </c>
      <c r="G193" s="478" t="s">
        <v>2545</v>
      </c>
      <c r="H193" s="212" t="s">
        <v>2546</v>
      </c>
      <c r="I193" s="212" t="s">
        <v>164</v>
      </c>
      <c r="J193" s="475">
        <v>6144620</v>
      </c>
      <c r="K193" s="212" t="s">
        <v>138</v>
      </c>
      <c r="L193" s="212" t="s">
        <v>139</v>
      </c>
      <c r="M193" s="212" t="s">
        <v>44</v>
      </c>
      <c r="N193" s="212" t="s">
        <v>45</v>
      </c>
      <c r="O193" s="212" t="s">
        <v>142</v>
      </c>
      <c r="P193" s="212" t="s">
        <v>43</v>
      </c>
      <c r="R193" s="212">
        <v>195</v>
      </c>
      <c r="S193" s="479">
        <v>44230</v>
      </c>
      <c r="T193" s="212" t="s">
        <v>2982</v>
      </c>
      <c r="U193" s="475">
        <v>6144620</v>
      </c>
      <c r="V193" s="406"/>
      <c r="W193" s="362"/>
      <c r="X193" s="483">
        <v>192</v>
      </c>
      <c r="Y193" s="484">
        <v>44252</v>
      </c>
      <c r="Z193" s="484">
        <v>44255</v>
      </c>
      <c r="AA193" s="484">
        <v>44313</v>
      </c>
      <c r="AB193" s="485" t="s">
        <v>2548</v>
      </c>
      <c r="AC193" s="483">
        <v>540</v>
      </c>
      <c r="AD193" s="485">
        <v>74858158</v>
      </c>
      <c r="AE193" s="486" t="s">
        <v>2983</v>
      </c>
      <c r="AF193" s="473">
        <v>6144620</v>
      </c>
      <c r="AG193" s="474">
        <f t="shared" si="2"/>
        <v>0</v>
      </c>
      <c r="AJ193" s="475">
        <v>3072310</v>
      </c>
      <c r="AK193" s="475">
        <v>3072310</v>
      </c>
      <c r="AM193" s="212"/>
    </row>
    <row r="194" spans="1:50" ht="15" hidden="1" customHeight="1" x14ac:dyDescent="0.35">
      <c r="A194" s="476" t="s">
        <v>2377</v>
      </c>
      <c r="B194" s="477">
        <v>58300000</v>
      </c>
      <c r="C194" s="212" t="s">
        <v>2544</v>
      </c>
      <c r="D194" s="212">
        <v>190</v>
      </c>
      <c r="E194" s="478">
        <v>20215000007263</v>
      </c>
      <c r="F194" s="479">
        <v>44239</v>
      </c>
      <c r="G194" s="478" t="s">
        <v>2538</v>
      </c>
      <c r="H194" s="212" t="s">
        <v>2539</v>
      </c>
      <c r="I194" s="212" t="s">
        <v>228</v>
      </c>
      <c r="J194" s="475">
        <v>58300000</v>
      </c>
      <c r="K194" s="212" t="s">
        <v>223</v>
      </c>
      <c r="L194" s="212" t="s">
        <v>236</v>
      </c>
      <c r="M194" s="212" t="s">
        <v>44</v>
      </c>
      <c r="N194" s="212" t="s">
        <v>45</v>
      </c>
      <c r="O194" s="671" t="s">
        <v>46</v>
      </c>
      <c r="P194" s="672" t="s">
        <v>674</v>
      </c>
      <c r="Q194" s="672"/>
      <c r="R194" s="672">
        <v>235</v>
      </c>
      <c r="S194" s="673">
        <v>44242</v>
      </c>
      <c r="T194" s="672" t="s">
        <v>2984</v>
      </c>
      <c r="U194" s="674">
        <f>58300000-20300000</f>
        <v>38000000</v>
      </c>
      <c r="V194" s="444">
        <v>20300000</v>
      </c>
      <c r="W194" s="398"/>
      <c r="X194" s="308">
        <v>224</v>
      </c>
      <c r="Y194" s="484">
        <v>44258</v>
      </c>
      <c r="Z194" s="484">
        <v>44258</v>
      </c>
      <c r="AA194" s="484">
        <v>44545</v>
      </c>
      <c r="AB194" s="485" t="s">
        <v>2548</v>
      </c>
      <c r="AC194" s="211">
        <v>154</v>
      </c>
      <c r="AD194" s="485" t="s">
        <v>2985</v>
      </c>
      <c r="AE194" s="360" t="s">
        <v>2986</v>
      </c>
      <c r="AF194" s="473">
        <v>38000000</v>
      </c>
      <c r="AG194" s="474">
        <f t="shared" ref="AG194:AG253" si="3">+U194-AF194</f>
        <v>0</v>
      </c>
      <c r="AK194" s="475">
        <v>3733333</v>
      </c>
      <c r="AL194" s="475">
        <v>4000000</v>
      </c>
      <c r="AM194" s="306">
        <v>4000000</v>
      </c>
    </row>
    <row r="195" spans="1:50" ht="15" hidden="1" customHeight="1" x14ac:dyDescent="0.35">
      <c r="A195" s="494" t="s">
        <v>2042</v>
      </c>
      <c r="B195" s="495">
        <v>24000000</v>
      </c>
      <c r="C195" s="502" t="s">
        <v>2544</v>
      </c>
      <c r="D195" s="212">
        <v>191</v>
      </c>
      <c r="E195" s="478">
        <v>20213000005693</v>
      </c>
      <c r="F195" s="479">
        <v>44231</v>
      </c>
      <c r="G195" s="478" t="s">
        <v>2538</v>
      </c>
      <c r="H195" s="212" t="s">
        <v>2539</v>
      </c>
      <c r="I195" s="212" t="s">
        <v>432</v>
      </c>
      <c r="J195" s="475">
        <v>24000000</v>
      </c>
      <c r="K195" s="212" t="s">
        <v>358</v>
      </c>
      <c r="L195" s="212" t="s">
        <v>2689</v>
      </c>
      <c r="M195" s="212" t="s">
        <v>44</v>
      </c>
      <c r="N195" s="212" t="s">
        <v>45</v>
      </c>
      <c r="O195" s="212" t="s">
        <v>63</v>
      </c>
      <c r="P195" s="212" t="s">
        <v>674</v>
      </c>
      <c r="R195" s="212">
        <v>198</v>
      </c>
      <c r="S195" s="479">
        <v>44231</v>
      </c>
      <c r="T195" s="212" t="s">
        <v>2987</v>
      </c>
      <c r="U195" s="475">
        <v>24000000</v>
      </c>
      <c r="V195" s="406"/>
      <c r="W195" s="362"/>
      <c r="X195" s="483">
        <v>148</v>
      </c>
      <c r="Y195" s="484">
        <v>44243</v>
      </c>
      <c r="Z195" s="484">
        <v>44243</v>
      </c>
      <c r="AA195" s="484">
        <v>44485</v>
      </c>
      <c r="AB195" s="485" t="s">
        <v>2548</v>
      </c>
      <c r="AC195" s="483">
        <v>98</v>
      </c>
      <c r="AD195" s="485">
        <v>1024535595</v>
      </c>
      <c r="AE195" s="486" t="s">
        <v>2988</v>
      </c>
      <c r="AF195" s="473">
        <v>24000000</v>
      </c>
      <c r="AG195" s="474">
        <f t="shared" si="3"/>
        <v>0</v>
      </c>
      <c r="AL195" s="475">
        <v>1100000</v>
      </c>
      <c r="AM195" s="306">
        <v>3000000</v>
      </c>
    </row>
    <row r="196" spans="1:50" ht="15" hidden="1" customHeight="1" x14ac:dyDescent="0.35">
      <c r="A196" s="494" t="s">
        <v>2043</v>
      </c>
      <c r="B196" s="495">
        <v>56000000</v>
      </c>
      <c r="C196" s="212" t="s">
        <v>2544</v>
      </c>
      <c r="D196" s="478">
        <v>192</v>
      </c>
      <c r="E196" s="478">
        <v>20213000005703</v>
      </c>
      <c r="F196" s="479">
        <v>44231</v>
      </c>
      <c r="G196" s="478" t="s">
        <v>2538</v>
      </c>
      <c r="H196" s="212" t="s">
        <v>2539</v>
      </c>
      <c r="I196" s="212" t="s">
        <v>432</v>
      </c>
      <c r="J196" s="475">
        <v>56000000</v>
      </c>
      <c r="K196" s="212" t="s">
        <v>358</v>
      </c>
      <c r="L196" s="212" t="s">
        <v>2689</v>
      </c>
      <c r="M196" s="212" t="s">
        <v>44</v>
      </c>
      <c r="N196" s="212" t="s">
        <v>45</v>
      </c>
      <c r="O196" s="212" t="s">
        <v>63</v>
      </c>
      <c r="P196" s="212" t="s">
        <v>674</v>
      </c>
      <c r="R196" s="212">
        <v>199</v>
      </c>
      <c r="S196" s="479">
        <v>44231</v>
      </c>
      <c r="T196" s="212" t="s">
        <v>2989</v>
      </c>
      <c r="U196" s="475">
        <f>56000000-1488440</f>
        <v>54511560</v>
      </c>
      <c r="V196" s="411">
        <v>1488440</v>
      </c>
      <c r="W196" s="397"/>
      <c r="X196" s="483">
        <v>190</v>
      </c>
      <c r="Y196" s="484">
        <v>44252</v>
      </c>
      <c r="Z196" s="484">
        <v>44252</v>
      </c>
      <c r="AA196" s="484">
        <v>44494</v>
      </c>
      <c r="AB196" s="485" t="s">
        <v>2548</v>
      </c>
      <c r="AC196" s="483">
        <v>127</v>
      </c>
      <c r="AD196" s="485">
        <v>34546695</v>
      </c>
      <c r="AE196" s="486" t="s">
        <v>2990</v>
      </c>
      <c r="AF196" s="473">
        <v>54511560</v>
      </c>
      <c r="AG196" s="474">
        <f t="shared" si="3"/>
        <v>0</v>
      </c>
      <c r="AJ196" s="475">
        <v>681395</v>
      </c>
      <c r="AK196" s="475">
        <v>6813945</v>
      </c>
      <c r="AL196" s="475">
        <v>6813945</v>
      </c>
      <c r="AM196" s="306">
        <v>6813945</v>
      </c>
    </row>
    <row r="197" spans="1:50" ht="15" hidden="1" customHeight="1" x14ac:dyDescent="0.35">
      <c r="A197" s="476" t="s">
        <v>2148</v>
      </c>
      <c r="B197" s="477">
        <v>58128384</v>
      </c>
      <c r="C197" s="212" t="s">
        <v>2544</v>
      </c>
      <c r="D197" s="478">
        <v>193</v>
      </c>
      <c r="E197" s="309">
        <v>20217000008343</v>
      </c>
      <c r="F197" s="479">
        <v>44243</v>
      </c>
      <c r="G197" s="478" t="s">
        <v>2545</v>
      </c>
      <c r="H197" s="212" t="s">
        <v>2546</v>
      </c>
      <c r="I197" s="212" t="s">
        <v>164</v>
      </c>
      <c r="J197" s="475">
        <v>28000000</v>
      </c>
      <c r="K197" s="212" t="s">
        <v>138</v>
      </c>
      <c r="L197" s="212" t="s">
        <v>139</v>
      </c>
      <c r="M197" s="212" t="s">
        <v>44</v>
      </c>
      <c r="N197" s="212" t="s">
        <v>45</v>
      </c>
      <c r="O197" s="212" t="s">
        <v>142</v>
      </c>
      <c r="P197" s="212" t="s">
        <v>43</v>
      </c>
      <c r="R197" s="212">
        <v>260</v>
      </c>
      <c r="S197" s="479">
        <v>44244</v>
      </c>
      <c r="T197" s="212" t="s">
        <v>2991</v>
      </c>
      <c r="U197" s="475">
        <v>28000000</v>
      </c>
      <c r="V197" s="406"/>
      <c r="W197" s="362"/>
      <c r="X197" s="308">
        <v>225</v>
      </c>
      <c r="Y197" s="484">
        <v>44258</v>
      </c>
      <c r="Z197" s="484">
        <v>44258</v>
      </c>
      <c r="AA197" s="484">
        <v>44380</v>
      </c>
      <c r="AB197" s="485" t="s">
        <v>2548</v>
      </c>
      <c r="AC197" s="211">
        <v>148</v>
      </c>
      <c r="AD197" s="485" t="s">
        <v>2992</v>
      </c>
      <c r="AE197" s="486" t="s">
        <v>2993</v>
      </c>
      <c r="AF197" s="473">
        <v>28000000</v>
      </c>
      <c r="AG197" s="474">
        <f t="shared" si="3"/>
        <v>0</v>
      </c>
      <c r="AK197" s="475">
        <v>6766667</v>
      </c>
      <c r="AL197" s="475">
        <v>7000000</v>
      </c>
      <c r="AM197" s="306">
        <v>7000000</v>
      </c>
    </row>
    <row r="198" spans="1:50" ht="15" hidden="1" customHeight="1" x14ac:dyDescent="0.35">
      <c r="A198" s="494" t="s">
        <v>2419</v>
      </c>
      <c r="B198" s="495">
        <v>56000000</v>
      </c>
      <c r="C198" s="212" t="s">
        <v>2544</v>
      </c>
      <c r="D198" s="478">
        <v>194</v>
      </c>
      <c r="E198" s="478">
        <v>20213000005723</v>
      </c>
      <c r="F198" s="479">
        <v>44231</v>
      </c>
      <c r="G198" s="478" t="s">
        <v>2538</v>
      </c>
      <c r="H198" s="212" t="s">
        <v>2539</v>
      </c>
      <c r="I198" s="212" t="s">
        <v>432</v>
      </c>
      <c r="J198" s="475">
        <v>56000000</v>
      </c>
      <c r="K198" s="212" t="s">
        <v>358</v>
      </c>
      <c r="L198" s="212" t="s">
        <v>2689</v>
      </c>
      <c r="M198" s="212" t="s">
        <v>44</v>
      </c>
      <c r="N198" s="212" t="s">
        <v>45</v>
      </c>
      <c r="O198" s="212" t="s">
        <v>63</v>
      </c>
      <c r="P198" s="212" t="s">
        <v>674</v>
      </c>
      <c r="R198" s="212">
        <v>201</v>
      </c>
      <c r="S198" s="479">
        <v>44231</v>
      </c>
      <c r="T198" s="212" t="s">
        <v>2994</v>
      </c>
      <c r="U198" s="475">
        <f>56000000-1600000</f>
        <v>54400000</v>
      </c>
      <c r="V198" s="406">
        <v>1600000</v>
      </c>
      <c r="W198" s="362"/>
      <c r="X198" s="483" t="s">
        <v>2995</v>
      </c>
      <c r="Y198" s="484">
        <v>44298</v>
      </c>
      <c r="Z198" s="484">
        <v>44298</v>
      </c>
      <c r="AA198" s="484">
        <v>44542</v>
      </c>
      <c r="AB198" s="485" t="s">
        <v>2548</v>
      </c>
      <c r="AC198" s="483" t="s">
        <v>2996</v>
      </c>
      <c r="AD198" s="485" t="s">
        <v>2997</v>
      </c>
      <c r="AE198" s="486" t="s">
        <v>2998</v>
      </c>
      <c r="AF198" s="473">
        <v>54400000</v>
      </c>
      <c r="AG198" s="474">
        <f t="shared" si="3"/>
        <v>0</v>
      </c>
      <c r="AL198" s="475">
        <v>4080000</v>
      </c>
      <c r="AM198" s="306">
        <v>6800000</v>
      </c>
    </row>
    <row r="199" spans="1:50" ht="15" hidden="1" customHeight="1" x14ac:dyDescent="0.35">
      <c r="A199" s="494" t="s">
        <v>2050</v>
      </c>
      <c r="B199" s="495">
        <v>44000000</v>
      </c>
      <c r="C199" s="212" t="s">
        <v>2544</v>
      </c>
      <c r="D199" s="478">
        <v>195</v>
      </c>
      <c r="E199" s="478">
        <v>20213000005753</v>
      </c>
      <c r="F199" s="479">
        <v>44231</v>
      </c>
      <c r="G199" s="478" t="s">
        <v>2538</v>
      </c>
      <c r="H199" s="212" t="s">
        <v>2539</v>
      </c>
      <c r="I199" s="212" t="s">
        <v>432</v>
      </c>
      <c r="J199" s="475">
        <v>41300000</v>
      </c>
      <c r="K199" s="212" t="s">
        <v>358</v>
      </c>
      <c r="L199" s="212" t="s">
        <v>2689</v>
      </c>
      <c r="M199" s="212" t="s">
        <v>44</v>
      </c>
      <c r="N199" s="212" t="s">
        <v>45</v>
      </c>
      <c r="O199" s="212" t="s">
        <v>63</v>
      </c>
      <c r="P199" s="212" t="s">
        <v>674</v>
      </c>
      <c r="R199" s="212">
        <v>202</v>
      </c>
      <c r="S199" s="479">
        <v>44231</v>
      </c>
      <c r="T199" s="212" t="s">
        <v>2999</v>
      </c>
      <c r="U199" s="475">
        <v>41300000</v>
      </c>
      <c r="V199" s="406"/>
      <c r="W199" s="362"/>
      <c r="X199" s="483">
        <v>141</v>
      </c>
      <c r="Y199" s="484">
        <v>44243</v>
      </c>
      <c r="Z199" s="484">
        <v>44243</v>
      </c>
      <c r="AA199" s="484">
        <v>44455</v>
      </c>
      <c r="AB199" s="485" t="s">
        <v>2548</v>
      </c>
      <c r="AC199" s="483">
        <v>90</v>
      </c>
      <c r="AD199" s="485">
        <v>93130090</v>
      </c>
      <c r="AE199" s="486" t="s">
        <v>3000</v>
      </c>
      <c r="AF199" s="473">
        <v>41300000</v>
      </c>
      <c r="AG199" s="474">
        <f t="shared" si="3"/>
        <v>0</v>
      </c>
      <c r="AJ199" s="475">
        <v>2360000</v>
      </c>
      <c r="AK199" s="475">
        <v>5900000</v>
      </c>
      <c r="AL199" s="475">
        <v>5900000</v>
      </c>
      <c r="AM199" s="306">
        <v>5900000</v>
      </c>
    </row>
    <row r="200" spans="1:50" ht="15" hidden="1" customHeight="1" x14ac:dyDescent="0.35">
      <c r="B200" s="477" t="s">
        <v>3001</v>
      </c>
      <c r="C200" s="212" t="s">
        <v>3002</v>
      </c>
      <c r="D200" s="478">
        <v>196</v>
      </c>
      <c r="E200" s="309">
        <v>20217000009023</v>
      </c>
      <c r="F200" s="479">
        <v>44245</v>
      </c>
      <c r="G200" s="478" t="s">
        <v>2545</v>
      </c>
      <c r="H200" s="212" t="s">
        <v>2546</v>
      </c>
      <c r="I200" s="212" t="s">
        <v>164</v>
      </c>
      <c r="J200" s="473">
        <v>1800000</v>
      </c>
      <c r="K200" s="212" t="s">
        <v>138</v>
      </c>
      <c r="L200" s="212" t="s">
        <v>139</v>
      </c>
      <c r="M200" s="212" t="s">
        <v>44</v>
      </c>
      <c r="N200" s="212" t="s">
        <v>45</v>
      </c>
      <c r="O200" s="212" t="s">
        <v>142</v>
      </c>
      <c r="P200" s="212" t="s">
        <v>43</v>
      </c>
      <c r="R200" s="486">
        <v>275</v>
      </c>
      <c r="S200" s="490">
        <v>44246</v>
      </c>
      <c r="T200" s="486" t="s">
        <v>3003</v>
      </c>
      <c r="U200" s="475">
        <v>1800000</v>
      </c>
      <c r="V200" s="406"/>
      <c r="W200" s="362"/>
      <c r="X200" s="308">
        <v>226</v>
      </c>
      <c r="Y200" s="484">
        <v>44258</v>
      </c>
      <c r="Z200" s="484">
        <v>44258</v>
      </c>
      <c r="AA200" s="484">
        <v>44286</v>
      </c>
      <c r="AB200" s="485" t="s">
        <v>3004</v>
      </c>
      <c r="AC200" s="211">
        <v>66</v>
      </c>
      <c r="AD200" s="485" t="s">
        <v>3005</v>
      </c>
      <c r="AE200" s="486" t="s">
        <v>3006</v>
      </c>
      <c r="AF200" s="473">
        <v>1800000</v>
      </c>
      <c r="AG200" s="474">
        <f t="shared" si="3"/>
        <v>0</v>
      </c>
      <c r="AK200" s="475">
        <v>255900</v>
      </c>
      <c r="AL200" s="475">
        <v>782500</v>
      </c>
      <c r="AM200" s="306">
        <v>55400</v>
      </c>
    </row>
    <row r="201" spans="1:50" s="312" customFormat="1" ht="15" hidden="1" customHeight="1" x14ac:dyDescent="0.35">
      <c r="A201" s="476" t="s">
        <v>2476</v>
      </c>
      <c r="B201" s="477">
        <v>18800000</v>
      </c>
      <c r="C201" s="212" t="s">
        <v>2660</v>
      </c>
      <c r="D201" s="311">
        <v>197</v>
      </c>
      <c r="E201" s="309">
        <v>20214000008303</v>
      </c>
      <c r="F201" s="310">
        <v>44243</v>
      </c>
      <c r="G201" s="478" t="s">
        <v>2578</v>
      </c>
      <c r="H201" s="212" t="s">
        <v>2579</v>
      </c>
      <c r="I201" s="212" t="s">
        <v>47</v>
      </c>
      <c r="J201" s="475">
        <v>18800000</v>
      </c>
      <c r="K201" s="212" t="s">
        <v>37</v>
      </c>
      <c r="L201" s="212" t="s">
        <v>2580</v>
      </c>
      <c r="M201" s="212" t="s">
        <v>44</v>
      </c>
      <c r="N201" s="212" t="s">
        <v>45</v>
      </c>
      <c r="O201" s="212" t="s">
        <v>310</v>
      </c>
      <c r="P201" s="212" t="s">
        <v>43</v>
      </c>
      <c r="Q201" s="212"/>
      <c r="R201" s="212">
        <v>254</v>
      </c>
      <c r="S201" s="479">
        <v>44244</v>
      </c>
      <c r="T201" s="212" t="s">
        <v>3007</v>
      </c>
      <c r="U201" s="475">
        <v>18800000</v>
      </c>
      <c r="V201" s="406"/>
      <c r="W201" s="362"/>
      <c r="X201" s="308">
        <v>227</v>
      </c>
      <c r="Y201" s="484">
        <v>44259</v>
      </c>
      <c r="Z201" s="484">
        <v>44259</v>
      </c>
      <c r="AA201" s="484">
        <v>44381</v>
      </c>
      <c r="AB201" s="485" t="s">
        <v>2548</v>
      </c>
      <c r="AC201" s="211">
        <v>146</v>
      </c>
      <c r="AD201" s="485" t="s">
        <v>3008</v>
      </c>
      <c r="AE201" s="486" t="s">
        <v>3009</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x14ac:dyDescent="0.35">
      <c r="A202" s="494" t="s">
        <v>3010</v>
      </c>
      <c r="B202" s="495">
        <v>64000000</v>
      </c>
      <c r="C202" s="212" t="s">
        <v>2544</v>
      </c>
      <c r="D202" s="478">
        <v>198</v>
      </c>
      <c r="E202" s="478">
        <v>20213000006133</v>
      </c>
      <c r="F202" s="479">
        <v>44235</v>
      </c>
      <c r="G202" s="478" t="s">
        <v>2538</v>
      </c>
      <c r="H202" s="212" t="s">
        <v>2539</v>
      </c>
      <c r="I202" s="212" t="s">
        <v>432</v>
      </c>
      <c r="J202" s="475">
        <v>64000000</v>
      </c>
      <c r="K202" s="212" t="s">
        <v>358</v>
      </c>
      <c r="L202" s="212" t="s">
        <v>2689</v>
      </c>
      <c r="M202" s="212" t="s">
        <v>44</v>
      </c>
      <c r="N202" s="212" t="s">
        <v>45</v>
      </c>
      <c r="O202" s="212" t="s">
        <v>63</v>
      </c>
      <c r="P202" s="212" t="s">
        <v>674</v>
      </c>
      <c r="R202" s="212">
        <v>209</v>
      </c>
      <c r="S202" s="479">
        <v>44235</v>
      </c>
      <c r="T202" s="212" t="s">
        <v>3011</v>
      </c>
      <c r="U202" s="475">
        <v>64000000</v>
      </c>
      <c r="V202" s="406"/>
      <c r="W202" s="362"/>
      <c r="X202" s="483">
        <v>167</v>
      </c>
      <c r="Y202" s="484">
        <v>44246</v>
      </c>
      <c r="Z202" s="484">
        <v>44246</v>
      </c>
      <c r="AA202" s="484">
        <v>44488</v>
      </c>
      <c r="AB202" s="485" t="s">
        <v>2548</v>
      </c>
      <c r="AC202" s="483">
        <v>113</v>
      </c>
      <c r="AD202" s="485">
        <v>79381983</v>
      </c>
      <c r="AE202" s="486" t="s">
        <v>3012</v>
      </c>
      <c r="AF202" s="473">
        <v>64000000</v>
      </c>
      <c r="AG202" s="474">
        <f t="shared" si="3"/>
        <v>0</v>
      </c>
      <c r="AJ202" s="475">
        <v>1866667</v>
      </c>
      <c r="AK202" s="475">
        <v>8000000</v>
      </c>
      <c r="AL202" s="475">
        <v>8000000</v>
      </c>
      <c r="AM202" s="306">
        <v>8000000</v>
      </c>
    </row>
    <row r="203" spans="1:50" ht="15" hidden="1" customHeight="1" x14ac:dyDescent="0.35">
      <c r="A203" s="494" t="s">
        <v>2285</v>
      </c>
      <c r="B203" s="495">
        <v>32706936</v>
      </c>
      <c r="C203" s="212" t="s">
        <v>2660</v>
      </c>
      <c r="D203" s="478">
        <v>199</v>
      </c>
      <c r="E203" s="478">
        <v>20213000006153</v>
      </c>
      <c r="F203" s="479">
        <v>44235</v>
      </c>
      <c r="G203" s="478" t="s">
        <v>2538</v>
      </c>
      <c r="H203" s="212" t="s">
        <v>2539</v>
      </c>
      <c r="I203" s="212" t="s">
        <v>432</v>
      </c>
      <c r="J203" s="475">
        <v>32706936</v>
      </c>
      <c r="K203" s="212" t="s">
        <v>358</v>
      </c>
      <c r="L203" s="212" t="s">
        <v>2689</v>
      </c>
      <c r="M203" s="212" t="s">
        <v>44</v>
      </c>
      <c r="N203" s="212" t="s">
        <v>45</v>
      </c>
      <c r="O203" s="212" t="s">
        <v>63</v>
      </c>
      <c r="P203" s="212" t="s">
        <v>674</v>
      </c>
      <c r="R203" s="212">
        <v>210</v>
      </c>
      <c r="S203" s="479">
        <v>44235</v>
      </c>
      <c r="T203" s="212" t="s">
        <v>3013</v>
      </c>
      <c r="U203" s="475">
        <v>32706936</v>
      </c>
      <c r="V203" s="406"/>
      <c r="W203" s="362"/>
      <c r="X203" s="483">
        <v>154</v>
      </c>
      <c r="Y203" s="484">
        <v>44244</v>
      </c>
      <c r="Z203" s="484">
        <v>44244</v>
      </c>
      <c r="AA203" s="484">
        <v>44486</v>
      </c>
      <c r="AB203" s="485" t="s">
        <v>2548</v>
      </c>
      <c r="AC203" s="483">
        <v>105</v>
      </c>
      <c r="AD203" s="485">
        <v>1032446801</v>
      </c>
      <c r="AE203" s="486" t="s">
        <v>3014</v>
      </c>
      <c r="AF203" s="473">
        <v>32706936</v>
      </c>
      <c r="AG203" s="474">
        <f t="shared" si="3"/>
        <v>0</v>
      </c>
      <c r="AJ203" s="475">
        <v>1362789</v>
      </c>
      <c r="AK203" s="475">
        <v>4088367</v>
      </c>
      <c r="AL203" s="475">
        <v>4088367</v>
      </c>
      <c r="AM203" s="212"/>
    </row>
    <row r="204" spans="1:50" ht="15" hidden="1" customHeight="1" x14ac:dyDescent="0.35">
      <c r="A204" s="494" t="s">
        <v>2069</v>
      </c>
      <c r="B204" s="495">
        <v>39600000</v>
      </c>
      <c r="C204" s="212" t="s">
        <v>2544</v>
      </c>
      <c r="D204" s="478">
        <v>200</v>
      </c>
      <c r="E204" s="478">
        <v>20215000002853</v>
      </c>
      <c r="F204" s="479">
        <v>44235</v>
      </c>
      <c r="G204" s="478" t="s">
        <v>2538</v>
      </c>
      <c r="H204" s="212" t="s">
        <v>2539</v>
      </c>
      <c r="I204" s="212" t="s">
        <v>228</v>
      </c>
      <c r="J204" s="475">
        <v>39600000</v>
      </c>
      <c r="K204" s="212" t="s">
        <v>223</v>
      </c>
      <c r="L204" s="212" t="s">
        <v>236</v>
      </c>
      <c r="M204" s="212" t="s">
        <v>44</v>
      </c>
      <c r="N204" s="212" t="s">
        <v>45</v>
      </c>
      <c r="O204" s="212" t="s">
        <v>63</v>
      </c>
      <c r="P204" s="212" t="s">
        <v>674</v>
      </c>
      <c r="R204" s="212">
        <v>205</v>
      </c>
      <c r="S204" s="479">
        <v>44235</v>
      </c>
      <c r="T204" s="212" t="s">
        <v>3015</v>
      </c>
      <c r="U204" s="475">
        <f>39600000-14100000</f>
        <v>25500000</v>
      </c>
      <c r="V204" s="406">
        <v>14100000</v>
      </c>
      <c r="W204" s="362"/>
      <c r="X204" s="483" t="s">
        <v>3016</v>
      </c>
      <c r="Y204" s="484">
        <v>44298</v>
      </c>
      <c r="Z204" s="484">
        <v>44298</v>
      </c>
      <c r="AA204" s="484">
        <v>44561</v>
      </c>
      <c r="AB204" s="485" t="s">
        <v>2548</v>
      </c>
      <c r="AC204" s="483" t="s">
        <v>3017</v>
      </c>
      <c r="AD204" s="485" t="s">
        <v>3018</v>
      </c>
      <c r="AE204" s="486" t="s">
        <v>3019</v>
      </c>
      <c r="AF204" s="473">
        <v>25500000</v>
      </c>
      <c r="AG204" s="474">
        <f t="shared" si="3"/>
        <v>0</v>
      </c>
      <c r="AL204" s="475">
        <v>1900000</v>
      </c>
      <c r="AM204" s="306">
        <v>3000000</v>
      </c>
    </row>
    <row r="205" spans="1:50" s="312" customFormat="1" ht="15" hidden="1" customHeight="1" x14ac:dyDescent="0.35">
      <c r="A205" s="503" t="s">
        <v>3020</v>
      </c>
      <c r="B205" s="418">
        <v>55000000</v>
      </c>
      <c r="C205" s="312" t="s">
        <v>2544</v>
      </c>
      <c r="D205" s="325">
        <v>201</v>
      </c>
      <c r="E205" s="325">
        <v>20215000002923</v>
      </c>
      <c r="F205" s="315">
        <v>44235</v>
      </c>
      <c r="G205" s="325" t="s">
        <v>2538</v>
      </c>
      <c r="H205" s="312" t="s">
        <v>2539</v>
      </c>
      <c r="I205" s="312" t="s">
        <v>228</v>
      </c>
      <c r="J205" s="405">
        <v>55000000</v>
      </c>
      <c r="K205" s="312" t="s">
        <v>223</v>
      </c>
      <c r="L205" s="312" t="s">
        <v>257</v>
      </c>
      <c r="M205" s="312" t="s">
        <v>44</v>
      </c>
      <c r="N205" s="312" t="s">
        <v>2834</v>
      </c>
      <c r="O205" s="312" t="s">
        <v>255</v>
      </c>
      <c r="P205" s="312" t="s">
        <v>674</v>
      </c>
      <c r="R205" s="312">
        <v>206</v>
      </c>
      <c r="S205" s="315">
        <v>44235</v>
      </c>
      <c r="T205" s="312" t="s">
        <v>3021</v>
      </c>
      <c r="U205" s="405">
        <f>55000000-55000000</f>
        <v>0</v>
      </c>
      <c r="V205" s="406">
        <v>55000000</v>
      </c>
      <c r="W205" s="362" t="s">
        <v>1428</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x14ac:dyDescent="0.35">
      <c r="A206" s="494" t="s">
        <v>1731</v>
      </c>
      <c r="B206" s="495">
        <v>44000000</v>
      </c>
      <c r="C206" s="212" t="s">
        <v>2544</v>
      </c>
      <c r="D206" s="478">
        <v>202</v>
      </c>
      <c r="E206" s="478">
        <v>20215000006303</v>
      </c>
      <c r="F206" s="479">
        <v>44235</v>
      </c>
      <c r="G206" s="478" t="s">
        <v>2538</v>
      </c>
      <c r="H206" s="212" t="s">
        <v>2539</v>
      </c>
      <c r="I206" s="212" t="s">
        <v>228</v>
      </c>
      <c r="J206" s="475">
        <v>44000000</v>
      </c>
      <c r="K206" s="212" t="s">
        <v>223</v>
      </c>
      <c r="L206" s="212" t="s">
        <v>269</v>
      </c>
      <c r="M206" s="212" t="s">
        <v>44</v>
      </c>
      <c r="N206" s="212" t="s">
        <v>45</v>
      </c>
      <c r="O206" s="212" t="s">
        <v>63</v>
      </c>
      <c r="P206" s="212" t="s">
        <v>674</v>
      </c>
      <c r="R206" s="212">
        <v>211</v>
      </c>
      <c r="S206" s="479">
        <v>44235</v>
      </c>
      <c r="T206" s="212" t="s">
        <v>3022</v>
      </c>
      <c r="U206" s="475">
        <f>44000000-4000000</f>
        <v>40000000</v>
      </c>
      <c r="V206" s="444">
        <v>4000000</v>
      </c>
      <c r="W206" s="398"/>
      <c r="X206" s="483">
        <v>153</v>
      </c>
      <c r="Y206" s="484">
        <v>44244</v>
      </c>
      <c r="Z206" s="484">
        <v>44244</v>
      </c>
      <c r="AA206" s="484">
        <v>44547</v>
      </c>
      <c r="AB206" s="485" t="s">
        <v>2548</v>
      </c>
      <c r="AC206" s="483">
        <v>91</v>
      </c>
      <c r="AD206" s="485">
        <v>1010235635</v>
      </c>
      <c r="AE206" s="486" t="s">
        <v>3023</v>
      </c>
      <c r="AF206" s="473">
        <v>40000000</v>
      </c>
      <c r="AG206" s="474">
        <f t="shared" si="3"/>
        <v>0</v>
      </c>
      <c r="AJ206" s="475">
        <v>1600000</v>
      </c>
      <c r="AK206" s="475">
        <v>4000000</v>
      </c>
      <c r="AL206" s="475">
        <v>4000000</v>
      </c>
      <c r="AM206" s="306">
        <v>4000000</v>
      </c>
    </row>
    <row r="207" spans="1:50" ht="15" hidden="1" customHeight="1" x14ac:dyDescent="0.35">
      <c r="A207" s="476" t="s">
        <v>1997</v>
      </c>
      <c r="B207" s="477">
        <v>88320000</v>
      </c>
      <c r="C207" s="212" t="s">
        <v>2544</v>
      </c>
      <c r="D207" s="478">
        <v>203</v>
      </c>
      <c r="E207" s="478">
        <v>20215000001193</v>
      </c>
      <c r="F207" s="479">
        <v>44214</v>
      </c>
      <c r="G207" s="478" t="s">
        <v>2538</v>
      </c>
      <c r="H207" s="212" t="s">
        <v>2539</v>
      </c>
      <c r="I207" s="212" t="s">
        <v>228</v>
      </c>
      <c r="J207" s="475">
        <v>88320000</v>
      </c>
      <c r="K207" s="212" t="s">
        <v>223</v>
      </c>
      <c r="L207" s="212" t="s">
        <v>2656</v>
      </c>
      <c r="M207" s="212" t="s">
        <v>44</v>
      </c>
      <c r="N207" s="212" t="s">
        <v>45</v>
      </c>
      <c r="O207" s="212" t="s">
        <v>63</v>
      </c>
      <c r="P207" s="212" t="s">
        <v>674</v>
      </c>
      <c r="R207" s="212">
        <v>55</v>
      </c>
      <c r="S207" s="479">
        <v>44214</v>
      </c>
      <c r="T207" s="212" t="s">
        <v>3024</v>
      </c>
      <c r="U207" s="475">
        <f>88320000-15170000</f>
        <v>73150000</v>
      </c>
      <c r="V207" s="411">
        <v>15170000</v>
      </c>
      <c r="W207" s="397"/>
      <c r="X207" s="308">
        <v>228</v>
      </c>
      <c r="Y207" s="484">
        <v>44259</v>
      </c>
      <c r="Z207" s="484">
        <v>44259</v>
      </c>
      <c r="AA207" s="484">
        <v>44545</v>
      </c>
      <c r="AB207" s="485" t="s">
        <v>2548</v>
      </c>
      <c r="AC207" s="211">
        <v>164</v>
      </c>
      <c r="AD207" s="485" t="s">
        <v>3025</v>
      </c>
      <c r="AE207" s="486" t="s">
        <v>3026</v>
      </c>
      <c r="AF207" s="473">
        <v>73150000</v>
      </c>
      <c r="AG207" s="474">
        <f t="shared" si="3"/>
        <v>0</v>
      </c>
      <c r="AK207" s="475">
        <v>6930000</v>
      </c>
      <c r="AL207" s="475">
        <v>7700000</v>
      </c>
      <c r="AM207" s="306">
        <v>7700000</v>
      </c>
    </row>
    <row r="208" spans="1:50" ht="15" hidden="1" customHeight="1" x14ac:dyDescent="0.35">
      <c r="A208" s="476" t="s">
        <v>1992</v>
      </c>
      <c r="B208" s="477">
        <v>64900000</v>
      </c>
      <c r="C208" s="212" t="s">
        <v>2544</v>
      </c>
      <c r="D208" s="478">
        <v>204</v>
      </c>
      <c r="E208" s="309">
        <v>20215000007203</v>
      </c>
      <c r="F208" s="479">
        <v>44243</v>
      </c>
      <c r="G208" s="309" t="s">
        <v>2538</v>
      </c>
      <c r="H208" s="210" t="s">
        <v>2539</v>
      </c>
      <c r="I208" s="210" t="s">
        <v>228</v>
      </c>
      <c r="J208" s="407">
        <v>64900000</v>
      </c>
      <c r="K208" s="212" t="s">
        <v>288</v>
      </c>
      <c r="L208" s="212" t="s">
        <v>2634</v>
      </c>
      <c r="M208" s="212" t="s">
        <v>44</v>
      </c>
      <c r="N208" s="212" t="s">
        <v>45</v>
      </c>
      <c r="O208" s="212" t="s">
        <v>63</v>
      </c>
      <c r="P208" s="212" t="s">
        <v>674</v>
      </c>
      <c r="R208" s="212">
        <v>249</v>
      </c>
      <c r="S208" s="479">
        <v>44243</v>
      </c>
      <c r="T208" s="212" t="s">
        <v>3027</v>
      </c>
      <c r="U208" s="475">
        <f>64900000-8850000</f>
        <v>56050000</v>
      </c>
      <c r="V208" s="444">
        <v>8850000</v>
      </c>
      <c r="W208" s="398"/>
      <c r="X208" s="308">
        <v>230</v>
      </c>
      <c r="Y208" s="484">
        <v>44259</v>
      </c>
      <c r="Z208" s="484">
        <v>44259</v>
      </c>
      <c r="AA208" s="484">
        <v>44545</v>
      </c>
      <c r="AB208" s="485" t="s">
        <v>2548</v>
      </c>
      <c r="AC208" s="211">
        <v>162</v>
      </c>
      <c r="AD208" s="485" t="s">
        <v>3028</v>
      </c>
      <c r="AE208" s="486" t="s">
        <v>3029</v>
      </c>
      <c r="AF208" s="473">
        <v>56050000</v>
      </c>
      <c r="AG208" s="474">
        <f t="shared" si="3"/>
        <v>0</v>
      </c>
      <c r="AK208" s="475">
        <v>5113333</v>
      </c>
      <c r="AL208" s="475">
        <v>5900000</v>
      </c>
      <c r="AM208" s="306">
        <v>5900000</v>
      </c>
    </row>
    <row r="209" spans="1:45" hidden="1" x14ac:dyDescent="0.35">
      <c r="A209" s="494" t="s">
        <v>1734</v>
      </c>
      <c r="B209" s="495">
        <v>39600000</v>
      </c>
      <c r="C209" s="212" t="s">
        <v>2544</v>
      </c>
      <c r="D209" s="478">
        <v>205</v>
      </c>
      <c r="E209" s="478">
        <v>20215000006403</v>
      </c>
      <c r="F209" s="479">
        <v>44235</v>
      </c>
      <c r="G209" s="478" t="s">
        <v>2538</v>
      </c>
      <c r="H209" s="212" t="s">
        <v>2539</v>
      </c>
      <c r="I209" s="212" t="s">
        <v>228</v>
      </c>
      <c r="J209" s="475">
        <v>39600000</v>
      </c>
      <c r="K209" s="212" t="s">
        <v>223</v>
      </c>
      <c r="L209" s="212" t="s">
        <v>283</v>
      </c>
      <c r="M209" s="212" t="s">
        <v>44</v>
      </c>
      <c r="N209" s="212" t="s">
        <v>45</v>
      </c>
      <c r="O209" s="212" t="s">
        <v>63</v>
      </c>
      <c r="P209" s="212" t="s">
        <v>674</v>
      </c>
      <c r="R209" s="212">
        <v>214</v>
      </c>
      <c r="S209" s="479">
        <v>44235</v>
      </c>
      <c r="T209" s="212" t="s">
        <v>3030</v>
      </c>
      <c r="U209" s="475">
        <f>39600000-15600000</f>
        <v>24000000</v>
      </c>
      <c r="V209" s="444">
        <v>15600000</v>
      </c>
      <c r="W209" s="398"/>
      <c r="X209" s="483">
        <v>140</v>
      </c>
      <c r="Y209" s="484">
        <v>44243</v>
      </c>
      <c r="Z209" s="484">
        <v>44243</v>
      </c>
      <c r="AA209" s="484">
        <v>44424</v>
      </c>
      <c r="AB209" s="485" t="s">
        <v>2548</v>
      </c>
      <c r="AC209" s="483">
        <v>85</v>
      </c>
      <c r="AD209" s="485">
        <v>1022384109</v>
      </c>
      <c r="AE209" s="486" t="s">
        <v>3031</v>
      </c>
      <c r="AF209" s="473">
        <v>24000000</v>
      </c>
      <c r="AG209" s="474">
        <f t="shared" si="3"/>
        <v>0</v>
      </c>
      <c r="AL209" s="475">
        <v>5600000</v>
      </c>
      <c r="AM209" s="306">
        <v>4000000</v>
      </c>
    </row>
    <row r="210" spans="1:45" hidden="1" x14ac:dyDescent="0.35">
      <c r="A210" s="494" t="s">
        <v>2041</v>
      </c>
      <c r="B210" s="495">
        <v>60000000</v>
      </c>
      <c r="C210" s="212" t="s">
        <v>2544</v>
      </c>
      <c r="D210" s="478">
        <v>206</v>
      </c>
      <c r="E210" s="478">
        <v>20213000005713</v>
      </c>
      <c r="F210" s="479">
        <v>44231</v>
      </c>
      <c r="G210" s="478" t="s">
        <v>2538</v>
      </c>
      <c r="H210" s="212" t="s">
        <v>2539</v>
      </c>
      <c r="I210" s="212" t="s">
        <v>432</v>
      </c>
      <c r="J210" s="475">
        <v>60000000</v>
      </c>
      <c r="K210" s="212" t="s">
        <v>358</v>
      </c>
      <c r="L210" s="212" t="s">
        <v>2689</v>
      </c>
      <c r="M210" s="212" t="s">
        <v>44</v>
      </c>
      <c r="N210" s="212" t="s">
        <v>45</v>
      </c>
      <c r="O210" s="212" t="s">
        <v>63</v>
      </c>
      <c r="P210" s="212" t="s">
        <v>674</v>
      </c>
      <c r="R210" s="212">
        <v>200</v>
      </c>
      <c r="S210" s="479">
        <v>44231</v>
      </c>
      <c r="T210" s="212" t="s">
        <v>3032</v>
      </c>
      <c r="U210" s="475">
        <f>60000000-1854336</f>
        <v>58145664</v>
      </c>
      <c r="V210" s="411">
        <v>1854336</v>
      </c>
      <c r="W210" s="397"/>
      <c r="X210" s="308">
        <v>231</v>
      </c>
      <c r="Y210" s="484">
        <v>44259</v>
      </c>
      <c r="Z210" s="484">
        <v>44259</v>
      </c>
      <c r="AA210" s="484">
        <v>44504</v>
      </c>
      <c r="AB210" s="485" t="s">
        <v>2548</v>
      </c>
      <c r="AC210" s="211">
        <v>163</v>
      </c>
      <c r="AD210" s="485" t="s">
        <v>3033</v>
      </c>
      <c r="AE210" s="486" t="s">
        <v>3034</v>
      </c>
      <c r="AF210" s="473">
        <v>58145664</v>
      </c>
      <c r="AG210" s="474">
        <f t="shared" si="3"/>
        <v>0</v>
      </c>
      <c r="AK210" s="475">
        <v>5330019</v>
      </c>
      <c r="AL210" s="475">
        <v>7268208</v>
      </c>
      <c r="AM210" s="306">
        <v>7268208</v>
      </c>
    </row>
    <row r="211" spans="1:45" hidden="1" x14ac:dyDescent="0.35">
      <c r="A211" s="494" t="s">
        <v>1988</v>
      </c>
      <c r="B211" s="495">
        <v>58300000</v>
      </c>
      <c r="C211" s="212" t="s">
        <v>2544</v>
      </c>
      <c r="D211" s="478">
        <v>207</v>
      </c>
      <c r="E211" s="478">
        <v>20215000006423</v>
      </c>
      <c r="F211" s="479">
        <v>44235</v>
      </c>
      <c r="G211" s="478" t="s">
        <v>2538</v>
      </c>
      <c r="H211" s="212" t="s">
        <v>2539</v>
      </c>
      <c r="I211" s="212" t="s">
        <v>228</v>
      </c>
      <c r="J211" s="475">
        <v>58300000</v>
      </c>
      <c r="K211" s="212" t="s">
        <v>223</v>
      </c>
      <c r="L211" s="212" t="s">
        <v>269</v>
      </c>
      <c r="M211" s="212" t="s">
        <v>44</v>
      </c>
      <c r="N211" s="212" t="s">
        <v>45</v>
      </c>
      <c r="O211" s="212" t="s">
        <v>63</v>
      </c>
      <c r="P211" s="212" t="s">
        <v>674</v>
      </c>
      <c r="R211" s="212">
        <v>216</v>
      </c>
      <c r="S211" s="479">
        <v>44236</v>
      </c>
      <c r="T211" s="212" t="s">
        <v>3035</v>
      </c>
      <c r="U211" s="475">
        <f>58300000-5300000</f>
        <v>53000000</v>
      </c>
      <c r="V211" s="444">
        <v>5300000</v>
      </c>
      <c r="W211" s="398"/>
      <c r="X211" s="483">
        <v>150</v>
      </c>
      <c r="Y211" s="484">
        <v>44244</v>
      </c>
      <c r="Z211" s="484">
        <v>44244</v>
      </c>
      <c r="AA211" s="484">
        <v>44547</v>
      </c>
      <c r="AB211" s="485" t="s">
        <v>2548</v>
      </c>
      <c r="AC211" s="483">
        <v>100</v>
      </c>
      <c r="AD211" s="485">
        <v>1076656936</v>
      </c>
      <c r="AE211" s="486" t="s">
        <v>3036</v>
      </c>
      <c r="AF211" s="473">
        <v>53000000</v>
      </c>
      <c r="AG211" s="474">
        <f t="shared" si="3"/>
        <v>0</v>
      </c>
      <c r="AJ211" s="475">
        <v>2120000</v>
      </c>
      <c r="AK211" s="475">
        <v>5300000</v>
      </c>
      <c r="AL211" s="475">
        <v>5300000</v>
      </c>
      <c r="AM211" s="306">
        <v>5300000</v>
      </c>
    </row>
    <row r="212" spans="1:45" hidden="1" x14ac:dyDescent="0.35">
      <c r="A212" s="476" t="s">
        <v>1994</v>
      </c>
      <c r="B212" s="477">
        <v>28600000</v>
      </c>
      <c r="C212" s="212" t="s">
        <v>2544</v>
      </c>
      <c r="D212" s="478">
        <v>208</v>
      </c>
      <c r="E212" s="478">
        <v>20215000002723</v>
      </c>
      <c r="F212" s="479">
        <v>44225</v>
      </c>
      <c r="G212" s="478" t="s">
        <v>2538</v>
      </c>
      <c r="H212" s="212" t="s">
        <v>2539</v>
      </c>
      <c r="I212" s="212" t="s">
        <v>228</v>
      </c>
      <c r="J212" s="475">
        <v>28600000</v>
      </c>
      <c r="K212" s="212" t="s">
        <v>223</v>
      </c>
      <c r="L212" s="212" t="s">
        <v>2656</v>
      </c>
      <c r="M212" s="212" t="s">
        <v>44</v>
      </c>
      <c r="N212" s="212" t="s">
        <v>45</v>
      </c>
      <c r="O212" s="212" t="s">
        <v>63</v>
      </c>
      <c r="P212" s="212" t="s">
        <v>674</v>
      </c>
      <c r="R212" s="212">
        <v>121</v>
      </c>
      <c r="S212" s="479">
        <v>44225</v>
      </c>
      <c r="T212" s="212" t="s">
        <v>3037</v>
      </c>
      <c r="U212" s="475">
        <f>28600000-2950000</f>
        <v>25650000</v>
      </c>
      <c r="V212" s="444">
        <v>2950000</v>
      </c>
      <c r="W212" s="398"/>
      <c r="X212" s="308">
        <v>232</v>
      </c>
      <c r="Y212" s="484">
        <v>44259</v>
      </c>
      <c r="Z212" s="484">
        <v>44259</v>
      </c>
      <c r="AA212" s="484">
        <v>44545</v>
      </c>
      <c r="AB212" s="485" t="s">
        <v>2548</v>
      </c>
      <c r="AC212" s="211">
        <v>168</v>
      </c>
      <c r="AD212" s="485" t="s">
        <v>3038</v>
      </c>
      <c r="AE212" s="486" t="s">
        <v>3039</v>
      </c>
      <c r="AF212" s="473">
        <v>25650000</v>
      </c>
      <c r="AG212" s="474">
        <f t="shared" si="3"/>
        <v>0</v>
      </c>
      <c r="AK212" s="475">
        <v>2340000</v>
      </c>
      <c r="AL212" s="475">
        <v>2700000</v>
      </c>
      <c r="AM212" s="306">
        <v>2700000</v>
      </c>
    </row>
    <row r="213" spans="1:45" hidden="1" x14ac:dyDescent="0.35">
      <c r="A213" s="494" t="s">
        <v>1989</v>
      </c>
      <c r="B213" s="495">
        <v>64900000</v>
      </c>
      <c r="C213" s="212" t="s">
        <v>2544</v>
      </c>
      <c r="D213" s="478">
        <v>209</v>
      </c>
      <c r="E213" s="478">
        <v>20215000006463</v>
      </c>
      <c r="F213" s="479">
        <v>44235</v>
      </c>
      <c r="G213" s="478" t="s">
        <v>2538</v>
      </c>
      <c r="H213" s="212" t="s">
        <v>2539</v>
      </c>
      <c r="I213" s="212" t="s">
        <v>228</v>
      </c>
      <c r="J213" s="475">
        <v>64900000</v>
      </c>
      <c r="K213" s="212" t="s">
        <v>223</v>
      </c>
      <c r="L213" s="212" t="s">
        <v>233</v>
      </c>
      <c r="M213" s="212" t="s">
        <v>44</v>
      </c>
      <c r="N213" s="212" t="s">
        <v>45</v>
      </c>
      <c r="O213" s="212" t="s">
        <v>63</v>
      </c>
      <c r="P213" s="212" t="s">
        <v>674</v>
      </c>
      <c r="R213" s="212">
        <v>218</v>
      </c>
      <c r="S213" s="479">
        <v>44236</v>
      </c>
      <c r="T213" s="212" t="s">
        <v>3040</v>
      </c>
      <c r="U213" s="475">
        <f>64900000-5900000</f>
        <v>59000000</v>
      </c>
      <c r="V213" s="444">
        <v>5900000</v>
      </c>
      <c r="W213" s="398"/>
      <c r="X213" s="483">
        <v>160</v>
      </c>
      <c r="Y213" s="484">
        <v>44245</v>
      </c>
      <c r="Z213" s="484">
        <v>44245</v>
      </c>
      <c r="AA213" s="484">
        <v>44548</v>
      </c>
      <c r="AB213" s="485" t="s">
        <v>2548</v>
      </c>
      <c r="AC213" s="483">
        <v>110</v>
      </c>
      <c r="AD213" s="485">
        <v>39788923</v>
      </c>
      <c r="AE213" s="486" t="s">
        <v>3041</v>
      </c>
      <c r="AF213" s="473">
        <v>59000000</v>
      </c>
      <c r="AG213" s="474">
        <f t="shared" si="3"/>
        <v>0</v>
      </c>
      <c r="AK213" s="475">
        <v>7866667</v>
      </c>
      <c r="AL213" s="475">
        <v>5900000</v>
      </c>
      <c r="AM213" s="306">
        <v>5900000</v>
      </c>
    </row>
    <row r="214" spans="1:45" hidden="1" x14ac:dyDescent="0.35">
      <c r="A214" s="494" t="s">
        <v>1990</v>
      </c>
      <c r="B214" s="495">
        <v>44000000</v>
      </c>
      <c r="C214" s="212" t="s">
        <v>2544</v>
      </c>
      <c r="D214" s="478">
        <v>210</v>
      </c>
      <c r="E214" s="478">
        <v>20215000006473</v>
      </c>
      <c r="F214" s="479">
        <v>44235</v>
      </c>
      <c r="G214" s="478" t="s">
        <v>2538</v>
      </c>
      <c r="H214" s="212" t="s">
        <v>2539</v>
      </c>
      <c r="I214" s="212" t="s">
        <v>228</v>
      </c>
      <c r="J214" s="475">
        <v>44000000</v>
      </c>
      <c r="K214" s="212" t="s">
        <v>288</v>
      </c>
      <c r="L214" s="212" t="s">
        <v>294</v>
      </c>
      <c r="M214" s="212" t="s">
        <v>44</v>
      </c>
      <c r="N214" s="212" t="s">
        <v>45</v>
      </c>
      <c r="O214" s="212" t="s">
        <v>63</v>
      </c>
      <c r="P214" s="212" t="s">
        <v>674</v>
      </c>
      <c r="R214" s="212">
        <v>219</v>
      </c>
      <c r="S214" s="479">
        <v>44236</v>
      </c>
      <c r="T214" s="212" t="s">
        <v>3042</v>
      </c>
      <c r="U214" s="475">
        <f>44000000-4000000</f>
        <v>40000000</v>
      </c>
      <c r="V214" s="444">
        <v>4000000</v>
      </c>
      <c r="W214" s="398"/>
      <c r="X214" s="483">
        <v>194</v>
      </c>
      <c r="Y214" s="484">
        <v>44252</v>
      </c>
      <c r="Z214" s="484">
        <v>44252</v>
      </c>
      <c r="AA214" s="484">
        <v>44555</v>
      </c>
      <c r="AB214" s="485" t="s">
        <v>2548</v>
      </c>
      <c r="AC214" s="483">
        <v>134</v>
      </c>
      <c r="AD214" s="485">
        <v>1015441871</v>
      </c>
      <c r="AE214" s="486" t="s">
        <v>3043</v>
      </c>
      <c r="AF214" s="473">
        <v>40000000</v>
      </c>
      <c r="AG214" s="474">
        <f t="shared" si="3"/>
        <v>0</v>
      </c>
      <c r="AK214" s="475">
        <v>4400000</v>
      </c>
      <c r="AL214" s="475">
        <v>4000000</v>
      </c>
      <c r="AM214" s="306">
        <v>4000000</v>
      </c>
    </row>
    <row r="215" spans="1:45" hidden="1" x14ac:dyDescent="0.35">
      <c r="A215" s="476" t="s">
        <v>1996</v>
      </c>
      <c r="B215" s="477">
        <v>64900000</v>
      </c>
      <c r="C215" s="212" t="s">
        <v>2544</v>
      </c>
      <c r="D215" s="478">
        <v>211</v>
      </c>
      <c r="E215" s="478">
        <v>20215000000883</v>
      </c>
      <c r="F215" s="479">
        <v>44211</v>
      </c>
      <c r="G215" s="478" t="s">
        <v>2538</v>
      </c>
      <c r="H215" s="212" t="s">
        <v>2539</v>
      </c>
      <c r="I215" s="212" t="s">
        <v>228</v>
      </c>
      <c r="J215" s="475">
        <v>64900000</v>
      </c>
      <c r="K215" s="212" t="s">
        <v>223</v>
      </c>
      <c r="L215" s="212" t="s">
        <v>233</v>
      </c>
      <c r="M215" s="212" t="s">
        <v>44</v>
      </c>
      <c r="N215" s="212" t="s">
        <v>45</v>
      </c>
      <c r="O215" s="212" t="s">
        <v>63</v>
      </c>
      <c r="P215" s="212" t="s">
        <v>674</v>
      </c>
      <c r="R215" s="212">
        <v>35</v>
      </c>
      <c r="S215" s="479">
        <v>44211</v>
      </c>
      <c r="T215" s="212" t="s">
        <v>2618</v>
      </c>
      <c r="U215" s="475">
        <f>64900000-8850000</f>
        <v>56050000</v>
      </c>
      <c r="V215" s="411">
        <v>8850000</v>
      </c>
      <c r="W215" s="397"/>
      <c r="X215" s="308">
        <v>233</v>
      </c>
      <c r="Y215" s="484">
        <v>44259</v>
      </c>
      <c r="Z215" s="484">
        <v>44259</v>
      </c>
      <c r="AA215" s="484">
        <v>44545</v>
      </c>
      <c r="AB215" s="485" t="s">
        <v>2548</v>
      </c>
      <c r="AC215" s="211">
        <v>165</v>
      </c>
      <c r="AD215" s="485" t="s">
        <v>3044</v>
      </c>
      <c r="AE215" s="486" t="s">
        <v>3045</v>
      </c>
      <c r="AF215" s="473">
        <v>56050000</v>
      </c>
      <c r="AG215" s="474">
        <f t="shared" si="3"/>
        <v>0</v>
      </c>
      <c r="AK215" s="475">
        <v>5113333</v>
      </c>
      <c r="AL215" s="475">
        <v>5900000</v>
      </c>
      <c r="AM215" s="306">
        <v>5900000</v>
      </c>
    </row>
    <row r="216" spans="1:45" hidden="1" x14ac:dyDescent="0.35">
      <c r="A216" s="494" t="s">
        <v>2405</v>
      </c>
      <c r="B216" s="495">
        <v>96511665</v>
      </c>
      <c r="C216" s="212" t="s">
        <v>2544</v>
      </c>
      <c r="D216" s="478">
        <v>212</v>
      </c>
      <c r="E216" s="478">
        <v>20212000006273</v>
      </c>
      <c r="F216" s="479">
        <v>44236</v>
      </c>
      <c r="G216" s="478" t="s">
        <v>2538</v>
      </c>
      <c r="H216" s="212" t="s">
        <v>2539</v>
      </c>
      <c r="I216" s="212" t="s">
        <v>391</v>
      </c>
      <c r="J216" s="475">
        <v>36805297</v>
      </c>
      <c r="K216" s="210" t="s">
        <v>2609</v>
      </c>
      <c r="L216" s="212" t="s">
        <v>2610</v>
      </c>
      <c r="M216" s="212" t="s">
        <v>44</v>
      </c>
      <c r="N216" s="212" t="s">
        <v>45</v>
      </c>
      <c r="O216" s="212" t="s">
        <v>63</v>
      </c>
      <c r="P216" s="212" t="s">
        <v>674</v>
      </c>
      <c r="R216" s="212">
        <v>223</v>
      </c>
      <c r="S216" s="479">
        <v>44236</v>
      </c>
      <c r="T216" s="212" t="s">
        <v>3046</v>
      </c>
      <c r="U216" s="475">
        <f>36805297-17797</f>
        <v>36787500</v>
      </c>
      <c r="V216" s="411">
        <v>17797</v>
      </c>
      <c r="W216" s="397"/>
      <c r="X216" s="483">
        <v>191</v>
      </c>
      <c r="Y216" s="484">
        <v>44252</v>
      </c>
      <c r="Z216" s="484">
        <v>44252</v>
      </c>
      <c r="AA216" s="484">
        <v>44387</v>
      </c>
      <c r="AB216" s="485" t="s">
        <v>2548</v>
      </c>
      <c r="AC216" s="483">
        <v>131</v>
      </c>
      <c r="AD216" s="485">
        <v>52783545</v>
      </c>
      <c r="AE216" s="486" t="s">
        <v>3047</v>
      </c>
      <c r="AF216" s="473">
        <v>36787500</v>
      </c>
      <c r="AG216" s="474">
        <f t="shared" si="3"/>
        <v>0</v>
      </c>
      <c r="AK216" s="475">
        <v>9265000</v>
      </c>
      <c r="AL216" s="475">
        <v>8175000</v>
      </c>
      <c r="AM216" s="306">
        <v>8175000</v>
      </c>
    </row>
    <row r="217" spans="1:45" hidden="1" x14ac:dyDescent="0.35">
      <c r="A217" s="494" t="s">
        <v>2084</v>
      </c>
      <c r="B217" s="495">
        <v>48144000</v>
      </c>
      <c r="C217" s="212" t="s">
        <v>2544</v>
      </c>
      <c r="D217" s="478">
        <v>213</v>
      </c>
      <c r="E217" s="478">
        <v>20212000006333</v>
      </c>
      <c r="F217" s="479">
        <v>44236</v>
      </c>
      <c r="G217" s="478" t="s">
        <v>2538</v>
      </c>
      <c r="H217" s="212" t="s">
        <v>2539</v>
      </c>
      <c r="I217" s="212" t="s">
        <v>391</v>
      </c>
      <c r="J217" s="475">
        <v>42945000</v>
      </c>
      <c r="K217" s="210" t="s">
        <v>2609</v>
      </c>
      <c r="L217" s="212" t="s">
        <v>2610</v>
      </c>
      <c r="M217" s="212" t="s">
        <v>44</v>
      </c>
      <c r="N217" s="212" t="s">
        <v>45</v>
      </c>
      <c r="O217" s="212" t="s">
        <v>63</v>
      </c>
      <c r="P217" s="212" t="s">
        <v>674</v>
      </c>
      <c r="R217" s="212">
        <v>224</v>
      </c>
      <c r="S217" s="479">
        <v>44236</v>
      </c>
      <c r="T217" s="212" t="s">
        <v>3048</v>
      </c>
      <c r="U217" s="475">
        <f>42945000-2045000</f>
        <v>40900000</v>
      </c>
      <c r="V217" s="411">
        <v>2045000</v>
      </c>
      <c r="W217" s="397"/>
      <c r="X217" s="483">
        <v>186</v>
      </c>
      <c r="Y217" s="484">
        <v>44251</v>
      </c>
      <c r="Z217" s="484">
        <v>44251</v>
      </c>
      <c r="AA217" s="484">
        <v>44554</v>
      </c>
      <c r="AB217" s="485" t="s">
        <v>2548</v>
      </c>
      <c r="AC217" s="483">
        <v>125</v>
      </c>
      <c r="AD217" s="485">
        <v>1098672264</v>
      </c>
      <c r="AE217" s="486" t="s">
        <v>3049</v>
      </c>
      <c r="AF217" s="473">
        <v>40900000</v>
      </c>
      <c r="AG217" s="474">
        <f t="shared" si="3"/>
        <v>0</v>
      </c>
      <c r="AK217" s="475">
        <v>4635333</v>
      </c>
      <c r="AL217" s="475">
        <v>4090000</v>
      </c>
      <c r="AM217" s="306">
        <v>4090000</v>
      </c>
    </row>
    <row r="218" spans="1:45" hidden="1" x14ac:dyDescent="0.35">
      <c r="A218" s="494" t="s">
        <v>1794</v>
      </c>
      <c r="B218" s="495">
        <v>53226394</v>
      </c>
      <c r="C218" s="212" t="s">
        <v>2544</v>
      </c>
      <c r="D218" s="478">
        <v>214</v>
      </c>
      <c r="E218" s="478">
        <v>20212000006343</v>
      </c>
      <c r="F218" s="479">
        <v>44236</v>
      </c>
      <c r="G218" s="478" t="s">
        <v>2538</v>
      </c>
      <c r="H218" s="212" t="s">
        <v>2539</v>
      </c>
      <c r="I218" s="212" t="s">
        <v>391</v>
      </c>
      <c r="J218" s="475">
        <v>47365500</v>
      </c>
      <c r="K218" s="210" t="s">
        <v>2609</v>
      </c>
      <c r="L218" s="212" t="s">
        <v>2610</v>
      </c>
      <c r="M218" s="212" t="s">
        <v>44</v>
      </c>
      <c r="N218" s="212" t="s">
        <v>45</v>
      </c>
      <c r="O218" s="212" t="s">
        <v>63</v>
      </c>
      <c r="P218" s="212" t="s">
        <v>674</v>
      </c>
      <c r="R218" s="212">
        <v>225</v>
      </c>
      <c r="S218" s="479">
        <v>44236</v>
      </c>
      <c r="T218" s="212" t="s">
        <v>3050</v>
      </c>
      <c r="U218" s="475">
        <f>47365500-6766500</f>
        <v>40599000</v>
      </c>
      <c r="V218" s="411">
        <v>6766500</v>
      </c>
      <c r="W218" s="397"/>
      <c r="X218" s="483" t="s">
        <v>3051</v>
      </c>
      <c r="Y218" s="484">
        <v>44285</v>
      </c>
      <c r="Z218" s="484">
        <v>44285</v>
      </c>
      <c r="AA218" s="484">
        <v>44560</v>
      </c>
      <c r="AB218" s="485" t="s">
        <v>2548</v>
      </c>
      <c r="AC218" s="483" t="s">
        <v>3052</v>
      </c>
      <c r="AD218" s="485" t="s">
        <v>3053</v>
      </c>
      <c r="AE218" s="486" t="s">
        <v>3054</v>
      </c>
      <c r="AF218" s="473">
        <v>40599000</v>
      </c>
      <c r="AG218" s="474">
        <f t="shared" si="3"/>
        <v>0</v>
      </c>
      <c r="AL218" s="475">
        <v>4661367</v>
      </c>
      <c r="AM218" s="306">
        <v>4511000</v>
      </c>
    </row>
    <row r="219" spans="1:45" hidden="1" x14ac:dyDescent="0.35">
      <c r="A219" s="494" t="s">
        <v>1834</v>
      </c>
      <c r="B219" s="495">
        <v>39270000</v>
      </c>
      <c r="C219" s="212" t="s">
        <v>2544</v>
      </c>
      <c r="D219" s="478">
        <v>215</v>
      </c>
      <c r="E219" s="478">
        <v>20212000006353</v>
      </c>
      <c r="F219" s="479">
        <v>44236</v>
      </c>
      <c r="G219" s="478" t="s">
        <v>2538</v>
      </c>
      <c r="H219" s="212" t="s">
        <v>2539</v>
      </c>
      <c r="I219" s="212" t="s">
        <v>391</v>
      </c>
      <c r="J219" s="475">
        <v>37525000</v>
      </c>
      <c r="K219" s="210" t="s">
        <v>2609</v>
      </c>
      <c r="L219" s="212" t="s">
        <v>2610</v>
      </c>
      <c r="M219" s="212" t="s">
        <v>44</v>
      </c>
      <c r="N219" s="212" t="s">
        <v>45</v>
      </c>
      <c r="O219" s="212" t="s">
        <v>63</v>
      </c>
      <c r="P219" s="212" t="s">
        <v>674</v>
      </c>
      <c r="R219" s="212">
        <v>226</v>
      </c>
      <c r="S219" s="479">
        <v>44236</v>
      </c>
      <c r="T219" s="212" t="s">
        <v>3055</v>
      </c>
      <c r="U219" s="475">
        <v>37525000</v>
      </c>
      <c r="V219" s="406"/>
      <c r="W219" s="362"/>
      <c r="X219" s="483">
        <v>162</v>
      </c>
      <c r="Y219" s="484">
        <v>44245</v>
      </c>
      <c r="Z219" s="484">
        <v>44245</v>
      </c>
      <c r="AA219" s="484">
        <v>44530</v>
      </c>
      <c r="AB219" s="485" t="s">
        <v>2548</v>
      </c>
      <c r="AC219" s="483">
        <v>111</v>
      </c>
      <c r="AD219" s="485">
        <v>1030604453</v>
      </c>
      <c r="AE219" s="486" t="s">
        <v>3056</v>
      </c>
      <c r="AF219" s="473">
        <v>37525000</v>
      </c>
      <c r="AG219" s="474">
        <f t="shared" si="3"/>
        <v>0</v>
      </c>
      <c r="AJ219" s="475">
        <v>921667</v>
      </c>
      <c r="AK219" s="475">
        <v>3950000</v>
      </c>
      <c r="AL219" s="475">
        <v>3950000</v>
      </c>
      <c r="AM219" s="306">
        <v>3950000</v>
      </c>
    </row>
    <row r="220" spans="1:45" hidden="1" x14ac:dyDescent="0.35">
      <c r="A220" s="494" t="s">
        <v>1836</v>
      </c>
      <c r="B220" s="495">
        <v>34904400</v>
      </c>
      <c r="C220" s="212" t="s">
        <v>2544</v>
      </c>
      <c r="D220" s="478">
        <v>216</v>
      </c>
      <c r="E220" s="478">
        <v>20212000006373</v>
      </c>
      <c r="F220" s="479">
        <v>44236</v>
      </c>
      <c r="G220" s="478" t="s">
        <v>2538</v>
      </c>
      <c r="H220" s="212" t="s">
        <v>2539</v>
      </c>
      <c r="I220" s="212" t="s">
        <v>391</v>
      </c>
      <c r="J220" s="475">
        <v>32538000</v>
      </c>
      <c r="K220" s="210" t="s">
        <v>2609</v>
      </c>
      <c r="L220" s="212" t="s">
        <v>2610</v>
      </c>
      <c r="M220" s="212" t="s">
        <v>44</v>
      </c>
      <c r="N220" s="212" t="s">
        <v>45</v>
      </c>
      <c r="O220" s="212" t="s">
        <v>63</v>
      </c>
      <c r="P220" s="212" t="s">
        <v>674</v>
      </c>
      <c r="R220" s="212">
        <v>227</v>
      </c>
      <c r="S220" s="479">
        <v>44236</v>
      </c>
      <c r="T220" s="212" t="s">
        <v>3057</v>
      </c>
      <c r="U220" s="475">
        <f>32538000-2958000</f>
        <v>29580000</v>
      </c>
      <c r="V220" s="411">
        <v>2958000</v>
      </c>
      <c r="W220" s="397"/>
      <c r="X220" s="483">
        <v>152</v>
      </c>
      <c r="Y220" s="484">
        <v>44244</v>
      </c>
      <c r="Z220" s="484">
        <v>44244</v>
      </c>
      <c r="AA220" s="484">
        <v>44547</v>
      </c>
      <c r="AB220" s="485" t="s">
        <v>2548</v>
      </c>
      <c r="AC220" s="483">
        <v>97</v>
      </c>
      <c r="AD220" s="485">
        <v>1024514381</v>
      </c>
      <c r="AE220" s="486" t="s">
        <v>3058</v>
      </c>
      <c r="AF220" s="473">
        <v>29580000</v>
      </c>
      <c r="AG220" s="474">
        <f t="shared" si="3"/>
        <v>0</v>
      </c>
      <c r="AJ220" s="475">
        <v>1183200</v>
      </c>
      <c r="AK220" s="475">
        <v>2958000</v>
      </c>
      <c r="AL220" s="475">
        <v>2958000</v>
      </c>
      <c r="AM220" s="306">
        <v>2958000</v>
      </c>
    </row>
    <row r="221" spans="1:45" hidden="1" x14ac:dyDescent="0.35">
      <c r="A221" s="313" t="s">
        <v>2403</v>
      </c>
      <c r="B221" s="419">
        <v>81844800</v>
      </c>
      <c r="C221" s="212" t="s">
        <v>2544</v>
      </c>
      <c r="D221" s="478">
        <v>217</v>
      </c>
      <c r="E221" s="478">
        <v>20212000006263</v>
      </c>
      <c r="F221" s="479">
        <v>44236</v>
      </c>
      <c r="G221" s="478" t="s">
        <v>2538</v>
      </c>
      <c r="H221" s="212" t="s">
        <v>2539</v>
      </c>
      <c r="I221" s="212" t="s">
        <v>391</v>
      </c>
      <c r="J221" s="475">
        <v>77900000</v>
      </c>
      <c r="K221" s="210" t="s">
        <v>2609</v>
      </c>
      <c r="L221" s="212" t="s">
        <v>2610</v>
      </c>
      <c r="M221" s="212" t="s">
        <v>44</v>
      </c>
      <c r="N221" s="212" t="s">
        <v>45</v>
      </c>
      <c r="O221" s="212" t="s">
        <v>63</v>
      </c>
      <c r="P221" s="212" t="s">
        <v>674</v>
      </c>
      <c r="R221" s="212">
        <v>222</v>
      </c>
      <c r="S221" s="479">
        <v>44236</v>
      </c>
      <c r="T221" s="212" t="s">
        <v>2864</v>
      </c>
      <c r="U221" s="475">
        <v>77900000</v>
      </c>
      <c r="V221" s="406"/>
      <c r="W221" s="362"/>
      <c r="X221" s="483">
        <v>159</v>
      </c>
      <c r="Y221" s="484">
        <v>44245</v>
      </c>
      <c r="Z221" s="484">
        <v>44245</v>
      </c>
      <c r="AA221" s="484">
        <v>44530</v>
      </c>
      <c r="AB221" s="485" t="s">
        <v>2548</v>
      </c>
      <c r="AC221" s="483">
        <v>109</v>
      </c>
      <c r="AD221" s="485">
        <v>1010171202</v>
      </c>
      <c r="AE221" s="486" t="s">
        <v>3059</v>
      </c>
      <c r="AF221" s="473">
        <v>77900000</v>
      </c>
      <c r="AG221" s="474">
        <f t="shared" si="3"/>
        <v>0</v>
      </c>
      <c r="AJ221" s="475">
        <v>2733333</v>
      </c>
      <c r="AK221" s="475">
        <v>8200000</v>
      </c>
      <c r="AL221" s="475">
        <v>8200000</v>
      </c>
      <c r="AM221" s="306">
        <v>8200000</v>
      </c>
    </row>
    <row r="222" spans="1:45" hidden="1" x14ac:dyDescent="0.35">
      <c r="A222" s="313" t="s">
        <v>2414</v>
      </c>
      <c r="B222" s="419">
        <v>42636000</v>
      </c>
      <c r="C222" s="212" t="s">
        <v>2544</v>
      </c>
      <c r="D222" s="478">
        <v>218</v>
      </c>
      <c r="E222" s="478">
        <v>20212000006833</v>
      </c>
      <c r="F222" s="479">
        <v>44236</v>
      </c>
      <c r="G222" s="478" t="s">
        <v>2538</v>
      </c>
      <c r="H222" s="212" t="s">
        <v>2539</v>
      </c>
      <c r="I222" s="212" t="s">
        <v>391</v>
      </c>
      <c r="J222" s="475">
        <v>41475000</v>
      </c>
      <c r="K222" s="210" t="s">
        <v>2609</v>
      </c>
      <c r="L222" s="212" t="s">
        <v>2610</v>
      </c>
      <c r="M222" s="212" t="s">
        <v>44</v>
      </c>
      <c r="N222" s="212" t="s">
        <v>45</v>
      </c>
      <c r="O222" s="212" t="s">
        <v>63</v>
      </c>
      <c r="P222" s="212" t="s">
        <v>674</v>
      </c>
      <c r="R222" s="212">
        <v>229</v>
      </c>
      <c r="S222" s="479">
        <v>44236</v>
      </c>
      <c r="T222" s="212" t="s">
        <v>3060</v>
      </c>
      <c r="U222" s="475">
        <f>41475000-1975000</f>
        <v>39500000</v>
      </c>
      <c r="V222" s="411">
        <v>1975000</v>
      </c>
      <c r="W222" s="397"/>
      <c r="X222" s="483">
        <v>146</v>
      </c>
      <c r="Y222" s="484">
        <v>44243</v>
      </c>
      <c r="Z222" s="484">
        <v>44243</v>
      </c>
      <c r="AA222" s="484">
        <v>44546</v>
      </c>
      <c r="AB222" s="485" t="s">
        <v>2548</v>
      </c>
      <c r="AC222" s="483">
        <v>86</v>
      </c>
      <c r="AD222" s="485">
        <v>37729745</v>
      </c>
      <c r="AE222" s="486" t="s">
        <v>3061</v>
      </c>
      <c r="AF222" s="473">
        <v>39500000</v>
      </c>
      <c r="AG222" s="474">
        <f t="shared" si="3"/>
        <v>0</v>
      </c>
      <c r="AJ222" s="475">
        <v>1580000</v>
      </c>
      <c r="AK222" s="475">
        <v>3950000</v>
      </c>
      <c r="AL222" s="475">
        <v>3950000</v>
      </c>
      <c r="AM222" s="306">
        <v>3950000</v>
      </c>
    </row>
    <row r="223" spans="1:45" hidden="1" x14ac:dyDescent="0.35">
      <c r="A223" s="476" t="s">
        <v>2001</v>
      </c>
      <c r="B223" s="477">
        <v>33000000</v>
      </c>
      <c r="C223" s="212" t="s">
        <v>2544</v>
      </c>
      <c r="D223" s="478">
        <v>219</v>
      </c>
      <c r="E223" s="478">
        <v>20215000002883</v>
      </c>
      <c r="F223" s="479">
        <v>44225</v>
      </c>
      <c r="G223" s="478" t="s">
        <v>2538</v>
      </c>
      <c r="H223" s="212" t="s">
        <v>2539</v>
      </c>
      <c r="I223" s="212" t="s">
        <v>228</v>
      </c>
      <c r="J223" s="475">
        <v>33000000</v>
      </c>
      <c r="K223" s="212" t="s">
        <v>223</v>
      </c>
      <c r="L223" s="212" t="s">
        <v>236</v>
      </c>
      <c r="M223" s="212" t="s">
        <v>44</v>
      </c>
      <c r="N223" s="212" t="s">
        <v>45</v>
      </c>
      <c r="O223" s="212" t="s">
        <v>63</v>
      </c>
      <c r="P223" s="212" t="s">
        <v>674</v>
      </c>
      <c r="R223" s="212">
        <v>129</v>
      </c>
      <c r="S223" s="479">
        <v>44225</v>
      </c>
      <c r="T223" s="212" t="s">
        <v>3062</v>
      </c>
      <c r="U223" s="475">
        <f>33000000-12100000</f>
        <v>20900000</v>
      </c>
      <c r="V223" s="444">
        <v>12100000</v>
      </c>
      <c r="W223" s="398"/>
      <c r="X223" s="308">
        <v>234</v>
      </c>
      <c r="Y223" s="484">
        <v>44260</v>
      </c>
      <c r="Z223" s="484">
        <v>44260</v>
      </c>
      <c r="AA223" s="484">
        <v>44545</v>
      </c>
      <c r="AB223" s="485" t="s">
        <v>2548</v>
      </c>
      <c r="AC223" s="211">
        <v>167</v>
      </c>
      <c r="AD223" s="485" t="s">
        <v>3063</v>
      </c>
      <c r="AE223" s="486" t="s">
        <v>3064</v>
      </c>
      <c r="AF223" s="473">
        <v>20900000</v>
      </c>
      <c r="AG223" s="474">
        <f t="shared" si="3"/>
        <v>0</v>
      </c>
      <c r="AK223" s="475">
        <v>1906667</v>
      </c>
      <c r="AL223" s="475">
        <v>2200000</v>
      </c>
      <c r="AM223" s="306">
        <v>2200000</v>
      </c>
      <c r="AQ223" s="504"/>
      <c r="AR223" s="505"/>
      <c r="AS223" s="506"/>
    </row>
    <row r="224" spans="1:45" hidden="1" x14ac:dyDescent="0.35">
      <c r="A224" s="476" t="s">
        <v>2037</v>
      </c>
      <c r="B224" s="419">
        <v>37612975</v>
      </c>
      <c r="C224" s="212" t="s">
        <v>2544</v>
      </c>
      <c r="D224" s="478">
        <v>220</v>
      </c>
      <c r="E224" s="478">
        <v>20217000005603</v>
      </c>
      <c r="F224" s="479">
        <v>44237</v>
      </c>
      <c r="G224" s="478" t="s">
        <v>2545</v>
      </c>
      <c r="H224" s="212" t="s">
        <v>2546</v>
      </c>
      <c r="I224" s="212" t="s">
        <v>164</v>
      </c>
      <c r="J224" s="475">
        <v>29981358</v>
      </c>
      <c r="K224" s="212" t="s">
        <v>138</v>
      </c>
      <c r="L224" s="212" t="s">
        <v>139</v>
      </c>
      <c r="M224" s="212" t="s">
        <v>44</v>
      </c>
      <c r="N224" s="212" t="s">
        <v>45</v>
      </c>
      <c r="O224" s="212" t="s">
        <v>142</v>
      </c>
      <c r="P224" s="212" t="s">
        <v>43</v>
      </c>
      <c r="R224" s="212">
        <v>232</v>
      </c>
      <c r="S224" s="479">
        <v>44238</v>
      </c>
      <c r="T224" s="212" t="s">
        <v>3065</v>
      </c>
      <c r="U224" s="475">
        <v>29981358</v>
      </c>
      <c r="V224" s="406"/>
      <c r="W224" s="362"/>
      <c r="X224" s="483">
        <v>180</v>
      </c>
      <c r="Y224" s="484">
        <v>44250</v>
      </c>
      <c r="Z224" s="484">
        <v>44250</v>
      </c>
      <c r="AA224" s="484">
        <v>44431</v>
      </c>
      <c r="AB224" s="485" t="s">
        <v>2548</v>
      </c>
      <c r="AC224" s="483">
        <v>124</v>
      </c>
      <c r="AD224" s="485">
        <v>1010175004</v>
      </c>
      <c r="AE224" s="486" t="s">
        <v>3066</v>
      </c>
      <c r="AF224" s="473">
        <v>29981358</v>
      </c>
      <c r="AG224" s="474">
        <f t="shared" si="3"/>
        <v>0</v>
      </c>
      <c r="AL224" s="475">
        <v>5996272</v>
      </c>
      <c r="AM224" s="212"/>
      <c r="AQ224" s="507"/>
      <c r="AR224" s="508"/>
      <c r="AS224" s="509"/>
    </row>
    <row r="225" spans="1:50" ht="15" hidden="1" customHeight="1" x14ac:dyDescent="0.35">
      <c r="B225" s="477" t="s">
        <v>2581</v>
      </c>
      <c r="C225" s="212" t="s">
        <v>2544</v>
      </c>
      <c r="D225" s="478">
        <v>221</v>
      </c>
      <c r="E225" s="478">
        <v>20211200007523</v>
      </c>
      <c r="F225" s="479">
        <v>44239</v>
      </c>
      <c r="G225" s="478" t="s">
        <v>2545</v>
      </c>
      <c r="H225" s="212" t="s">
        <v>2546</v>
      </c>
      <c r="I225" s="212" t="s">
        <v>143</v>
      </c>
      <c r="J225" s="475">
        <v>6666666</v>
      </c>
      <c r="K225" s="212" t="s">
        <v>138</v>
      </c>
      <c r="L225" s="212" t="s">
        <v>139</v>
      </c>
      <c r="M225" s="212" t="s">
        <v>44</v>
      </c>
      <c r="N225" s="212" t="s">
        <v>45</v>
      </c>
      <c r="O225" s="212" t="s">
        <v>142</v>
      </c>
      <c r="P225" s="212" t="s">
        <v>43</v>
      </c>
      <c r="R225" s="212">
        <v>233</v>
      </c>
      <c r="S225" s="479">
        <v>44239</v>
      </c>
      <c r="T225" s="212" t="s">
        <v>3067</v>
      </c>
      <c r="U225" s="475">
        <v>6666666</v>
      </c>
      <c r="V225" s="406"/>
      <c r="W225" s="362"/>
      <c r="X225" s="483">
        <v>134</v>
      </c>
      <c r="Y225" s="484">
        <v>44242</v>
      </c>
      <c r="Z225" s="484">
        <v>44243</v>
      </c>
      <c r="AA225" s="484">
        <v>44291</v>
      </c>
      <c r="AB225" s="485" t="s">
        <v>2548</v>
      </c>
      <c r="AC225" s="483">
        <v>561</v>
      </c>
      <c r="AD225" s="485">
        <v>1140414919</v>
      </c>
      <c r="AE225" s="486" t="s">
        <v>3068</v>
      </c>
      <c r="AF225" s="473">
        <v>6666666</v>
      </c>
      <c r="AG225" s="474">
        <f t="shared" si="3"/>
        <v>0</v>
      </c>
      <c r="AJ225" s="475">
        <v>4000000</v>
      </c>
      <c r="AK225" s="475">
        <v>2000000</v>
      </c>
      <c r="AL225" s="475">
        <v>666666</v>
      </c>
      <c r="AM225" s="212"/>
      <c r="AQ225" s="507"/>
      <c r="AR225" s="508"/>
      <c r="AS225" s="509"/>
    </row>
    <row r="226" spans="1:50" ht="15" hidden="1" customHeight="1" x14ac:dyDescent="0.35">
      <c r="A226" s="476" t="s">
        <v>2269</v>
      </c>
      <c r="B226" s="417">
        <v>7500000</v>
      </c>
      <c r="C226" s="212" t="s">
        <v>2544</v>
      </c>
      <c r="D226" s="478">
        <v>222</v>
      </c>
      <c r="E226" s="478">
        <v>20211200007593</v>
      </c>
      <c r="F226" s="479">
        <v>44239</v>
      </c>
      <c r="G226" s="478" t="s">
        <v>2545</v>
      </c>
      <c r="H226" s="212" t="s">
        <v>2546</v>
      </c>
      <c r="I226" s="212" t="s">
        <v>143</v>
      </c>
      <c r="J226" s="475">
        <v>7500000</v>
      </c>
      <c r="K226" s="212" t="s">
        <v>138</v>
      </c>
      <c r="L226" s="212" t="s">
        <v>139</v>
      </c>
      <c r="M226" s="212" t="s">
        <v>44</v>
      </c>
      <c r="N226" s="212" t="s">
        <v>45</v>
      </c>
      <c r="O226" s="212" t="s">
        <v>142</v>
      </c>
      <c r="P226" s="212" t="s">
        <v>43</v>
      </c>
      <c r="R226" s="212">
        <v>236</v>
      </c>
      <c r="S226" s="479">
        <v>44242</v>
      </c>
      <c r="T226" s="212" t="s">
        <v>3069</v>
      </c>
      <c r="U226" s="475">
        <v>7500000</v>
      </c>
      <c r="V226" s="406"/>
      <c r="W226" s="362"/>
      <c r="X226" s="483">
        <v>179</v>
      </c>
      <c r="Y226" s="484">
        <v>44249</v>
      </c>
      <c r="Z226" s="484">
        <v>44249</v>
      </c>
      <c r="AA226" s="484">
        <v>44338</v>
      </c>
      <c r="AB226" s="485" t="s">
        <v>2548</v>
      </c>
      <c r="AC226" s="483">
        <v>116</v>
      </c>
      <c r="AD226" s="485">
        <v>1032485670</v>
      </c>
      <c r="AE226" s="486" t="s">
        <v>3070</v>
      </c>
      <c r="AF226" s="473">
        <v>7500000</v>
      </c>
      <c r="AG226" s="474">
        <f t="shared" si="3"/>
        <v>0</v>
      </c>
      <c r="AK226" s="475">
        <f>583333+2500000</f>
        <v>3083333</v>
      </c>
      <c r="AL226" s="475">
        <v>2500000</v>
      </c>
      <c r="AM226" s="212"/>
      <c r="AQ226" s="507"/>
      <c r="AR226" s="508"/>
      <c r="AS226" s="509"/>
    </row>
    <row r="227" spans="1:50" ht="15" hidden="1" customHeight="1" x14ac:dyDescent="0.35">
      <c r="A227" s="494" t="s">
        <v>2400</v>
      </c>
      <c r="B227" s="495">
        <v>144585266</v>
      </c>
      <c r="C227" s="212" t="s">
        <v>2544</v>
      </c>
      <c r="D227" s="478">
        <v>223</v>
      </c>
      <c r="E227" s="478">
        <v>20212000006253</v>
      </c>
      <c r="F227" s="479">
        <v>44236</v>
      </c>
      <c r="G227" s="478" t="s">
        <v>2538</v>
      </c>
      <c r="H227" s="212" t="s">
        <v>2539</v>
      </c>
      <c r="I227" s="212" t="s">
        <v>391</v>
      </c>
      <c r="J227" s="475">
        <v>128656500</v>
      </c>
      <c r="K227" s="210" t="s">
        <v>2609</v>
      </c>
      <c r="L227" s="212" t="s">
        <v>2610</v>
      </c>
      <c r="M227" s="212" t="s">
        <v>44</v>
      </c>
      <c r="N227" s="212" t="s">
        <v>45</v>
      </c>
      <c r="O227" s="212" t="s">
        <v>63</v>
      </c>
      <c r="P227" s="212" t="s">
        <v>674</v>
      </c>
      <c r="R227" s="212">
        <v>221</v>
      </c>
      <c r="S227" s="479">
        <v>44236</v>
      </c>
      <c r="T227" s="212" t="s">
        <v>3071</v>
      </c>
      <c r="U227" s="475">
        <f>128656500-12253000</f>
        <v>116403500</v>
      </c>
      <c r="V227" s="411">
        <v>12253000</v>
      </c>
      <c r="W227" s="397"/>
      <c r="X227" s="308">
        <v>235</v>
      </c>
      <c r="Y227" s="484">
        <v>44260</v>
      </c>
      <c r="Z227" s="484">
        <v>44260</v>
      </c>
      <c r="AA227" s="484">
        <v>44260</v>
      </c>
      <c r="AB227" s="485" t="s">
        <v>2548</v>
      </c>
      <c r="AC227" s="211">
        <v>166</v>
      </c>
      <c r="AD227" s="485" t="s">
        <v>3072</v>
      </c>
      <c r="AE227" s="486" t="s">
        <v>3073</v>
      </c>
      <c r="AF227" s="473">
        <v>116403500</v>
      </c>
      <c r="AG227" s="474">
        <f t="shared" si="3"/>
        <v>0</v>
      </c>
      <c r="AK227" s="475">
        <v>10619267</v>
      </c>
      <c r="AL227" s="475">
        <v>12253000</v>
      </c>
      <c r="AM227" s="306">
        <v>12253000</v>
      </c>
      <c r="AQ227" s="507"/>
      <c r="AR227" s="508"/>
      <c r="AS227" s="509"/>
    </row>
    <row r="228" spans="1:50" ht="15" hidden="1" customHeight="1" x14ac:dyDescent="0.35">
      <c r="A228" s="476" t="s">
        <v>2149</v>
      </c>
      <c r="B228" s="477">
        <v>55000000</v>
      </c>
      <c r="C228" s="212" t="s">
        <v>2544</v>
      </c>
      <c r="D228" s="212">
        <v>224</v>
      </c>
      <c r="E228" s="478">
        <v>20217000002473</v>
      </c>
      <c r="F228" s="479">
        <v>44229</v>
      </c>
      <c r="G228" s="478" t="s">
        <v>2545</v>
      </c>
      <c r="H228" s="212" t="s">
        <v>2546</v>
      </c>
      <c r="I228" s="212" t="s">
        <v>164</v>
      </c>
      <c r="J228" s="475">
        <v>24530202</v>
      </c>
      <c r="K228" s="212" t="s">
        <v>138</v>
      </c>
      <c r="L228" s="212" t="s">
        <v>139</v>
      </c>
      <c r="M228" s="212" t="s">
        <v>44</v>
      </c>
      <c r="N228" s="212" t="s">
        <v>45</v>
      </c>
      <c r="O228" s="212" t="s">
        <v>142</v>
      </c>
      <c r="P228" s="212" t="s">
        <v>43</v>
      </c>
      <c r="R228" s="212">
        <v>175</v>
      </c>
      <c r="S228" s="479">
        <v>44229</v>
      </c>
      <c r="T228" s="212" t="s">
        <v>3074</v>
      </c>
      <c r="U228" s="475">
        <f>24530202</f>
        <v>24530202</v>
      </c>
      <c r="V228" s="406"/>
      <c r="W228" s="362"/>
      <c r="X228" s="308">
        <v>236</v>
      </c>
      <c r="Y228" s="484">
        <v>44260</v>
      </c>
      <c r="Z228" s="484">
        <v>44260</v>
      </c>
      <c r="AA228" s="484">
        <v>44382</v>
      </c>
      <c r="AB228" s="485" t="s">
        <v>2548</v>
      </c>
      <c r="AC228" s="211">
        <v>173</v>
      </c>
      <c r="AD228" s="485" t="s">
        <v>3075</v>
      </c>
      <c r="AE228" s="486" t="s">
        <v>3076</v>
      </c>
      <c r="AF228" s="473">
        <v>16353468</v>
      </c>
      <c r="AG228" s="474">
        <f t="shared" si="3"/>
        <v>8176734</v>
      </c>
      <c r="AK228" s="475">
        <v>3543251</v>
      </c>
      <c r="AL228" s="475">
        <v>4088367</v>
      </c>
      <c r="AM228" s="306">
        <v>4088367</v>
      </c>
      <c r="AQ228" s="507"/>
      <c r="AR228" s="508"/>
      <c r="AS228" s="509"/>
    </row>
    <row r="229" spans="1:50" s="312" customFormat="1" ht="15.75" hidden="1" customHeight="1" x14ac:dyDescent="0.35">
      <c r="A229" s="361"/>
      <c r="B229" s="420" t="s">
        <v>2581</v>
      </c>
      <c r="C229" s="312" t="s">
        <v>3077</v>
      </c>
      <c r="D229" s="325">
        <v>225</v>
      </c>
      <c r="E229" s="325">
        <v>20214000007813</v>
      </c>
      <c r="F229" s="315">
        <v>44239</v>
      </c>
      <c r="G229" s="325" t="s">
        <v>2578</v>
      </c>
      <c r="H229" s="312" t="s">
        <v>2579</v>
      </c>
      <c r="I229" s="312" t="s">
        <v>47</v>
      </c>
      <c r="J229" s="406">
        <v>10749742</v>
      </c>
      <c r="K229" s="312" t="s">
        <v>37</v>
      </c>
      <c r="L229" s="510" t="s">
        <v>3078</v>
      </c>
      <c r="M229" s="312" t="s">
        <v>44</v>
      </c>
      <c r="N229" s="312" t="s">
        <v>45</v>
      </c>
      <c r="O229" s="212" t="s">
        <v>310</v>
      </c>
      <c r="P229" s="312" t="s">
        <v>43</v>
      </c>
      <c r="R229" s="312">
        <v>238</v>
      </c>
      <c r="S229" s="315">
        <v>44242</v>
      </c>
      <c r="T229" s="312" t="s">
        <v>3079</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x14ac:dyDescent="0.35">
      <c r="A230" s="476" t="s">
        <v>2040</v>
      </c>
      <c r="B230" s="477">
        <v>36000000</v>
      </c>
      <c r="C230" s="212" t="s">
        <v>2660</v>
      </c>
      <c r="D230" s="478">
        <v>226</v>
      </c>
      <c r="E230" s="478">
        <v>20213000007853</v>
      </c>
      <c r="F230" s="479">
        <v>44243</v>
      </c>
      <c r="G230" s="478" t="s">
        <v>2538</v>
      </c>
      <c r="H230" s="212" t="s">
        <v>2539</v>
      </c>
      <c r="I230" s="212" t="s">
        <v>432</v>
      </c>
      <c r="J230" s="475">
        <v>16353468</v>
      </c>
      <c r="K230" s="212" t="s">
        <v>358</v>
      </c>
      <c r="L230" s="212" t="s">
        <v>2689</v>
      </c>
      <c r="M230" s="212" t="s">
        <v>44</v>
      </c>
      <c r="N230" s="212" t="s">
        <v>45</v>
      </c>
      <c r="O230" s="212" t="s">
        <v>63</v>
      </c>
      <c r="P230" s="212" t="s">
        <v>674</v>
      </c>
      <c r="R230" s="212">
        <v>240</v>
      </c>
      <c r="S230" s="479">
        <v>44243</v>
      </c>
      <c r="T230" s="212" t="s">
        <v>3080</v>
      </c>
      <c r="U230" s="475">
        <v>16353468</v>
      </c>
      <c r="V230" s="406"/>
      <c r="W230" s="362"/>
      <c r="X230" s="483">
        <v>201</v>
      </c>
      <c r="Y230" s="484">
        <v>44253</v>
      </c>
      <c r="Z230" s="484">
        <v>44253</v>
      </c>
      <c r="AA230" s="484">
        <v>44373</v>
      </c>
      <c r="AB230" s="485" t="s">
        <v>2548</v>
      </c>
      <c r="AC230" s="483">
        <v>139</v>
      </c>
      <c r="AD230" s="485">
        <v>1014246288</v>
      </c>
      <c r="AE230" s="486" t="s">
        <v>3081</v>
      </c>
      <c r="AF230" s="473">
        <v>16353468</v>
      </c>
      <c r="AG230" s="474">
        <f t="shared" si="3"/>
        <v>0</v>
      </c>
      <c r="AK230" s="475">
        <v>4088367</v>
      </c>
      <c r="AL230" s="475">
        <v>4088367</v>
      </c>
      <c r="AM230" s="306">
        <v>4088367</v>
      </c>
      <c r="AQ230" s="507"/>
      <c r="AR230" s="508"/>
      <c r="AS230" s="509"/>
    </row>
    <row r="231" spans="1:50" ht="13.5" hidden="1" customHeight="1" x14ac:dyDescent="0.35">
      <c r="A231" s="476" t="s">
        <v>2033</v>
      </c>
      <c r="B231" s="477">
        <v>39500000</v>
      </c>
      <c r="C231" s="212" t="s">
        <v>2544</v>
      </c>
      <c r="D231" s="478">
        <v>227</v>
      </c>
      <c r="E231" s="478">
        <v>20214000004803</v>
      </c>
      <c r="F231" s="479">
        <v>44229</v>
      </c>
      <c r="G231" s="478" t="s">
        <v>2571</v>
      </c>
      <c r="H231" s="212" t="s">
        <v>2572</v>
      </c>
      <c r="I231" s="212" t="s">
        <v>117</v>
      </c>
      <c r="J231" s="475">
        <v>31600000</v>
      </c>
      <c r="K231" s="212" t="s">
        <v>112</v>
      </c>
      <c r="L231" s="212" t="s">
        <v>2573</v>
      </c>
      <c r="M231" s="212" t="s">
        <v>44</v>
      </c>
      <c r="N231" s="212" t="s">
        <v>45</v>
      </c>
      <c r="O231" s="212" t="s">
        <v>63</v>
      </c>
      <c r="P231" s="212" t="s">
        <v>43</v>
      </c>
      <c r="R231" s="212">
        <v>173</v>
      </c>
      <c r="S231" s="479">
        <v>44229</v>
      </c>
      <c r="T231" s="212" t="s">
        <v>3082</v>
      </c>
      <c r="U231" s="475">
        <v>31600000</v>
      </c>
      <c r="V231" s="406"/>
      <c r="W231" s="362"/>
      <c r="X231" s="308">
        <v>237</v>
      </c>
      <c r="Y231" s="484">
        <v>44260</v>
      </c>
      <c r="Z231" s="484">
        <v>44260</v>
      </c>
      <c r="AA231" s="484">
        <v>44505</v>
      </c>
      <c r="AB231" s="485" t="s">
        <v>2548</v>
      </c>
      <c r="AC231" s="211">
        <v>171</v>
      </c>
      <c r="AD231" s="485" t="s">
        <v>3083</v>
      </c>
      <c r="AE231" s="486" t="s">
        <v>3084</v>
      </c>
      <c r="AF231" s="473">
        <v>31600000</v>
      </c>
      <c r="AG231" s="474">
        <f t="shared" si="3"/>
        <v>0</v>
      </c>
      <c r="AK231" s="475">
        <v>3423333</v>
      </c>
      <c r="AL231" s="475">
        <v>3950000</v>
      </c>
      <c r="AM231" s="306">
        <v>3950000</v>
      </c>
      <c r="AQ231" s="507"/>
      <c r="AR231" s="508"/>
      <c r="AS231" s="509"/>
    </row>
    <row r="232" spans="1:50" ht="13.5" hidden="1" customHeight="1" x14ac:dyDescent="0.35">
      <c r="A232" s="476" t="s">
        <v>2038</v>
      </c>
      <c r="B232" s="477">
        <v>18568000</v>
      </c>
      <c r="C232" s="212" t="s">
        <v>3085</v>
      </c>
      <c r="D232" s="478">
        <v>228</v>
      </c>
      <c r="E232" s="309">
        <v>20213000009223</v>
      </c>
      <c r="F232" s="479">
        <v>44252</v>
      </c>
      <c r="G232" s="478" t="s">
        <v>2538</v>
      </c>
      <c r="H232" s="212" t="s">
        <v>2539</v>
      </c>
      <c r="I232" s="212" t="s">
        <v>432</v>
      </c>
      <c r="J232" s="475">
        <v>18160000</v>
      </c>
      <c r="K232" s="212" t="s">
        <v>342</v>
      </c>
      <c r="L232" s="212" t="s">
        <v>351</v>
      </c>
      <c r="M232" s="212" t="s">
        <v>44</v>
      </c>
      <c r="N232" s="212" t="s">
        <v>45</v>
      </c>
      <c r="O232" s="212" t="s">
        <v>63</v>
      </c>
      <c r="P232" s="212" t="s">
        <v>674</v>
      </c>
      <c r="R232" s="486">
        <v>301</v>
      </c>
      <c r="S232" s="490">
        <v>44252</v>
      </c>
      <c r="T232" s="486" t="s">
        <v>3086</v>
      </c>
      <c r="U232" s="475">
        <v>18160000</v>
      </c>
      <c r="V232" s="406"/>
      <c r="W232" s="362"/>
      <c r="X232" s="308">
        <v>238</v>
      </c>
      <c r="Y232" s="484">
        <v>44260</v>
      </c>
      <c r="Z232" s="484">
        <v>44260</v>
      </c>
      <c r="AA232" s="484">
        <v>44505</v>
      </c>
      <c r="AB232" s="485" t="s">
        <v>2548</v>
      </c>
      <c r="AC232" s="211">
        <v>169</v>
      </c>
      <c r="AD232" s="485" t="s">
        <v>3087</v>
      </c>
      <c r="AE232" s="486" t="s">
        <v>3088</v>
      </c>
      <c r="AF232" s="473">
        <v>18160000</v>
      </c>
      <c r="AG232" s="474">
        <f t="shared" si="3"/>
        <v>0</v>
      </c>
      <c r="AK232" s="475">
        <v>1967333</v>
      </c>
      <c r="AL232" s="475">
        <v>2270000</v>
      </c>
      <c r="AM232" s="306">
        <v>2270000</v>
      </c>
      <c r="AQ232" s="507"/>
      <c r="AR232" s="508"/>
      <c r="AS232" s="509"/>
    </row>
    <row r="233" spans="1:50" ht="13.5" hidden="1" customHeight="1" x14ac:dyDescent="0.35">
      <c r="B233" s="501" t="s">
        <v>2914</v>
      </c>
      <c r="C233" s="212" t="s">
        <v>2660</v>
      </c>
      <c r="D233" s="478">
        <v>229</v>
      </c>
      <c r="E233" s="478">
        <v>20217000008063</v>
      </c>
      <c r="F233" s="479">
        <v>44243</v>
      </c>
      <c r="G233" s="478" t="s">
        <v>2545</v>
      </c>
      <c r="H233" s="212" t="s">
        <v>2546</v>
      </c>
      <c r="I233" s="212" t="s">
        <v>164</v>
      </c>
      <c r="J233" s="475">
        <v>6144620</v>
      </c>
      <c r="K233" s="212" t="s">
        <v>138</v>
      </c>
      <c r="L233" s="212" t="s">
        <v>139</v>
      </c>
      <c r="M233" s="212" t="s">
        <v>44</v>
      </c>
      <c r="N233" s="212" t="s">
        <v>45</v>
      </c>
      <c r="O233" s="212" t="s">
        <v>142</v>
      </c>
      <c r="P233" s="212" t="s">
        <v>43</v>
      </c>
      <c r="R233" s="212">
        <v>245</v>
      </c>
      <c r="S233" s="479">
        <v>44243</v>
      </c>
      <c r="T233" s="212" t="s">
        <v>3089</v>
      </c>
      <c r="U233" s="475">
        <v>6144620</v>
      </c>
      <c r="V233" s="406"/>
      <c r="W233" s="362"/>
      <c r="X233" s="483">
        <v>203</v>
      </c>
      <c r="Y233" s="484">
        <v>44253</v>
      </c>
      <c r="Z233" s="484">
        <v>44254</v>
      </c>
      <c r="AA233" s="484">
        <v>44312</v>
      </c>
      <c r="AB233" s="485" t="s">
        <v>2548</v>
      </c>
      <c r="AC233" s="483">
        <v>524</v>
      </c>
      <c r="AD233" s="485">
        <v>1030662898</v>
      </c>
      <c r="AE233" s="486" t="s">
        <v>3090</v>
      </c>
      <c r="AF233" s="473">
        <v>6144620</v>
      </c>
      <c r="AG233" s="474">
        <f t="shared" si="3"/>
        <v>0</v>
      </c>
      <c r="AJ233" s="475">
        <v>3072310</v>
      </c>
      <c r="AK233" s="475">
        <v>3072310</v>
      </c>
      <c r="AM233" s="212"/>
      <c r="AQ233" s="507"/>
      <c r="AR233" s="508"/>
      <c r="AS233" s="509"/>
    </row>
    <row r="234" spans="1:50" ht="13.5" hidden="1" customHeight="1" x14ac:dyDescent="0.35">
      <c r="B234" s="501" t="s">
        <v>2581</v>
      </c>
      <c r="C234" s="212" t="s">
        <v>2544</v>
      </c>
      <c r="D234" s="478">
        <v>230</v>
      </c>
      <c r="E234" s="478">
        <v>20217000008093</v>
      </c>
      <c r="F234" s="479">
        <v>44243</v>
      </c>
      <c r="G234" s="478" t="s">
        <v>2545</v>
      </c>
      <c r="H234" s="212" t="s">
        <v>2546</v>
      </c>
      <c r="I234" s="212" t="s">
        <v>164</v>
      </c>
      <c r="J234" s="475">
        <v>16000000</v>
      </c>
      <c r="K234" s="212" t="s">
        <v>138</v>
      </c>
      <c r="L234" s="212" t="s">
        <v>139</v>
      </c>
      <c r="M234" s="212" t="s">
        <v>44</v>
      </c>
      <c r="N234" s="212" t="s">
        <v>45</v>
      </c>
      <c r="O234" s="212" t="s">
        <v>142</v>
      </c>
      <c r="P234" s="212" t="s">
        <v>43</v>
      </c>
      <c r="R234" s="212">
        <v>246</v>
      </c>
      <c r="S234" s="479">
        <v>44243</v>
      </c>
      <c r="T234" s="212" t="s">
        <v>3091</v>
      </c>
      <c r="U234" s="475">
        <v>16000000</v>
      </c>
      <c r="V234" s="406"/>
      <c r="W234" s="362"/>
      <c r="X234" s="483">
        <v>168</v>
      </c>
      <c r="Y234" s="484">
        <v>44246</v>
      </c>
      <c r="Z234" s="484">
        <v>44248</v>
      </c>
      <c r="AA234" s="484">
        <v>44306</v>
      </c>
      <c r="AB234" s="485" t="s">
        <v>2548</v>
      </c>
      <c r="AC234" s="483">
        <v>510</v>
      </c>
      <c r="AD234" s="485">
        <v>53011075</v>
      </c>
      <c r="AE234" s="486" t="s">
        <v>3092</v>
      </c>
      <c r="AF234" s="473">
        <v>16000000</v>
      </c>
      <c r="AG234" s="474">
        <f t="shared" si="3"/>
        <v>0</v>
      </c>
      <c r="AL234" s="475">
        <v>10666667</v>
      </c>
      <c r="AM234" s="212"/>
      <c r="AQ234" s="507"/>
      <c r="AR234" s="508"/>
      <c r="AS234" s="509"/>
    </row>
    <row r="235" spans="1:50" ht="15" hidden="1" customHeight="1" x14ac:dyDescent="0.35">
      <c r="A235" s="476" t="s">
        <v>2155</v>
      </c>
      <c r="B235" s="477">
        <v>60000000</v>
      </c>
      <c r="C235" s="212" t="s">
        <v>2660</v>
      </c>
      <c r="D235" s="478">
        <v>231</v>
      </c>
      <c r="E235" s="309">
        <v>20217000010173</v>
      </c>
      <c r="F235" s="310">
        <v>44251</v>
      </c>
      <c r="G235" s="478" t="s">
        <v>2545</v>
      </c>
      <c r="H235" s="212" t="s">
        <v>2546</v>
      </c>
      <c r="I235" s="212" t="s">
        <v>164</v>
      </c>
      <c r="J235" s="475">
        <v>57237138</v>
      </c>
      <c r="K235" s="212" t="s">
        <v>138</v>
      </c>
      <c r="L235" s="212" t="s">
        <v>139</v>
      </c>
      <c r="M235" s="212" t="s">
        <v>44</v>
      </c>
      <c r="N235" s="212" t="s">
        <v>45</v>
      </c>
      <c r="O235" s="212" t="s">
        <v>142</v>
      </c>
      <c r="P235" s="212" t="s">
        <v>43</v>
      </c>
      <c r="R235" s="486">
        <v>293</v>
      </c>
      <c r="S235" s="490">
        <v>44251</v>
      </c>
      <c r="T235" s="486" t="s">
        <v>3093</v>
      </c>
      <c r="U235" s="475">
        <v>57237138</v>
      </c>
      <c r="V235" s="406"/>
      <c r="W235" s="362"/>
      <c r="X235" s="308">
        <v>239</v>
      </c>
      <c r="Y235" s="484">
        <v>44260</v>
      </c>
      <c r="Z235" s="484">
        <v>44260</v>
      </c>
      <c r="AA235" s="484">
        <v>44474</v>
      </c>
      <c r="AB235" s="485" t="s">
        <v>2548</v>
      </c>
      <c r="AC235" s="211">
        <v>170</v>
      </c>
      <c r="AD235" s="485" t="s">
        <v>3094</v>
      </c>
      <c r="AE235" s="486" t="s">
        <v>3095</v>
      </c>
      <c r="AF235" s="473">
        <v>57237138</v>
      </c>
      <c r="AG235" s="474">
        <f t="shared" si="3"/>
        <v>0</v>
      </c>
      <c r="AK235" s="475">
        <v>7359060</v>
      </c>
      <c r="AL235" s="475">
        <v>8176734</v>
      </c>
      <c r="AM235" s="306">
        <v>8176734</v>
      </c>
      <c r="AQ235" s="507"/>
      <c r="AR235" s="508"/>
      <c r="AS235" s="509"/>
    </row>
    <row r="236" spans="1:50" ht="15" hidden="1" customHeight="1" x14ac:dyDescent="0.35">
      <c r="A236" s="476" t="s">
        <v>2375</v>
      </c>
      <c r="B236" s="477">
        <v>21804624</v>
      </c>
      <c r="C236" s="212" t="s">
        <v>2544</v>
      </c>
      <c r="D236" s="478">
        <v>232</v>
      </c>
      <c r="E236" s="478">
        <v>20211300005553</v>
      </c>
      <c r="F236" s="479">
        <v>44230</v>
      </c>
      <c r="G236" s="478" t="s">
        <v>2545</v>
      </c>
      <c r="H236" s="212" t="s">
        <v>2546</v>
      </c>
      <c r="I236" s="212" t="s">
        <v>210</v>
      </c>
      <c r="J236" s="475">
        <v>21804624</v>
      </c>
      <c r="K236" s="212" t="s">
        <v>138</v>
      </c>
      <c r="L236" s="212" t="s">
        <v>139</v>
      </c>
      <c r="M236" s="212" t="s">
        <v>44</v>
      </c>
      <c r="N236" s="212" t="s">
        <v>45</v>
      </c>
      <c r="O236" s="212" t="s">
        <v>142</v>
      </c>
      <c r="P236" s="212" t="s">
        <v>43</v>
      </c>
      <c r="R236" s="212">
        <v>194</v>
      </c>
      <c r="S236" s="479">
        <v>44230</v>
      </c>
      <c r="T236" s="212" t="s">
        <v>3096</v>
      </c>
      <c r="U236" s="475">
        <v>21804624</v>
      </c>
      <c r="V236" s="406"/>
      <c r="W236" s="362"/>
      <c r="X236" s="308">
        <v>240</v>
      </c>
      <c r="Y236" s="484">
        <v>44260</v>
      </c>
      <c r="Z236" s="484">
        <v>44260</v>
      </c>
      <c r="AA236" s="484">
        <v>44382</v>
      </c>
      <c r="AB236" s="485" t="s">
        <v>2548</v>
      </c>
      <c r="AC236" s="211">
        <v>172</v>
      </c>
      <c r="AD236" s="485" t="s">
        <v>3097</v>
      </c>
      <c r="AE236" s="486" t="s">
        <v>3098</v>
      </c>
      <c r="AF236" s="473">
        <v>21804624</v>
      </c>
      <c r="AG236" s="474">
        <f t="shared" si="3"/>
        <v>0</v>
      </c>
      <c r="AK236" s="475">
        <v>4724335</v>
      </c>
      <c r="AL236" s="475">
        <v>5451156</v>
      </c>
      <c r="AM236" s="306">
        <v>5451156</v>
      </c>
      <c r="AQ236" s="507"/>
      <c r="AR236" s="508"/>
      <c r="AS236" s="509"/>
    </row>
    <row r="237" spans="1:50" ht="15" hidden="1" customHeight="1" x14ac:dyDescent="0.35">
      <c r="A237" s="476" t="s">
        <v>1835</v>
      </c>
      <c r="B237" s="477">
        <v>78234000</v>
      </c>
      <c r="C237" s="212" t="s">
        <v>2544</v>
      </c>
      <c r="D237" s="478">
        <v>233</v>
      </c>
      <c r="E237" s="478">
        <v>20212000007973</v>
      </c>
      <c r="F237" s="479">
        <v>44243</v>
      </c>
      <c r="G237" s="478" t="s">
        <v>2538</v>
      </c>
      <c r="H237" s="212" t="s">
        <v>2539</v>
      </c>
      <c r="I237" s="212" t="s">
        <v>391</v>
      </c>
      <c r="J237" s="475">
        <v>66300000</v>
      </c>
      <c r="K237" s="210" t="s">
        <v>2609</v>
      </c>
      <c r="L237" s="212" t="s">
        <v>2610</v>
      </c>
      <c r="M237" s="212" t="s">
        <v>44</v>
      </c>
      <c r="N237" s="212" t="s">
        <v>45</v>
      </c>
      <c r="O237" s="212" t="s">
        <v>63</v>
      </c>
      <c r="P237" s="212" t="s">
        <v>674</v>
      </c>
      <c r="R237" s="212">
        <v>244</v>
      </c>
      <c r="S237" s="479">
        <v>44243</v>
      </c>
      <c r="T237" s="212" t="s">
        <v>3099</v>
      </c>
      <c r="U237" s="475">
        <v>66300000</v>
      </c>
      <c r="V237" s="406"/>
      <c r="W237" s="362"/>
      <c r="X237" s="483">
        <v>202</v>
      </c>
      <c r="Y237" s="484">
        <v>44253</v>
      </c>
      <c r="Z237" s="484">
        <v>44253</v>
      </c>
      <c r="AA237" s="484">
        <v>44556</v>
      </c>
      <c r="AB237" s="485" t="s">
        <v>2548</v>
      </c>
      <c r="AC237" s="483">
        <v>141</v>
      </c>
      <c r="AD237" s="485">
        <v>1012359881</v>
      </c>
      <c r="AE237" s="486" t="s">
        <v>3100</v>
      </c>
      <c r="AF237" s="473">
        <v>66300000</v>
      </c>
      <c r="AG237" s="474">
        <f t="shared" si="3"/>
        <v>0</v>
      </c>
      <c r="AK237" s="475">
        <v>6630000</v>
      </c>
      <c r="AL237" s="475">
        <v>6630000</v>
      </c>
      <c r="AM237" s="306">
        <v>6630000</v>
      </c>
      <c r="AQ237" s="507"/>
      <c r="AR237" s="508"/>
      <c r="AS237" s="509"/>
    </row>
    <row r="238" spans="1:50" ht="15" hidden="1" customHeight="1" x14ac:dyDescent="0.35">
      <c r="B238" s="501"/>
      <c r="C238" s="212" t="s">
        <v>3101</v>
      </c>
      <c r="D238" s="309">
        <v>234</v>
      </c>
      <c r="E238" s="309">
        <v>20215000008993</v>
      </c>
      <c r="F238" s="479">
        <v>44245</v>
      </c>
      <c r="G238" s="478" t="s">
        <v>2538</v>
      </c>
      <c r="H238" s="212" t="s">
        <v>2539</v>
      </c>
      <c r="I238" s="212" t="s">
        <v>228</v>
      </c>
      <c r="J238" s="475">
        <v>9500000</v>
      </c>
      <c r="K238" s="212" t="s">
        <v>223</v>
      </c>
      <c r="L238" s="212" t="s">
        <v>257</v>
      </c>
      <c r="M238" s="212" t="s">
        <v>44</v>
      </c>
      <c r="N238" s="212" t="s">
        <v>45</v>
      </c>
      <c r="O238" s="212" t="s">
        <v>46</v>
      </c>
      <c r="P238" s="212" t="s">
        <v>674</v>
      </c>
      <c r="R238" s="486">
        <v>274</v>
      </c>
      <c r="S238" s="490">
        <v>44246</v>
      </c>
      <c r="T238" s="486" t="s">
        <v>3102</v>
      </c>
      <c r="U238" s="480">
        <f>9500000-500000</f>
        <v>9000000</v>
      </c>
      <c r="V238" s="411">
        <v>500000</v>
      </c>
      <c r="W238" s="398"/>
      <c r="X238" s="308">
        <v>241</v>
      </c>
      <c r="Y238" s="484">
        <v>44260</v>
      </c>
      <c r="Z238" s="484">
        <v>44260</v>
      </c>
      <c r="AA238" s="484">
        <v>44286</v>
      </c>
      <c r="AB238" s="485" t="s">
        <v>3004</v>
      </c>
      <c r="AC238" s="211">
        <v>108</v>
      </c>
      <c r="AD238" s="485" t="s">
        <v>3103</v>
      </c>
      <c r="AE238" s="486" t="s">
        <v>3104</v>
      </c>
      <c r="AF238" s="473">
        <v>9000000</v>
      </c>
      <c r="AG238" s="474">
        <f t="shared" si="3"/>
        <v>0</v>
      </c>
      <c r="AJ238" s="475">
        <v>8374800</v>
      </c>
      <c r="AM238" s="212"/>
      <c r="AQ238" s="507"/>
      <c r="AR238" s="508"/>
      <c r="AS238" s="509"/>
    </row>
    <row r="239" spans="1:50" ht="15" hidden="1" customHeight="1" x14ac:dyDescent="0.35">
      <c r="A239" s="476" t="s">
        <v>1996</v>
      </c>
      <c r="B239" s="477">
        <v>64900000</v>
      </c>
      <c r="C239" s="212" t="s">
        <v>2544</v>
      </c>
      <c r="D239" s="309">
        <v>235</v>
      </c>
      <c r="E239" s="478">
        <v>20215000000873</v>
      </c>
      <c r="F239" s="479">
        <v>44211</v>
      </c>
      <c r="G239" s="478" t="s">
        <v>2538</v>
      </c>
      <c r="H239" s="212" t="s">
        <v>2539</v>
      </c>
      <c r="I239" s="212" t="s">
        <v>228</v>
      </c>
      <c r="J239" s="475">
        <v>64900000</v>
      </c>
      <c r="K239" s="212" t="s">
        <v>223</v>
      </c>
      <c r="L239" s="212" t="s">
        <v>233</v>
      </c>
      <c r="M239" s="212" t="s">
        <v>44</v>
      </c>
      <c r="N239" s="212" t="s">
        <v>45</v>
      </c>
      <c r="O239" s="212" t="s">
        <v>63</v>
      </c>
      <c r="P239" s="212" t="s">
        <v>674</v>
      </c>
      <c r="R239" s="212">
        <v>34</v>
      </c>
      <c r="S239" s="479">
        <v>44211</v>
      </c>
      <c r="T239" s="212" t="s">
        <v>2618</v>
      </c>
      <c r="U239" s="475">
        <f>64900000-8850000</f>
        <v>56050000</v>
      </c>
      <c r="V239" s="411">
        <v>8850000</v>
      </c>
      <c r="W239" s="397"/>
      <c r="X239" s="308">
        <v>242</v>
      </c>
      <c r="Y239" s="484">
        <v>44260</v>
      </c>
      <c r="Z239" s="484">
        <v>44260</v>
      </c>
      <c r="AA239" s="484">
        <v>44545</v>
      </c>
      <c r="AB239" s="485" t="s">
        <v>2548</v>
      </c>
      <c r="AC239" s="211">
        <v>161</v>
      </c>
      <c r="AD239" s="485" t="s">
        <v>3105</v>
      </c>
      <c r="AE239" s="486" t="s">
        <v>3106</v>
      </c>
      <c r="AF239" s="473">
        <v>56050000</v>
      </c>
      <c r="AG239" s="474">
        <f t="shared" si="3"/>
        <v>0</v>
      </c>
      <c r="AK239" s="475">
        <v>5113333</v>
      </c>
      <c r="AL239" s="475">
        <v>5900000</v>
      </c>
      <c r="AM239" s="306">
        <v>5900000</v>
      </c>
      <c r="AQ239" s="507"/>
      <c r="AR239" s="508"/>
      <c r="AS239" s="509"/>
    </row>
    <row r="240" spans="1:50" ht="15.75" hidden="1" customHeight="1" x14ac:dyDescent="0.35">
      <c r="A240" s="476" t="s">
        <v>3107</v>
      </c>
      <c r="B240" s="477">
        <v>27255780</v>
      </c>
      <c r="C240" s="511" t="s">
        <v>2544</v>
      </c>
      <c r="D240" s="309">
        <v>236</v>
      </c>
      <c r="E240" s="309">
        <v>20217000009293</v>
      </c>
      <c r="F240" s="310">
        <v>44249</v>
      </c>
      <c r="G240" s="309" t="s">
        <v>2545</v>
      </c>
      <c r="H240" s="210" t="s">
        <v>2546</v>
      </c>
      <c r="I240" s="210" t="s">
        <v>164</v>
      </c>
      <c r="J240" s="407">
        <v>16353468</v>
      </c>
      <c r="K240" s="210" t="s">
        <v>3108</v>
      </c>
      <c r="L240" s="210" t="s">
        <v>139</v>
      </c>
      <c r="M240" s="210" t="s">
        <v>44</v>
      </c>
      <c r="N240" s="210" t="s">
        <v>45</v>
      </c>
      <c r="O240" s="212" t="s">
        <v>142</v>
      </c>
      <c r="P240" s="210" t="s">
        <v>43</v>
      </c>
      <c r="Q240" s="210"/>
      <c r="R240" s="486">
        <v>280</v>
      </c>
      <c r="S240" s="490">
        <v>44249</v>
      </c>
      <c r="T240" s="486" t="s">
        <v>3109</v>
      </c>
      <c r="U240" s="475">
        <v>16353468</v>
      </c>
      <c r="V240" s="406"/>
      <c r="W240" s="362"/>
      <c r="X240" s="319">
        <v>244</v>
      </c>
      <c r="Y240" s="484">
        <v>44260</v>
      </c>
      <c r="Z240" s="484">
        <v>44260</v>
      </c>
      <c r="AA240" s="484">
        <v>44444</v>
      </c>
      <c r="AB240" s="485" t="s">
        <v>2548</v>
      </c>
      <c r="AC240" s="322">
        <v>175</v>
      </c>
      <c r="AD240" s="485" t="s">
        <v>3110</v>
      </c>
      <c r="AE240" s="486" t="s">
        <v>3111</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x14ac:dyDescent="0.35">
      <c r="A241" s="476" t="s">
        <v>2064</v>
      </c>
      <c r="B241" s="477">
        <v>64900000</v>
      </c>
      <c r="C241" s="212" t="s">
        <v>2660</v>
      </c>
      <c r="D241" s="309">
        <v>237</v>
      </c>
      <c r="E241" s="309">
        <v>20215000007213</v>
      </c>
      <c r="F241" s="479">
        <v>44243</v>
      </c>
      <c r="G241" s="309" t="s">
        <v>2538</v>
      </c>
      <c r="H241" s="210" t="s">
        <v>2539</v>
      </c>
      <c r="I241" s="210" t="s">
        <v>228</v>
      </c>
      <c r="J241" s="407">
        <v>64900000</v>
      </c>
      <c r="K241" s="212" t="s">
        <v>288</v>
      </c>
      <c r="L241" s="212" t="s">
        <v>2634</v>
      </c>
      <c r="M241" s="212" t="s">
        <v>44</v>
      </c>
      <c r="N241" s="212" t="s">
        <v>45</v>
      </c>
      <c r="O241" s="212" t="s">
        <v>63</v>
      </c>
      <c r="P241" s="212" t="s">
        <v>674</v>
      </c>
      <c r="R241" s="212">
        <v>250</v>
      </c>
      <c r="S241" s="479">
        <v>44243</v>
      </c>
      <c r="T241" s="212" t="s">
        <v>3112</v>
      </c>
      <c r="U241" s="475">
        <f>64900000-11800000</f>
        <v>53100000</v>
      </c>
      <c r="V241" s="406">
        <v>11800000</v>
      </c>
      <c r="W241" s="362"/>
      <c r="X241" s="483" t="s">
        <v>3113</v>
      </c>
      <c r="Y241" s="484">
        <v>44286</v>
      </c>
      <c r="Z241" s="484">
        <v>44286</v>
      </c>
      <c r="AA241" s="484">
        <v>44561</v>
      </c>
      <c r="AB241" s="485" t="s">
        <v>2548</v>
      </c>
      <c r="AC241" s="483" t="s">
        <v>3114</v>
      </c>
      <c r="AD241" s="485" t="s">
        <v>3115</v>
      </c>
      <c r="AE241" s="486" t="s">
        <v>3116</v>
      </c>
      <c r="AF241" s="473">
        <v>53100000</v>
      </c>
      <c r="AG241" s="474">
        <f t="shared" si="3"/>
        <v>0</v>
      </c>
      <c r="AL241" s="475">
        <v>5900000</v>
      </c>
      <c r="AM241" s="306">
        <v>5900000</v>
      </c>
    </row>
    <row r="242" spans="1:45" hidden="1" x14ac:dyDescent="0.35">
      <c r="A242" s="476" t="s">
        <v>2090</v>
      </c>
      <c r="B242" s="477">
        <v>54162000</v>
      </c>
      <c r="C242" s="212" t="s">
        <v>2544</v>
      </c>
      <c r="D242" s="309">
        <v>238</v>
      </c>
      <c r="E242" s="309">
        <v>20212000008523</v>
      </c>
      <c r="F242" s="479">
        <v>44244</v>
      </c>
      <c r="G242" s="478" t="s">
        <v>2538</v>
      </c>
      <c r="H242" s="212" t="s">
        <v>2539</v>
      </c>
      <c r="I242" s="212" t="s">
        <v>391</v>
      </c>
      <c r="J242" s="475">
        <v>45900000</v>
      </c>
      <c r="K242" s="210" t="s">
        <v>2609</v>
      </c>
      <c r="L242" s="212" t="s">
        <v>2610</v>
      </c>
      <c r="M242" s="212" t="s">
        <v>44</v>
      </c>
      <c r="N242" s="212" t="s">
        <v>45</v>
      </c>
      <c r="O242" s="212" t="s">
        <v>63</v>
      </c>
      <c r="P242" s="212" t="s">
        <v>674</v>
      </c>
      <c r="R242" s="486">
        <v>267</v>
      </c>
      <c r="S242" s="490">
        <v>44244</v>
      </c>
      <c r="T242" s="486" t="s">
        <v>3117</v>
      </c>
      <c r="U242" s="475">
        <f>45900000-2295000</f>
        <v>43605000</v>
      </c>
      <c r="V242" s="411">
        <v>2295000</v>
      </c>
      <c r="W242" s="397"/>
      <c r="X242" s="308">
        <v>245</v>
      </c>
      <c r="Y242" s="484">
        <v>44263</v>
      </c>
      <c r="Z242" s="484">
        <v>44263</v>
      </c>
      <c r="AA242" s="484">
        <v>44561</v>
      </c>
      <c r="AB242" s="485" t="s">
        <v>2548</v>
      </c>
      <c r="AC242" s="211">
        <v>174</v>
      </c>
      <c r="AD242" s="485" t="s">
        <v>3118</v>
      </c>
      <c r="AE242" s="486" t="s">
        <v>3119</v>
      </c>
      <c r="AF242" s="473">
        <v>43605000</v>
      </c>
      <c r="AG242" s="474">
        <f t="shared" si="3"/>
        <v>0</v>
      </c>
      <c r="AK242" s="475">
        <v>3519000</v>
      </c>
      <c r="AL242" s="475">
        <v>4590000</v>
      </c>
      <c r="AM242" s="306">
        <v>4590000</v>
      </c>
    </row>
    <row r="243" spans="1:45" hidden="1" x14ac:dyDescent="0.35">
      <c r="A243" s="476" t="s">
        <v>2086</v>
      </c>
      <c r="B243" s="477">
        <v>27255780</v>
      </c>
      <c r="C243" s="212" t="s">
        <v>2544</v>
      </c>
      <c r="D243" s="309">
        <v>239</v>
      </c>
      <c r="E243" s="309">
        <v>20217000008923</v>
      </c>
      <c r="F243" s="479">
        <v>44245</v>
      </c>
      <c r="G243" s="478" t="s">
        <v>2545</v>
      </c>
      <c r="H243" s="212" t="s">
        <v>2546</v>
      </c>
      <c r="I243" s="212" t="s">
        <v>164</v>
      </c>
      <c r="J243" s="473" t="s">
        <v>3120</v>
      </c>
      <c r="K243" s="212" t="s">
        <v>138</v>
      </c>
      <c r="L243" s="212" t="s">
        <v>139</v>
      </c>
      <c r="M243" s="212" t="s">
        <v>44</v>
      </c>
      <c r="N243" s="212" t="s">
        <v>45</v>
      </c>
      <c r="O243" s="212" t="s">
        <v>142</v>
      </c>
      <c r="P243" s="212" t="s">
        <v>43</v>
      </c>
      <c r="R243" s="486">
        <v>271</v>
      </c>
      <c r="S243" s="490">
        <v>44246</v>
      </c>
      <c r="T243" s="486" t="s">
        <v>3121</v>
      </c>
      <c r="U243" s="475">
        <v>16353468</v>
      </c>
      <c r="V243" s="406"/>
      <c r="W243" s="362"/>
      <c r="X243" s="308">
        <v>246</v>
      </c>
      <c r="Y243" s="484">
        <v>44263</v>
      </c>
      <c r="Z243" s="484">
        <v>44263</v>
      </c>
      <c r="AA243" s="484">
        <v>44447</v>
      </c>
      <c r="AB243" s="485" t="s">
        <v>2548</v>
      </c>
      <c r="AC243" s="211">
        <v>178</v>
      </c>
      <c r="AD243" s="485" t="s">
        <v>3122</v>
      </c>
      <c r="AE243" s="486" t="s">
        <v>3123</v>
      </c>
      <c r="AF243" s="473">
        <v>16353468</v>
      </c>
      <c r="AG243" s="474">
        <f t="shared" si="3"/>
        <v>0</v>
      </c>
      <c r="AK243" s="475">
        <v>1998757</v>
      </c>
      <c r="AL243" s="475">
        <v>2725578</v>
      </c>
      <c r="AM243" s="306">
        <v>2725578</v>
      </c>
    </row>
    <row r="244" spans="1:45" hidden="1" x14ac:dyDescent="0.35">
      <c r="A244" s="476" t="s">
        <v>1813</v>
      </c>
      <c r="B244" s="477">
        <v>44000000</v>
      </c>
      <c r="C244" s="212" t="s">
        <v>2544</v>
      </c>
      <c r="D244" s="309">
        <v>240</v>
      </c>
      <c r="E244" s="309">
        <v>20215000007253</v>
      </c>
      <c r="F244" s="479">
        <v>44243</v>
      </c>
      <c r="G244" s="309" t="s">
        <v>2538</v>
      </c>
      <c r="H244" s="210" t="s">
        <v>2539</v>
      </c>
      <c r="I244" s="210" t="s">
        <v>228</v>
      </c>
      <c r="J244" s="407">
        <v>44000000</v>
      </c>
      <c r="K244" s="212" t="s">
        <v>288</v>
      </c>
      <c r="L244" s="212" t="s">
        <v>2634</v>
      </c>
      <c r="M244" s="212" t="s">
        <v>44</v>
      </c>
      <c r="N244" s="212" t="s">
        <v>45</v>
      </c>
      <c r="O244" s="212" t="s">
        <v>63</v>
      </c>
      <c r="P244" s="212" t="s">
        <v>674</v>
      </c>
      <c r="R244" s="212">
        <v>253</v>
      </c>
      <c r="S244" s="479">
        <v>44243</v>
      </c>
      <c r="T244" s="212" t="s">
        <v>3124</v>
      </c>
      <c r="U244" s="475">
        <f>44000000-12000000</f>
        <v>32000000</v>
      </c>
      <c r="V244" s="406">
        <v>12000000</v>
      </c>
      <c r="W244" s="362"/>
      <c r="X244" s="483" t="s">
        <v>3125</v>
      </c>
      <c r="Y244" s="484">
        <v>44308</v>
      </c>
      <c r="Z244" s="484">
        <v>44308</v>
      </c>
      <c r="AA244" s="484">
        <v>44551</v>
      </c>
      <c r="AB244" s="485" t="s">
        <v>2548</v>
      </c>
      <c r="AC244" s="483" t="s">
        <v>3126</v>
      </c>
      <c r="AD244" s="485" t="s">
        <v>3127</v>
      </c>
      <c r="AE244" s="486" t="s">
        <v>3128</v>
      </c>
      <c r="AF244" s="473">
        <v>32000000</v>
      </c>
      <c r="AG244" s="474">
        <f t="shared" si="3"/>
        <v>0</v>
      </c>
      <c r="AL244" s="475">
        <v>1200000</v>
      </c>
      <c r="AM244" s="306">
        <v>4000000</v>
      </c>
    </row>
    <row r="245" spans="1:45" s="312" customFormat="1" ht="15.5" hidden="1" x14ac:dyDescent="0.35">
      <c r="A245" s="361"/>
      <c r="B245" s="417" t="s">
        <v>2914</v>
      </c>
      <c r="C245" s="510" t="s">
        <v>3129</v>
      </c>
      <c r="D245" s="312">
        <v>241</v>
      </c>
      <c r="E245" s="325">
        <v>20214000008263</v>
      </c>
      <c r="F245" s="315">
        <v>44243</v>
      </c>
      <c r="G245" s="325" t="s">
        <v>2578</v>
      </c>
      <c r="H245" s="312" t="s">
        <v>2579</v>
      </c>
      <c r="I245" s="312" t="s">
        <v>47</v>
      </c>
      <c r="J245" s="406">
        <v>14021839</v>
      </c>
      <c r="K245" s="312" t="s">
        <v>37</v>
      </c>
      <c r="L245" s="510" t="s">
        <v>3078</v>
      </c>
      <c r="M245" s="312" t="s">
        <v>44</v>
      </c>
      <c r="N245" s="312" t="s">
        <v>45</v>
      </c>
      <c r="O245" s="212" t="s">
        <v>310</v>
      </c>
      <c r="P245" s="312" t="s">
        <v>77</v>
      </c>
      <c r="R245" s="312">
        <v>255</v>
      </c>
      <c r="S245" s="315">
        <v>44244</v>
      </c>
      <c r="T245" s="312" t="s">
        <v>3130</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x14ac:dyDescent="0.35">
      <c r="A246" s="476" t="s">
        <v>2083</v>
      </c>
      <c r="B246" s="477">
        <v>64900000</v>
      </c>
      <c r="C246" s="212" t="s">
        <v>2544</v>
      </c>
      <c r="D246" s="478">
        <v>242</v>
      </c>
      <c r="E246" s="478">
        <v>20215000006383</v>
      </c>
      <c r="F246" s="479">
        <v>44235</v>
      </c>
      <c r="G246" s="478" t="s">
        <v>2538</v>
      </c>
      <c r="H246" s="212" t="s">
        <v>2539</v>
      </c>
      <c r="I246" s="212" t="s">
        <v>228</v>
      </c>
      <c r="J246" s="475">
        <v>64900000</v>
      </c>
      <c r="K246" s="212" t="s">
        <v>223</v>
      </c>
      <c r="L246" s="212" t="s">
        <v>283</v>
      </c>
      <c r="M246" s="212" t="s">
        <v>44</v>
      </c>
      <c r="N246" s="212" t="s">
        <v>45</v>
      </c>
      <c r="O246" s="212" t="s">
        <v>63</v>
      </c>
      <c r="P246" s="212" t="s">
        <v>674</v>
      </c>
      <c r="R246" s="212">
        <v>212</v>
      </c>
      <c r="S246" s="479">
        <v>44235</v>
      </c>
      <c r="T246" s="212" t="s">
        <v>3131</v>
      </c>
      <c r="U246" s="475">
        <f>64900000-11800000</f>
        <v>53100000</v>
      </c>
      <c r="V246" s="444">
        <v>11800000</v>
      </c>
      <c r="W246" s="398"/>
      <c r="X246" s="308">
        <v>247</v>
      </c>
      <c r="Y246" s="484">
        <v>44263</v>
      </c>
      <c r="Z246" s="484">
        <v>44263</v>
      </c>
      <c r="AA246" s="484">
        <v>44538</v>
      </c>
      <c r="AB246" s="485" t="s">
        <v>2548</v>
      </c>
      <c r="AC246" s="211">
        <v>179</v>
      </c>
      <c r="AD246" s="485" t="s">
        <v>3132</v>
      </c>
      <c r="AE246" s="486" t="s">
        <v>3133</v>
      </c>
      <c r="AF246" s="473">
        <v>53100000</v>
      </c>
      <c r="AG246" s="474">
        <f t="shared" si="3"/>
        <v>0</v>
      </c>
      <c r="AM246" s="212"/>
    </row>
    <row r="247" spans="1:45" hidden="1" x14ac:dyDescent="0.35">
      <c r="A247" s="476" t="s">
        <v>3134</v>
      </c>
      <c r="B247" s="475">
        <v>31600000</v>
      </c>
      <c r="C247" s="212" t="s">
        <v>2544</v>
      </c>
      <c r="D247" s="478">
        <v>243</v>
      </c>
      <c r="E247" s="478">
        <v>20214000004813</v>
      </c>
      <c r="F247" s="479">
        <v>44229</v>
      </c>
      <c r="G247" s="478" t="s">
        <v>2571</v>
      </c>
      <c r="H247" s="212" t="s">
        <v>2572</v>
      </c>
      <c r="I247" s="212" t="s">
        <v>117</v>
      </c>
      <c r="J247" s="475">
        <v>31600000</v>
      </c>
      <c r="K247" s="212" t="s">
        <v>112</v>
      </c>
      <c r="L247" s="212" t="s">
        <v>2573</v>
      </c>
      <c r="M247" s="212" t="s">
        <v>44</v>
      </c>
      <c r="N247" s="212" t="s">
        <v>45</v>
      </c>
      <c r="O247" s="212" t="s">
        <v>63</v>
      </c>
      <c r="P247" s="212" t="s">
        <v>43</v>
      </c>
      <c r="R247" s="212">
        <v>174</v>
      </c>
      <c r="S247" s="479">
        <v>44229</v>
      </c>
      <c r="T247" s="212" t="s">
        <v>3135</v>
      </c>
      <c r="U247" s="475">
        <v>31600000</v>
      </c>
      <c r="V247" s="406"/>
      <c r="W247" s="362"/>
      <c r="X247" s="308">
        <v>248</v>
      </c>
      <c r="Y247" s="484">
        <v>44263</v>
      </c>
      <c r="Z247" s="484">
        <v>44263</v>
      </c>
      <c r="AA247" s="484">
        <v>44508</v>
      </c>
      <c r="AB247" s="485" t="s">
        <v>2548</v>
      </c>
      <c r="AC247" s="211">
        <v>181</v>
      </c>
      <c r="AD247" s="485" t="s">
        <v>3136</v>
      </c>
      <c r="AE247" s="486" t="s">
        <v>3137</v>
      </c>
      <c r="AF247" s="473">
        <v>31600000</v>
      </c>
      <c r="AG247" s="474">
        <f t="shared" si="3"/>
        <v>0</v>
      </c>
      <c r="AK247" s="475">
        <v>2896666</v>
      </c>
      <c r="AL247" s="475">
        <v>3950000</v>
      </c>
      <c r="AM247" s="306">
        <v>3950000</v>
      </c>
      <c r="AQ247" s="507"/>
      <c r="AR247" s="508"/>
      <c r="AS247" s="509"/>
    </row>
    <row r="248" spans="1:45" ht="15.5" hidden="1" x14ac:dyDescent="0.35">
      <c r="B248" s="501" t="s">
        <v>2581</v>
      </c>
      <c r="C248" s="515" t="s">
        <v>3138</v>
      </c>
      <c r="D248" s="478">
        <v>243</v>
      </c>
      <c r="E248" s="309">
        <v>20217000009773</v>
      </c>
      <c r="F248" s="310">
        <v>44250</v>
      </c>
      <c r="G248" s="478" t="s">
        <v>2545</v>
      </c>
      <c r="H248" s="212" t="s">
        <v>2546</v>
      </c>
      <c r="I248" s="212" t="s">
        <v>164</v>
      </c>
      <c r="J248" s="475">
        <v>9889912</v>
      </c>
      <c r="K248" s="212" t="s">
        <v>138</v>
      </c>
      <c r="L248" s="212" t="s">
        <v>139</v>
      </c>
      <c r="M248" s="212" t="s">
        <v>44</v>
      </c>
      <c r="N248" s="212" t="s">
        <v>45</v>
      </c>
      <c r="O248" s="212" t="s">
        <v>142</v>
      </c>
      <c r="P248" s="212" t="s">
        <v>43</v>
      </c>
      <c r="R248" s="486">
        <v>285</v>
      </c>
      <c r="S248" s="490">
        <v>44250</v>
      </c>
      <c r="T248" s="486" t="s">
        <v>3139</v>
      </c>
      <c r="U248" s="475">
        <v>9889912</v>
      </c>
      <c r="V248" s="406"/>
      <c r="W248" s="362"/>
      <c r="X248" s="308">
        <v>249</v>
      </c>
      <c r="Y248" s="484">
        <v>44263</v>
      </c>
      <c r="Z248" s="484">
        <v>44264</v>
      </c>
      <c r="AA248" s="484">
        <v>44315</v>
      </c>
      <c r="AB248" s="485" t="s">
        <v>2548</v>
      </c>
      <c r="AC248" s="211">
        <v>615</v>
      </c>
      <c r="AD248" s="485" t="s">
        <v>3140</v>
      </c>
      <c r="AE248" s="486" t="s">
        <v>3141</v>
      </c>
      <c r="AF248" s="473">
        <v>9889912</v>
      </c>
      <c r="AG248" s="474">
        <f t="shared" si="3"/>
        <v>0</v>
      </c>
      <c r="AK248" s="475">
        <v>5705719</v>
      </c>
      <c r="AL248" s="475">
        <v>4184193</v>
      </c>
      <c r="AM248" s="212"/>
    </row>
    <row r="249" spans="1:45" hidden="1" x14ac:dyDescent="0.35">
      <c r="A249" s="476" t="s">
        <v>2088</v>
      </c>
      <c r="B249" s="477">
        <v>40000000</v>
      </c>
      <c r="C249" s="212" t="s">
        <v>3085</v>
      </c>
      <c r="D249" s="478">
        <v>244</v>
      </c>
      <c r="E249" s="309">
        <v>20213000010293</v>
      </c>
      <c r="F249" s="479">
        <v>44252</v>
      </c>
      <c r="G249" s="478" t="s">
        <v>2538</v>
      </c>
      <c r="H249" s="212" t="s">
        <v>2539</v>
      </c>
      <c r="I249" s="212" t="s">
        <v>432</v>
      </c>
      <c r="J249" s="475">
        <v>39975144</v>
      </c>
      <c r="K249" s="212" t="s">
        <v>342</v>
      </c>
      <c r="L249" s="212" t="s">
        <v>351</v>
      </c>
      <c r="M249" s="212" t="s">
        <v>44</v>
      </c>
      <c r="N249" s="212" t="s">
        <v>45</v>
      </c>
      <c r="O249" s="212" t="s">
        <v>63</v>
      </c>
      <c r="P249" s="212" t="s">
        <v>674</v>
      </c>
      <c r="R249" s="486">
        <v>303</v>
      </c>
      <c r="S249" s="490">
        <v>44252</v>
      </c>
      <c r="T249" s="486" t="s">
        <v>3142</v>
      </c>
      <c r="U249" s="475">
        <v>39975144</v>
      </c>
      <c r="V249" s="406"/>
      <c r="W249" s="362"/>
      <c r="X249" s="308">
        <v>250</v>
      </c>
      <c r="Y249" s="484">
        <v>44264</v>
      </c>
      <c r="Z249" s="484">
        <v>44264</v>
      </c>
      <c r="AA249" s="484">
        <v>44509</v>
      </c>
      <c r="AB249" s="485" t="s">
        <v>2548</v>
      </c>
      <c r="AC249" s="211">
        <v>176</v>
      </c>
      <c r="AD249" s="485" t="s">
        <v>3143</v>
      </c>
      <c r="AE249" s="486" t="s">
        <v>3144</v>
      </c>
      <c r="AF249" s="473">
        <v>39975144</v>
      </c>
      <c r="AG249" s="474">
        <f t="shared" si="3"/>
        <v>0</v>
      </c>
      <c r="AK249" s="475">
        <v>3497825</v>
      </c>
      <c r="AL249" s="475">
        <v>4996893</v>
      </c>
      <c r="AM249" s="306">
        <v>4996893</v>
      </c>
    </row>
    <row r="250" spans="1:45" hidden="1" x14ac:dyDescent="0.35">
      <c r="A250" s="476" t="s">
        <v>1806</v>
      </c>
      <c r="B250" s="477">
        <v>60180000</v>
      </c>
      <c r="C250" s="212" t="s">
        <v>2660</v>
      </c>
      <c r="D250" s="478">
        <v>245</v>
      </c>
      <c r="E250" s="309">
        <v>20212000008503</v>
      </c>
      <c r="F250" s="479">
        <v>44244</v>
      </c>
      <c r="G250" s="478" t="s">
        <v>2538</v>
      </c>
      <c r="H250" s="212" t="s">
        <v>2539</v>
      </c>
      <c r="I250" s="212" t="s">
        <v>391</v>
      </c>
      <c r="J250" s="475">
        <v>51000000</v>
      </c>
      <c r="K250" s="210" t="s">
        <v>2609</v>
      </c>
      <c r="L250" s="212" t="s">
        <v>2610</v>
      </c>
      <c r="M250" s="212" t="s">
        <v>44</v>
      </c>
      <c r="N250" s="212" t="s">
        <v>45</v>
      </c>
      <c r="O250" s="212" t="s">
        <v>63</v>
      </c>
      <c r="P250" s="212" t="s">
        <v>674</v>
      </c>
      <c r="R250" s="486">
        <v>265</v>
      </c>
      <c r="S250" s="490">
        <v>44244</v>
      </c>
      <c r="T250" s="486" t="s">
        <v>3145</v>
      </c>
      <c r="U250" s="475">
        <f>51000000-2550000</f>
        <v>48450000</v>
      </c>
      <c r="V250" s="411">
        <v>2550000</v>
      </c>
      <c r="W250" s="397"/>
      <c r="X250" s="308">
        <v>251</v>
      </c>
      <c r="Y250" s="484">
        <v>44264</v>
      </c>
      <c r="Z250" s="484">
        <v>44264</v>
      </c>
      <c r="AA250" s="484">
        <v>44561</v>
      </c>
      <c r="AB250" s="485" t="s">
        <v>2548</v>
      </c>
      <c r="AC250" s="211">
        <v>182</v>
      </c>
      <c r="AD250" s="485" t="s">
        <v>3146</v>
      </c>
      <c r="AE250" s="486" t="s">
        <v>3147</v>
      </c>
      <c r="AF250" s="473">
        <v>48450000</v>
      </c>
      <c r="AG250" s="474">
        <f t="shared" si="3"/>
        <v>0</v>
      </c>
      <c r="AK250" s="475">
        <v>3740000</v>
      </c>
      <c r="AL250" s="475">
        <v>5100000</v>
      </c>
      <c r="AM250" s="306">
        <v>5100000</v>
      </c>
    </row>
    <row r="251" spans="1:45" hidden="1" x14ac:dyDescent="0.35">
      <c r="A251" s="476" t="s">
        <v>2089</v>
      </c>
      <c r="B251" s="477">
        <v>42000000</v>
      </c>
      <c r="C251" s="212" t="s">
        <v>2544</v>
      </c>
      <c r="D251" s="478">
        <v>246</v>
      </c>
      <c r="E251" s="478">
        <v>20213000007873</v>
      </c>
      <c r="F251" s="479">
        <v>44243</v>
      </c>
      <c r="G251" s="478" t="s">
        <v>2538</v>
      </c>
      <c r="H251" s="212" t="s">
        <v>2539</v>
      </c>
      <c r="I251" s="212" t="s">
        <v>432</v>
      </c>
      <c r="J251" s="475">
        <v>35400000</v>
      </c>
      <c r="K251" s="212" t="s">
        <v>358</v>
      </c>
      <c r="L251" s="212" t="s">
        <v>2689</v>
      </c>
      <c r="M251" s="212" t="s">
        <v>44</v>
      </c>
      <c r="N251" s="212" t="s">
        <v>45</v>
      </c>
      <c r="O251" s="212" t="s">
        <v>63</v>
      </c>
      <c r="P251" s="212" t="s">
        <v>674</v>
      </c>
      <c r="R251" s="212">
        <v>242</v>
      </c>
      <c r="S251" s="479">
        <v>44243</v>
      </c>
      <c r="T251" s="212" t="s">
        <v>3148</v>
      </c>
      <c r="U251" s="475">
        <v>35400000</v>
      </c>
      <c r="V251" s="406"/>
      <c r="W251" s="362"/>
      <c r="X251" s="308">
        <v>252</v>
      </c>
      <c r="Y251" s="484">
        <v>44264</v>
      </c>
      <c r="Z251" s="484">
        <v>44264</v>
      </c>
      <c r="AA251" s="484">
        <v>44539</v>
      </c>
      <c r="AB251" s="485" t="s">
        <v>2548</v>
      </c>
      <c r="AC251" s="211">
        <v>180</v>
      </c>
      <c r="AD251" s="485" t="s">
        <v>3149</v>
      </c>
      <c r="AE251" s="486" t="s">
        <v>3150</v>
      </c>
      <c r="AF251" s="473">
        <v>35400000</v>
      </c>
      <c r="AG251" s="474">
        <f t="shared" si="3"/>
        <v>0</v>
      </c>
      <c r="AK251" s="475">
        <v>3933333</v>
      </c>
      <c r="AL251" s="475">
        <v>5900000</v>
      </c>
      <c r="AM251" s="306">
        <v>5900000</v>
      </c>
    </row>
    <row r="252" spans="1:45" ht="15.5" hidden="1" x14ac:dyDescent="0.35">
      <c r="B252" s="501" t="s">
        <v>2581</v>
      </c>
      <c r="C252" s="516" t="s">
        <v>3151</v>
      </c>
      <c r="D252" s="478">
        <v>247</v>
      </c>
      <c r="E252" s="309">
        <v>20217000009763</v>
      </c>
      <c r="F252" s="310">
        <v>44250</v>
      </c>
      <c r="G252" s="478" t="s">
        <v>2545</v>
      </c>
      <c r="H252" s="212" t="s">
        <v>2546</v>
      </c>
      <c r="I252" s="212" t="s">
        <v>164</v>
      </c>
      <c r="J252" s="475">
        <v>8005562</v>
      </c>
      <c r="K252" s="212" t="s">
        <v>138</v>
      </c>
      <c r="L252" s="212" t="s">
        <v>139</v>
      </c>
      <c r="M252" s="212" t="s">
        <v>44</v>
      </c>
      <c r="N252" s="212" t="s">
        <v>45</v>
      </c>
      <c r="O252" s="212" t="s">
        <v>142</v>
      </c>
      <c r="P252" s="212" t="s">
        <v>43</v>
      </c>
      <c r="R252" s="486">
        <v>284</v>
      </c>
      <c r="S252" s="490">
        <v>44250</v>
      </c>
      <c r="T252" s="486" t="s">
        <v>3152</v>
      </c>
      <c r="U252" s="475">
        <v>8005562</v>
      </c>
      <c r="V252" s="406"/>
      <c r="W252" s="362"/>
      <c r="X252" s="308">
        <v>253</v>
      </c>
      <c r="Y252" s="484">
        <v>44264</v>
      </c>
      <c r="Z252" s="484">
        <v>44270</v>
      </c>
      <c r="AA252" s="484">
        <v>44328</v>
      </c>
      <c r="AB252" s="485" t="s">
        <v>2548</v>
      </c>
      <c r="AC252" s="211">
        <v>600</v>
      </c>
      <c r="AD252" s="485" t="s">
        <v>3153</v>
      </c>
      <c r="AE252" s="486" t="s">
        <v>3154</v>
      </c>
      <c r="AF252" s="473">
        <v>8005562</v>
      </c>
      <c r="AG252" s="474">
        <f t="shared" si="3"/>
        <v>0</v>
      </c>
      <c r="AL252" s="475">
        <v>6741527</v>
      </c>
      <c r="AM252" s="212"/>
    </row>
    <row r="253" spans="1:45" hidden="1" x14ac:dyDescent="0.35">
      <c r="B253" s="501" t="s">
        <v>2581</v>
      </c>
      <c r="C253" s="212" t="s">
        <v>3155</v>
      </c>
      <c r="D253" s="478">
        <v>248</v>
      </c>
      <c r="E253" s="478">
        <v>20215000006633</v>
      </c>
      <c r="F253" s="479">
        <v>44236</v>
      </c>
      <c r="G253" s="478" t="s">
        <v>2538</v>
      </c>
      <c r="H253" s="212" t="s">
        <v>2539</v>
      </c>
      <c r="I253" s="212" t="s">
        <v>228</v>
      </c>
      <c r="J253" s="475">
        <v>17064600</v>
      </c>
      <c r="K253" s="212" t="s">
        <v>223</v>
      </c>
      <c r="L253" s="212" t="s">
        <v>257</v>
      </c>
      <c r="M253" s="212" t="s">
        <v>44</v>
      </c>
      <c r="N253" s="212" t="s">
        <v>45</v>
      </c>
      <c r="O253" s="212" t="s">
        <v>46</v>
      </c>
      <c r="P253" s="212" t="s">
        <v>674</v>
      </c>
      <c r="R253" s="212">
        <v>228</v>
      </c>
      <c r="S253" s="479">
        <v>44236</v>
      </c>
      <c r="T253" s="212" t="s">
        <v>3156</v>
      </c>
      <c r="U253" s="475">
        <v>17064600</v>
      </c>
      <c r="V253" s="406"/>
      <c r="W253" s="362"/>
      <c r="X253" s="308">
        <v>254</v>
      </c>
      <c r="Y253" s="484">
        <v>44264</v>
      </c>
      <c r="Z253" s="484">
        <v>44264</v>
      </c>
      <c r="AA253" s="484">
        <v>44561</v>
      </c>
      <c r="AB253" s="485" t="s">
        <v>2564</v>
      </c>
      <c r="AC253" s="211">
        <v>707</v>
      </c>
      <c r="AD253" s="485" t="s">
        <v>3157</v>
      </c>
      <c r="AE253" s="486" t="s">
        <v>2565</v>
      </c>
      <c r="AF253" s="473">
        <v>17064600</v>
      </c>
      <c r="AG253" s="474">
        <f t="shared" si="3"/>
        <v>0</v>
      </c>
      <c r="AK253" s="475">
        <v>17064600</v>
      </c>
      <c r="AM253" s="212"/>
    </row>
    <row r="254" spans="1:45" hidden="1" x14ac:dyDescent="0.35">
      <c r="A254" s="476" t="s">
        <v>2300</v>
      </c>
      <c r="B254" s="477">
        <v>36000000</v>
      </c>
      <c r="C254" s="212" t="s">
        <v>3085</v>
      </c>
      <c r="D254" s="478">
        <v>249</v>
      </c>
      <c r="E254" s="478">
        <v>20211400013173</v>
      </c>
      <c r="F254" s="479">
        <v>44264</v>
      </c>
      <c r="G254" s="478" t="s">
        <v>2545</v>
      </c>
      <c r="H254" s="212" t="s">
        <v>2546</v>
      </c>
      <c r="I254" s="212" t="s">
        <v>184</v>
      </c>
      <c r="J254" s="475">
        <v>36000000</v>
      </c>
      <c r="K254" s="212" t="s">
        <v>138</v>
      </c>
      <c r="L254" s="212" t="s">
        <v>2550</v>
      </c>
      <c r="M254" s="212" t="s">
        <v>44</v>
      </c>
      <c r="N254" s="212" t="s">
        <v>45</v>
      </c>
      <c r="O254" s="212" t="s">
        <v>142</v>
      </c>
      <c r="P254" s="212" t="s">
        <v>43</v>
      </c>
      <c r="R254" s="212">
        <v>348</v>
      </c>
      <c r="S254" s="490">
        <v>44264</v>
      </c>
      <c r="T254" s="486" t="s">
        <v>3158</v>
      </c>
      <c r="U254" s="475">
        <v>36000000</v>
      </c>
      <c r="V254" s="406"/>
      <c r="W254" s="362"/>
      <c r="X254" s="308">
        <v>256</v>
      </c>
      <c r="Y254" s="484">
        <v>44264</v>
      </c>
      <c r="Z254" s="484">
        <v>44264</v>
      </c>
      <c r="AA254" s="484">
        <v>44539</v>
      </c>
      <c r="AB254" s="485" t="s">
        <v>2548</v>
      </c>
      <c r="AC254" s="211">
        <v>177</v>
      </c>
      <c r="AD254" s="485" t="s">
        <v>3159</v>
      </c>
      <c r="AE254" s="486" t="s">
        <v>3160</v>
      </c>
      <c r="AF254" s="473">
        <v>36000000</v>
      </c>
      <c r="AK254" s="475">
        <v>3150000</v>
      </c>
      <c r="AL254" s="475">
        <v>4500000</v>
      </c>
      <c r="AM254" s="306">
        <v>4500000</v>
      </c>
    </row>
    <row r="255" spans="1:45" hidden="1" x14ac:dyDescent="0.35">
      <c r="A255" s="476" t="s">
        <v>1793</v>
      </c>
      <c r="B255" s="477">
        <v>61383600</v>
      </c>
      <c r="C255" s="212" t="s">
        <v>2544</v>
      </c>
      <c r="D255" s="478">
        <v>250</v>
      </c>
      <c r="E255" s="309">
        <v>20212000008493</v>
      </c>
      <c r="F255" s="479">
        <v>44244</v>
      </c>
      <c r="G255" s="478" t="s">
        <v>2538</v>
      </c>
      <c r="H255" s="212" t="s">
        <v>2539</v>
      </c>
      <c r="I255" s="212" t="s">
        <v>391</v>
      </c>
      <c r="J255" s="475">
        <v>52020000</v>
      </c>
      <c r="K255" s="210" t="s">
        <v>2609</v>
      </c>
      <c r="L255" s="212" t="s">
        <v>2610</v>
      </c>
      <c r="M255" s="212" t="s">
        <v>44</v>
      </c>
      <c r="N255" s="212" t="s">
        <v>45</v>
      </c>
      <c r="O255" s="212" t="s">
        <v>63</v>
      </c>
      <c r="P255" s="212" t="s">
        <v>674</v>
      </c>
      <c r="R255" s="486">
        <v>264</v>
      </c>
      <c r="S255" s="490">
        <v>44244</v>
      </c>
      <c r="T255" s="486" t="s">
        <v>3161</v>
      </c>
      <c r="U255" s="475">
        <v>52020000</v>
      </c>
      <c r="V255" s="406"/>
      <c r="W255" s="362"/>
      <c r="X255" s="483" t="s">
        <v>3162</v>
      </c>
      <c r="Y255" s="484">
        <v>44307</v>
      </c>
      <c r="Z255" s="484">
        <v>44307</v>
      </c>
      <c r="AA255" s="484">
        <v>44550</v>
      </c>
      <c r="AB255" s="485" t="s">
        <v>2548</v>
      </c>
      <c r="AC255" s="483" t="s">
        <v>3163</v>
      </c>
      <c r="AD255" s="485" t="s">
        <v>3164</v>
      </c>
      <c r="AE255" s="486" t="s">
        <v>3165</v>
      </c>
      <c r="AF255" s="496">
        <v>41616000</v>
      </c>
      <c r="AG255" s="474">
        <f t="shared" ref="AG255:AG261" si="4">+U255-AF255</f>
        <v>10404000</v>
      </c>
      <c r="AM255" s="212"/>
    </row>
    <row r="256" spans="1:45" hidden="1" x14ac:dyDescent="0.35">
      <c r="A256" s="476" t="s">
        <v>2063</v>
      </c>
      <c r="B256" s="477">
        <v>64900000</v>
      </c>
      <c r="C256" s="212" t="s">
        <v>2544</v>
      </c>
      <c r="D256" s="478">
        <v>251</v>
      </c>
      <c r="E256" s="309">
        <v>20215000007243</v>
      </c>
      <c r="F256" s="479">
        <v>44243</v>
      </c>
      <c r="G256" s="309" t="s">
        <v>2538</v>
      </c>
      <c r="H256" s="210" t="s">
        <v>2539</v>
      </c>
      <c r="I256" s="210" t="s">
        <v>228</v>
      </c>
      <c r="J256" s="407">
        <v>64900000</v>
      </c>
      <c r="K256" s="212" t="s">
        <v>288</v>
      </c>
      <c r="L256" s="212" t="s">
        <v>2634</v>
      </c>
      <c r="M256" s="212" t="s">
        <v>44</v>
      </c>
      <c r="N256" s="212" t="s">
        <v>45</v>
      </c>
      <c r="O256" s="212" t="s">
        <v>63</v>
      </c>
      <c r="P256" s="212" t="s">
        <v>674</v>
      </c>
      <c r="R256" s="212">
        <v>252</v>
      </c>
      <c r="S256" s="479">
        <v>44243</v>
      </c>
      <c r="T256" s="212" t="s">
        <v>3166</v>
      </c>
      <c r="U256" s="475">
        <f>64900000-26900000</f>
        <v>38000000</v>
      </c>
      <c r="V256" s="444">
        <v>26900000</v>
      </c>
      <c r="W256" s="398"/>
      <c r="X256" s="308">
        <v>257</v>
      </c>
      <c r="Y256" s="484">
        <v>44265</v>
      </c>
      <c r="Z256" s="484">
        <v>44265</v>
      </c>
      <c r="AA256" s="484">
        <v>44561</v>
      </c>
      <c r="AB256" s="485" t="s">
        <v>2548</v>
      </c>
      <c r="AC256" s="211">
        <v>183</v>
      </c>
      <c r="AD256" s="485" t="s">
        <v>3167</v>
      </c>
      <c r="AE256" s="486" t="s">
        <v>3168</v>
      </c>
      <c r="AF256" s="473">
        <v>38000000</v>
      </c>
      <c r="AG256" s="474">
        <f t="shared" si="4"/>
        <v>0</v>
      </c>
      <c r="AK256" s="475">
        <v>2666667</v>
      </c>
      <c r="AL256" s="475">
        <v>4000000</v>
      </c>
      <c r="AM256" s="306">
        <v>4000000</v>
      </c>
    </row>
    <row r="257" spans="1:50" s="312" customFormat="1" ht="15" hidden="1" customHeight="1" x14ac:dyDescent="0.35">
      <c r="A257" s="361" t="s">
        <v>1797</v>
      </c>
      <c r="B257" s="417">
        <v>65836059</v>
      </c>
      <c r="C257" s="312" t="s">
        <v>2544</v>
      </c>
      <c r="D257" s="325">
        <v>252</v>
      </c>
      <c r="E257" s="325">
        <v>20212000008513</v>
      </c>
      <c r="F257" s="315">
        <v>44244</v>
      </c>
      <c r="G257" s="325" t="s">
        <v>2538</v>
      </c>
      <c r="H257" s="312" t="s">
        <v>2539</v>
      </c>
      <c r="I257" s="312" t="s">
        <v>391</v>
      </c>
      <c r="J257" s="405">
        <v>56270000</v>
      </c>
      <c r="K257" s="312" t="s">
        <v>2609</v>
      </c>
      <c r="L257" s="312" t="s">
        <v>2610</v>
      </c>
      <c r="M257" s="312" t="s">
        <v>44</v>
      </c>
      <c r="N257" s="312" t="s">
        <v>45</v>
      </c>
      <c r="O257" s="312" t="s">
        <v>63</v>
      </c>
      <c r="P257" s="312" t="s">
        <v>674</v>
      </c>
      <c r="R257" s="312">
        <v>266</v>
      </c>
      <c r="S257" s="315">
        <v>44244</v>
      </c>
      <c r="T257" s="393" t="s">
        <v>1797</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x14ac:dyDescent="0.35">
      <c r="A258" s="476" t="s">
        <v>2060</v>
      </c>
      <c r="B258" s="477">
        <v>39600000</v>
      </c>
      <c r="C258" s="212" t="s">
        <v>2544</v>
      </c>
      <c r="D258" s="478">
        <v>253</v>
      </c>
      <c r="E258" s="478">
        <v>20215000006393</v>
      </c>
      <c r="F258" s="479">
        <v>44235</v>
      </c>
      <c r="G258" s="478" t="s">
        <v>2538</v>
      </c>
      <c r="H258" s="212" t="s">
        <v>2539</v>
      </c>
      <c r="I258" s="212" t="s">
        <v>228</v>
      </c>
      <c r="J258" s="475">
        <v>39600000</v>
      </c>
      <c r="K258" s="212" t="s">
        <v>223</v>
      </c>
      <c r="L258" s="212" t="s">
        <v>283</v>
      </c>
      <c r="M258" s="212" t="s">
        <v>44</v>
      </c>
      <c r="N258" s="212" t="s">
        <v>45</v>
      </c>
      <c r="O258" s="212" t="s">
        <v>63</v>
      </c>
      <c r="P258" s="212" t="s">
        <v>674</v>
      </c>
      <c r="R258" s="212">
        <v>213</v>
      </c>
      <c r="S258" s="479">
        <v>44235</v>
      </c>
      <c r="T258" s="212" t="s">
        <v>3169</v>
      </c>
      <c r="U258" s="475">
        <f>39600000-7200000</f>
        <v>32400000</v>
      </c>
      <c r="V258" s="444">
        <v>7200000</v>
      </c>
      <c r="W258" s="398"/>
      <c r="X258" s="308">
        <v>258</v>
      </c>
      <c r="Y258" s="484">
        <v>44265</v>
      </c>
      <c r="Z258" s="484">
        <v>44265</v>
      </c>
      <c r="AA258" s="484">
        <v>44540</v>
      </c>
      <c r="AB258" s="485" t="s">
        <v>2548</v>
      </c>
      <c r="AC258" s="211">
        <v>184</v>
      </c>
      <c r="AD258" s="485" t="s">
        <v>3170</v>
      </c>
      <c r="AE258" s="486" t="s">
        <v>3171</v>
      </c>
      <c r="AF258" s="473">
        <v>32400000</v>
      </c>
      <c r="AG258" s="474">
        <f t="shared" si="4"/>
        <v>0</v>
      </c>
      <c r="AK258" s="475">
        <v>2520000</v>
      </c>
      <c r="AL258" s="475">
        <v>3600000</v>
      </c>
      <c r="AM258" s="306">
        <v>3600000</v>
      </c>
    </row>
    <row r="259" spans="1:50" ht="15" hidden="1" customHeight="1" x14ac:dyDescent="0.35">
      <c r="B259" s="477" t="s">
        <v>2581</v>
      </c>
      <c r="C259" s="212" t="s">
        <v>2544</v>
      </c>
      <c r="D259" s="478">
        <v>254</v>
      </c>
      <c r="E259" s="309">
        <v>20217000008603</v>
      </c>
      <c r="F259" s="479">
        <v>44244</v>
      </c>
      <c r="G259" s="478" t="s">
        <v>2545</v>
      </c>
      <c r="H259" s="212" t="s">
        <v>2546</v>
      </c>
      <c r="I259" s="212" t="s">
        <v>164</v>
      </c>
      <c r="J259" s="475">
        <v>7900226</v>
      </c>
      <c r="K259" s="212" t="s">
        <v>138</v>
      </c>
      <c r="L259" s="212" t="s">
        <v>139</v>
      </c>
      <c r="M259" s="212" t="s">
        <v>44</v>
      </c>
      <c r="N259" s="212" t="s">
        <v>45</v>
      </c>
      <c r="O259" s="212" t="s">
        <v>142</v>
      </c>
      <c r="P259" s="212" t="s">
        <v>43</v>
      </c>
      <c r="R259" s="486">
        <v>268</v>
      </c>
      <c r="S259" s="490">
        <v>44244</v>
      </c>
      <c r="T259" s="486" t="s">
        <v>3172</v>
      </c>
      <c r="U259" s="475">
        <v>7900226</v>
      </c>
      <c r="V259" s="406"/>
      <c r="W259" s="362"/>
      <c r="X259" s="483">
        <v>169</v>
      </c>
      <c r="Y259" s="484">
        <v>44246</v>
      </c>
      <c r="Z259" s="484">
        <v>44249</v>
      </c>
      <c r="AA259" s="484">
        <v>44307</v>
      </c>
      <c r="AB259" s="485" t="s">
        <v>2548</v>
      </c>
      <c r="AC259" s="483">
        <v>499</v>
      </c>
      <c r="AD259" s="485">
        <v>9535500</v>
      </c>
      <c r="AE259" s="486" t="s">
        <v>3173</v>
      </c>
      <c r="AF259" s="473">
        <v>7900226</v>
      </c>
      <c r="AG259" s="474">
        <f t="shared" si="4"/>
        <v>0</v>
      </c>
      <c r="AJ259" s="475">
        <v>3950113</v>
      </c>
      <c r="AK259" s="475">
        <v>3950113</v>
      </c>
      <c r="AM259" s="212"/>
    </row>
    <row r="260" spans="1:50" ht="15.75" hidden="1" customHeight="1" x14ac:dyDescent="0.35">
      <c r="B260" s="477" t="s">
        <v>2581</v>
      </c>
      <c r="C260" s="515" t="s">
        <v>3174</v>
      </c>
      <c r="D260" s="478">
        <v>255</v>
      </c>
      <c r="E260" s="309">
        <v>20214000008653</v>
      </c>
      <c r="F260" s="479">
        <v>44244</v>
      </c>
      <c r="G260" s="478" t="s">
        <v>2578</v>
      </c>
      <c r="H260" s="212" t="s">
        <v>2579</v>
      </c>
      <c r="I260" s="212" t="s">
        <v>47</v>
      </c>
      <c r="J260" s="480">
        <v>43792000</v>
      </c>
      <c r="K260" s="212" t="s">
        <v>37</v>
      </c>
      <c r="L260" s="515" t="s">
        <v>3078</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2548</v>
      </c>
      <c r="AC260" s="483">
        <v>332</v>
      </c>
      <c r="AD260" s="485">
        <v>901105939</v>
      </c>
      <c r="AE260" s="486" t="s">
        <v>3175</v>
      </c>
      <c r="AF260" s="488">
        <v>43792000</v>
      </c>
      <c r="AG260" s="474">
        <f t="shared" si="4"/>
        <v>0</v>
      </c>
      <c r="AH260" s="480"/>
      <c r="AL260" s="475">
        <v>21896000</v>
      </c>
      <c r="AM260" s="212"/>
    </row>
    <row r="261" spans="1:50" ht="15" hidden="1" customHeight="1" x14ac:dyDescent="0.35">
      <c r="A261" s="476" t="s">
        <v>2206</v>
      </c>
      <c r="B261" s="477">
        <v>250000000</v>
      </c>
      <c r="C261" s="212" t="s">
        <v>3176</v>
      </c>
      <c r="D261" s="478">
        <v>256</v>
      </c>
      <c r="E261" s="309">
        <v>20211400008903</v>
      </c>
      <c r="F261" s="479">
        <v>44245</v>
      </c>
      <c r="G261" s="478" t="s">
        <v>2545</v>
      </c>
      <c r="H261" s="212" t="s">
        <v>2546</v>
      </c>
      <c r="I261" s="212" t="s">
        <v>184</v>
      </c>
      <c r="J261" s="475">
        <v>250000000</v>
      </c>
      <c r="K261" s="212" t="s">
        <v>138</v>
      </c>
      <c r="L261" s="212" t="s">
        <v>2550</v>
      </c>
      <c r="M261" s="212" t="s">
        <v>44</v>
      </c>
      <c r="N261" s="212" t="s">
        <v>45</v>
      </c>
      <c r="O261" s="212" t="s">
        <v>194</v>
      </c>
      <c r="P261" s="212" t="s">
        <v>43</v>
      </c>
      <c r="R261" s="486">
        <v>270</v>
      </c>
      <c r="S261" s="490">
        <v>44246</v>
      </c>
      <c r="T261" s="486" t="s">
        <v>3177</v>
      </c>
      <c r="U261" s="475">
        <f>250000000-1190992</f>
        <v>248809008</v>
      </c>
      <c r="V261" s="406">
        <v>1190992</v>
      </c>
      <c r="W261" s="362" t="s">
        <v>1428</v>
      </c>
      <c r="X261" s="483" t="s">
        <v>3178</v>
      </c>
      <c r="Y261" s="484">
        <v>44291</v>
      </c>
      <c r="Z261" s="484">
        <v>44291</v>
      </c>
      <c r="AA261" s="484">
        <v>44561</v>
      </c>
      <c r="AB261" s="485" t="s">
        <v>3179</v>
      </c>
      <c r="AC261" s="483" t="s">
        <v>3180</v>
      </c>
      <c r="AD261" s="485" t="s">
        <v>3181</v>
      </c>
      <c r="AE261" s="486" t="s">
        <v>2741</v>
      </c>
      <c r="AF261" s="473">
        <v>248809008</v>
      </c>
      <c r="AG261" s="474">
        <f t="shared" si="4"/>
        <v>0</v>
      </c>
      <c r="AM261" s="212"/>
    </row>
    <row r="262" spans="1:50" ht="15" hidden="1" customHeight="1" x14ac:dyDescent="0.35">
      <c r="A262" s="476" t="s">
        <v>2338</v>
      </c>
      <c r="B262" s="477">
        <v>65000000</v>
      </c>
      <c r="C262" s="212" t="s">
        <v>2544</v>
      </c>
      <c r="D262" s="478">
        <v>257</v>
      </c>
      <c r="E262" s="309">
        <v>20211200012143</v>
      </c>
      <c r="F262" s="479">
        <v>44259</v>
      </c>
      <c r="G262" s="478" t="s">
        <v>2545</v>
      </c>
      <c r="H262" s="212" t="s">
        <v>2546</v>
      </c>
      <c r="I262" s="212" t="s">
        <v>143</v>
      </c>
      <c r="J262" s="475">
        <v>19800000</v>
      </c>
      <c r="K262" s="212" t="s">
        <v>138</v>
      </c>
      <c r="L262" s="212" t="s">
        <v>139</v>
      </c>
      <c r="M262" s="212" t="s">
        <v>44</v>
      </c>
      <c r="N262" s="212" t="s">
        <v>45</v>
      </c>
      <c r="O262" s="212" t="s">
        <v>142</v>
      </c>
      <c r="P262" s="212" t="s">
        <v>43</v>
      </c>
      <c r="R262" s="212">
        <v>330</v>
      </c>
      <c r="S262" s="490">
        <v>44259</v>
      </c>
      <c r="T262" s="486" t="s">
        <v>2912</v>
      </c>
      <c r="U262" s="475">
        <v>19800000</v>
      </c>
      <c r="V262" s="406"/>
      <c r="W262" s="362"/>
      <c r="X262" s="308">
        <v>259</v>
      </c>
      <c r="Y262" s="484">
        <v>44265</v>
      </c>
      <c r="Z262" s="484">
        <v>44265</v>
      </c>
      <c r="AA262" s="484">
        <v>44387</v>
      </c>
      <c r="AB262" s="485" t="s">
        <v>2548</v>
      </c>
      <c r="AC262" s="211">
        <v>188</v>
      </c>
      <c r="AD262" s="485" t="s">
        <v>3182</v>
      </c>
      <c r="AE262" s="486" t="s">
        <v>3183</v>
      </c>
      <c r="AF262" s="473">
        <v>19800000</v>
      </c>
      <c r="AK262" s="475">
        <v>3300000</v>
      </c>
      <c r="AL262" s="475">
        <v>4950000</v>
      </c>
      <c r="AM262" s="306">
        <v>4950000</v>
      </c>
    </row>
    <row r="263" spans="1:50" ht="15" hidden="1" customHeight="1" x14ac:dyDescent="0.35">
      <c r="A263" s="476" t="s">
        <v>1795</v>
      </c>
      <c r="B263" s="477">
        <v>134074420</v>
      </c>
      <c r="C263" s="212" t="s">
        <v>2544</v>
      </c>
      <c r="D263" s="478">
        <v>258</v>
      </c>
      <c r="E263" s="309">
        <v>20212000008463</v>
      </c>
      <c r="F263" s="479">
        <v>44244</v>
      </c>
      <c r="G263" s="478" t="s">
        <v>2538</v>
      </c>
      <c r="H263" s="212" t="s">
        <v>2539</v>
      </c>
      <c r="I263" s="212" t="s">
        <v>391</v>
      </c>
      <c r="J263" s="475">
        <v>79530000</v>
      </c>
      <c r="K263" s="210" t="s">
        <v>2609</v>
      </c>
      <c r="L263" s="212" t="s">
        <v>2610</v>
      </c>
      <c r="M263" s="212" t="s">
        <v>44</v>
      </c>
      <c r="N263" s="212" t="s">
        <v>45</v>
      </c>
      <c r="O263" s="212" t="s">
        <v>63</v>
      </c>
      <c r="P263" s="212" t="s">
        <v>674</v>
      </c>
      <c r="R263" s="486">
        <v>262</v>
      </c>
      <c r="S263" s="490">
        <v>44244</v>
      </c>
      <c r="T263" s="486" t="s">
        <v>3184</v>
      </c>
      <c r="U263" s="475">
        <f>79534000-22724000</f>
        <v>56810000</v>
      </c>
      <c r="V263" s="411">
        <v>22724000</v>
      </c>
      <c r="W263" s="397"/>
      <c r="X263" s="308">
        <v>260</v>
      </c>
      <c r="Y263" s="484">
        <v>44265</v>
      </c>
      <c r="Z263" s="484">
        <v>44265</v>
      </c>
      <c r="AA263" s="484">
        <v>44418</v>
      </c>
      <c r="AB263" s="485" t="s">
        <v>2548</v>
      </c>
      <c r="AC263" s="211">
        <v>186</v>
      </c>
      <c r="AD263" s="485" t="s">
        <v>3185</v>
      </c>
      <c r="AE263" s="486" t="s">
        <v>3186</v>
      </c>
      <c r="AF263" s="473">
        <v>56810000</v>
      </c>
      <c r="AG263" s="474">
        <f>+U263-AF263</f>
        <v>0</v>
      </c>
      <c r="AK263" s="475">
        <v>7195933</v>
      </c>
      <c r="AM263" s="306">
        <v>11362000</v>
      </c>
    </row>
    <row r="264" spans="1:50" ht="15" hidden="1" customHeight="1" x14ac:dyDescent="0.35">
      <c r="A264" s="476" t="s">
        <v>2226</v>
      </c>
      <c r="B264" s="477">
        <v>37260000</v>
      </c>
      <c r="C264" s="212" t="s">
        <v>2544</v>
      </c>
      <c r="D264" s="478">
        <v>259</v>
      </c>
      <c r="E264" s="478">
        <v>20211400001553</v>
      </c>
      <c r="F264" s="479">
        <v>44214</v>
      </c>
      <c r="G264" s="478" t="s">
        <v>2545</v>
      </c>
      <c r="H264" s="212" t="s">
        <v>2546</v>
      </c>
      <c r="I264" s="212" t="s">
        <v>184</v>
      </c>
      <c r="J264" s="475">
        <v>37260000</v>
      </c>
      <c r="K264" s="212" t="s">
        <v>138</v>
      </c>
      <c r="L264" s="212" t="s">
        <v>2550</v>
      </c>
      <c r="M264" s="212" t="s">
        <v>44</v>
      </c>
      <c r="N264" s="212" t="s">
        <v>45</v>
      </c>
      <c r="O264" s="212" t="s">
        <v>142</v>
      </c>
      <c r="P264" s="212" t="s">
        <v>43</v>
      </c>
      <c r="R264" s="212">
        <v>67</v>
      </c>
      <c r="S264" s="479">
        <v>44214</v>
      </c>
      <c r="T264" s="212" t="s">
        <v>3187</v>
      </c>
      <c r="U264" s="475">
        <f>37260000-1260000</f>
        <v>36000000</v>
      </c>
      <c r="V264" s="406">
        <v>1260000</v>
      </c>
      <c r="W264" s="362" t="s">
        <v>1428</v>
      </c>
      <c r="X264" s="308">
        <v>261</v>
      </c>
      <c r="Y264" s="484">
        <v>44266</v>
      </c>
      <c r="Z264" s="484">
        <v>44266</v>
      </c>
      <c r="AA264" s="484">
        <v>44511</v>
      </c>
      <c r="AB264" s="485" t="s">
        <v>2548</v>
      </c>
      <c r="AC264" s="211">
        <v>187</v>
      </c>
      <c r="AD264" s="485" t="s">
        <v>3188</v>
      </c>
      <c r="AE264" s="486" t="s">
        <v>3189</v>
      </c>
      <c r="AF264" s="473">
        <v>36000000</v>
      </c>
      <c r="AG264" s="474">
        <f>+U264-AF264</f>
        <v>0</v>
      </c>
      <c r="AK264" s="475">
        <v>3000000</v>
      </c>
      <c r="AL264" s="475">
        <v>4500000</v>
      </c>
      <c r="AM264" s="306">
        <v>4500000</v>
      </c>
    </row>
    <row r="265" spans="1:50" s="312" customFormat="1" ht="15" hidden="1" customHeight="1" x14ac:dyDescent="0.35">
      <c r="A265" s="361" t="s">
        <v>3190</v>
      </c>
      <c r="B265" s="417">
        <v>58300000</v>
      </c>
      <c r="C265" s="312" t="s">
        <v>2544</v>
      </c>
      <c r="D265" s="325">
        <v>260</v>
      </c>
      <c r="E265" s="325">
        <v>20215000008973</v>
      </c>
      <c r="F265" s="315">
        <v>44245</v>
      </c>
      <c r="G265" s="325" t="s">
        <v>2538</v>
      </c>
      <c r="H265" s="312" t="s">
        <v>2539</v>
      </c>
      <c r="I265" s="312" t="s">
        <v>228</v>
      </c>
      <c r="J265" s="405">
        <v>58300000</v>
      </c>
      <c r="K265" s="312" t="s">
        <v>223</v>
      </c>
      <c r="L265" s="312" t="s">
        <v>2656</v>
      </c>
      <c r="M265" s="312" t="s">
        <v>44</v>
      </c>
      <c r="N265" s="312" t="s">
        <v>45</v>
      </c>
      <c r="O265" s="312" t="s">
        <v>63</v>
      </c>
      <c r="P265" s="312" t="s">
        <v>674</v>
      </c>
      <c r="R265" s="360">
        <v>273</v>
      </c>
      <c r="S265" s="363">
        <v>44246</v>
      </c>
      <c r="T265" s="360" t="s">
        <v>3191</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x14ac:dyDescent="0.35">
      <c r="A266" s="476" t="s">
        <v>2484</v>
      </c>
      <c r="B266" s="477">
        <v>22400000</v>
      </c>
      <c r="C266" s="212" t="s">
        <v>2544</v>
      </c>
      <c r="D266" s="478">
        <v>261</v>
      </c>
      <c r="E266" s="309">
        <v>20213000009213</v>
      </c>
      <c r="F266" s="479">
        <v>44252</v>
      </c>
      <c r="G266" s="478" t="s">
        <v>2538</v>
      </c>
      <c r="H266" s="212" t="s">
        <v>2539</v>
      </c>
      <c r="I266" s="212" t="s">
        <v>432</v>
      </c>
      <c r="J266" s="475">
        <v>22400000</v>
      </c>
      <c r="K266" s="212" t="s">
        <v>342</v>
      </c>
      <c r="L266" s="212" t="s">
        <v>351</v>
      </c>
      <c r="M266" s="212" t="s">
        <v>44</v>
      </c>
      <c r="N266" s="212" t="s">
        <v>45</v>
      </c>
      <c r="O266" s="212" t="s">
        <v>63</v>
      </c>
      <c r="P266" s="212" t="s">
        <v>674</v>
      </c>
      <c r="R266" s="486">
        <v>300</v>
      </c>
      <c r="S266" s="490">
        <v>44252</v>
      </c>
      <c r="T266" s="486" t="s">
        <v>3192</v>
      </c>
      <c r="U266" s="475">
        <v>22400000</v>
      </c>
      <c r="V266" s="406"/>
      <c r="W266" s="362"/>
      <c r="X266" s="308">
        <v>262</v>
      </c>
      <c r="Y266" s="484">
        <v>44266</v>
      </c>
      <c r="Z266" s="484">
        <v>44266</v>
      </c>
      <c r="AA266" s="484">
        <v>44511</v>
      </c>
      <c r="AB266" s="485" t="s">
        <v>2548</v>
      </c>
      <c r="AC266" s="211">
        <v>185</v>
      </c>
      <c r="AD266" s="485" t="s">
        <v>3193</v>
      </c>
      <c r="AE266" s="486" t="s">
        <v>2916</v>
      </c>
      <c r="AF266" s="473">
        <v>22400000</v>
      </c>
      <c r="AG266" s="474">
        <f>+U266-AF266</f>
        <v>0</v>
      </c>
      <c r="AK266" s="475">
        <v>1773333</v>
      </c>
      <c r="AL266" s="475">
        <v>2800000</v>
      </c>
      <c r="AM266" s="306">
        <v>2053333</v>
      </c>
    </row>
    <row r="267" spans="1:50" s="312" customFormat="1" ht="15" hidden="1" customHeight="1" x14ac:dyDescent="0.35">
      <c r="A267" s="361" t="s">
        <v>2155</v>
      </c>
      <c r="B267" s="417">
        <v>60000000</v>
      </c>
      <c r="C267" s="312" t="s">
        <v>2660</v>
      </c>
      <c r="D267" s="325">
        <v>262</v>
      </c>
      <c r="E267" s="325">
        <v>20217000009273</v>
      </c>
      <c r="F267" s="315">
        <v>44246</v>
      </c>
      <c r="G267" s="325" t="s">
        <v>2545</v>
      </c>
      <c r="H267" s="312" t="s">
        <v>2546</v>
      </c>
      <c r="I267" s="312" t="s">
        <v>164</v>
      </c>
      <c r="J267" s="405">
        <v>58145664</v>
      </c>
      <c r="K267" s="312" t="s">
        <v>138</v>
      </c>
      <c r="L267" s="312" t="s">
        <v>139</v>
      </c>
      <c r="M267" s="312" t="s">
        <v>44</v>
      </c>
      <c r="N267" s="312" t="s">
        <v>45</v>
      </c>
      <c r="O267" s="312" t="s">
        <v>142</v>
      </c>
      <c r="P267" s="312" t="s">
        <v>43</v>
      </c>
      <c r="R267" s="360">
        <v>277</v>
      </c>
      <c r="S267" s="363">
        <v>44246</v>
      </c>
      <c r="T267" s="360" t="s">
        <v>3093</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x14ac:dyDescent="0.35">
      <c r="A268" s="476" t="s">
        <v>2317</v>
      </c>
      <c r="B268" s="477">
        <v>44064000</v>
      </c>
      <c r="C268" s="212" t="s">
        <v>2544</v>
      </c>
      <c r="D268" s="478">
        <v>263</v>
      </c>
      <c r="E268" s="309">
        <v>20212000011393</v>
      </c>
      <c r="F268" s="479">
        <v>44258</v>
      </c>
      <c r="G268" s="478" t="s">
        <v>2538</v>
      </c>
      <c r="H268" s="212" t="s">
        <v>2539</v>
      </c>
      <c r="I268" s="212" t="s">
        <v>391</v>
      </c>
      <c r="J268" s="475">
        <v>28560000</v>
      </c>
      <c r="K268" s="210" t="s">
        <v>2609</v>
      </c>
      <c r="L268" s="212" t="s">
        <v>2610</v>
      </c>
      <c r="M268" s="212" t="s">
        <v>44</v>
      </c>
      <c r="N268" s="212" t="s">
        <v>45</v>
      </c>
      <c r="O268" s="212" t="s">
        <v>63</v>
      </c>
      <c r="P268" s="212" t="s">
        <v>674</v>
      </c>
      <c r="R268" s="212">
        <v>326</v>
      </c>
      <c r="S268" s="490">
        <v>44258</v>
      </c>
      <c r="T268" s="486" t="s">
        <v>3194</v>
      </c>
      <c r="U268" s="475">
        <v>28560000</v>
      </c>
      <c r="V268" s="406"/>
      <c r="W268" s="362"/>
      <c r="X268" s="308">
        <v>263</v>
      </c>
      <c r="Y268" s="484">
        <v>44267</v>
      </c>
      <c r="Z268" s="484">
        <v>44267</v>
      </c>
      <c r="AA268" s="484">
        <v>44389</v>
      </c>
      <c r="AB268" s="485" t="s">
        <v>2548</v>
      </c>
      <c r="AC268" s="211">
        <v>189</v>
      </c>
      <c r="AD268" s="485" t="s">
        <v>3195</v>
      </c>
      <c r="AE268" s="486" t="s">
        <v>3196</v>
      </c>
      <c r="AF268" s="473">
        <v>28560000</v>
      </c>
      <c r="AK268" s="475">
        <v>3570000</v>
      </c>
      <c r="AL268" s="475">
        <v>7140000</v>
      </c>
      <c r="AM268" s="306">
        <v>7140000</v>
      </c>
    </row>
    <row r="269" spans="1:50" s="312" customFormat="1" ht="15.75" hidden="1" customHeight="1" x14ac:dyDescent="0.35">
      <c r="A269" s="476"/>
      <c r="B269" s="501" t="s">
        <v>2581</v>
      </c>
      <c r="C269" s="510" t="s">
        <v>3197</v>
      </c>
      <c r="D269" s="325">
        <v>264</v>
      </c>
      <c r="E269" s="325">
        <v>20215000009113</v>
      </c>
      <c r="F269" s="315">
        <v>44249</v>
      </c>
      <c r="G269" s="325" t="s">
        <v>2538</v>
      </c>
      <c r="H269" s="312" t="s">
        <v>2539</v>
      </c>
      <c r="I269" s="312" t="s">
        <v>228</v>
      </c>
      <c r="J269" s="405">
        <v>114229680</v>
      </c>
      <c r="K269" s="312" t="s">
        <v>223</v>
      </c>
      <c r="L269" s="312" t="s">
        <v>236</v>
      </c>
      <c r="M269" s="312" t="s">
        <v>44</v>
      </c>
      <c r="N269" s="312" t="s">
        <v>45</v>
      </c>
      <c r="O269" s="312" t="s">
        <v>265</v>
      </c>
      <c r="P269" s="312" t="s">
        <v>674</v>
      </c>
      <c r="Q269" s="312" t="s">
        <v>3198</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x14ac:dyDescent="0.35">
      <c r="A270" s="476"/>
      <c r="B270" s="501" t="s">
        <v>2581</v>
      </c>
      <c r="C270" s="517" t="s">
        <v>3199</v>
      </c>
      <c r="D270" s="309">
        <v>265</v>
      </c>
      <c r="E270" s="478">
        <v>20211200013063</v>
      </c>
      <c r="F270" s="479">
        <v>44264</v>
      </c>
      <c r="G270" s="478" t="s">
        <v>2545</v>
      </c>
      <c r="H270" s="212" t="s">
        <v>2546</v>
      </c>
      <c r="I270" s="212" t="s">
        <v>143</v>
      </c>
      <c r="J270" s="475">
        <v>11401390</v>
      </c>
      <c r="K270" s="212" t="s">
        <v>138</v>
      </c>
      <c r="L270" s="212" t="s">
        <v>139</v>
      </c>
      <c r="M270" s="212" t="s">
        <v>44</v>
      </c>
      <c r="N270" s="212" t="s">
        <v>45</v>
      </c>
      <c r="O270" s="212" t="s">
        <v>142</v>
      </c>
      <c r="P270" s="212" t="s">
        <v>43</v>
      </c>
      <c r="Q270" s="212"/>
      <c r="R270" s="212">
        <v>347</v>
      </c>
      <c r="S270" s="490">
        <v>44264</v>
      </c>
      <c r="T270" s="486" t="s">
        <v>3200</v>
      </c>
      <c r="U270" s="475">
        <v>11401390</v>
      </c>
      <c r="V270" s="406"/>
      <c r="W270" s="362"/>
      <c r="X270" s="308">
        <v>264</v>
      </c>
      <c r="Y270" s="484">
        <v>44267</v>
      </c>
      <c r="Z270" s="484">
        <v>44269</v>
      </c>
      <c r="AA270" s="484">
        <v>44334</v>
      </c>
      <c r="AB270" s="485" t="s">
        <v>2548</v>
      </c>
      <c r="AC270" s="211">
        <v>492</v>
      </c>
      <c r="AD270" s="485" t="s">
        <v>3201</v>
      </c>
      <c r="AE270" s="486" t="s">
        <v>3202</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x14ac:dyDescent="0.35">
      <c r="A271" s="476"/>
      <c r="B271" s="501" t="s">
        <v>2581</v>
      </c>
      <c r="C271" s="518" t="s">
        <v>3203</v>
      </c>
      <c r="D271" s="309">
        <v>266</v>
      </c>
      <c r="E271" s="309">
        <v>20212000009583</v>
      </c>
      <c r="F271" s="310">
        <v>44249</v>
      </c>
      <c r="G271" s="309" t="s">
        <v>2538</v>
      </c>
      <c r="H271" s="210" t="s">
        <v>2539</v>
      </c>
      <c r="I271" s="212" t="s">
        <v>391</v>
      </c>
      <c r="J271" s="407">
        <v>2304653299</v>
      </c>
      <c r="K271" s="210" t="s">
        <v>2609</v>
      </c>
      <c r="L271" s="210" t="s">
        <v>3204</v>
      </c>
      <c r="M271" s="210" t="s">
        <v>44</v>
      </c>
      <c r="N271" s="210" t="s">
        <v>45</v>
      </c>
      <c r="O271" s="212" t="s">
        <v>46</v>
      </c>
      <c r="P271" s="210" t="s">
        <v>674</v>
      </c>
      <c r="R271" s="486">
        <v>281</v>
      </c>
      <c r="S271" s="490">
        <v>44249</v>
      </c>
      <c r="T271" s="486" t="s">
        <v>3205</v>
      </c>
      <c r="U271" s="475">
        <v>2304653299</v>
      </c>
      <c r="V271" s="406"/>
      <c r="W271" s="362"/>
      <c r="X271" s="483">
        <v>196</v>
      </c>
      <c r="Y271" s="484">
        <v>44253</v>
      </c>
      <c r="Z271" s="484">
        <v>44256</v>
      </c>
      <c r="AA271" s="484">
        <v>44561</v>
      </c>
      <c r="AB271" s="485" t="s">
        <v>2735</v>
      </c>
      <c r="AC271" s="483">
        <v>460</v>
      </c>
      <c r="AD271" s="485">
        <v>901272929</v>
      </c>
      <c r="AE271" s="486" t="s">
        <v>3206</v>
      </c>
      <c r="AF271" s="473">
        <v>2304653299</v>
      </c>
      <c r="AG271" s="474">
        <f>+U271-AF271</f>
        <v>0</v>
      </c>
      <c r="AH271" s="407"/>
      <c r="AI271" s="407"/>
      <c r="AJ271" s="475"/>
      <c r="AK271" s="475"/>
      <c r="AL271" s="475"/>
      <c r="AM271" s="212"/>
    </row>
    <row r="272" spans="1:50" s="210" customFormat="1" ht="15" hidden="1" customHeight="1" x14ac:dyDescent="0.35">
      <c r="A272" s="476" t="s">
        <v>2418</v>
      </c>
      <c r="B272" s="477">
        <v>72000000</v>
      </c>
      <c r="C272" s="212" t="s">
        <v>2544</v>
      </c>
      <c r="D272" s="309">
        <v>267</v>
      </c>
      <c r="E272" s="309">
        <v>20213000008953</v>
      </c>
      <c r="F272" s="479">
        <v>44245</v>
      </c>
      <c r="G272" s="478" t="s">
        <v>2538</v>
      </c>
      <c r="H272" s="212" t="s">
        <v>2539</v>
      </c>
      <c r="I272" s="212" t="s">
        <v>432</v>
      </c>
      <c r="J272" s="475">
        <v>72000000</v>
      </c>
      <c r="K272" s="212" t="s">
        <v>358</v>
      </c>
      <c r="L272" s="212" t="s">
        <v>2689</v>
      </c>
      <c r="M272" s="212" t="s">
        <v>44</v>
      </c>
      <c r="N272" s="212" t="s">
        <v>45</v>
      </c>
      <c r="O272" s="212" t="s">
        <v>63</v>
      </c>
      <c r="P272" s="212" t="s">
        <v>674</v>
      </c>
      <c r="Q272" s="212"/>
      <c r="R272" s="486">
        <v>272</v>
      </c>
      <c r="S272" s="490">
        <v>44246</v>
      </c>
      <c r="T272" s="486" t="s">
        <v>3207</v>
      </c>
      <c r="U272" s="475">
        <v>72000000</v>
      </c>
      <c r="V272" s="406"/>
      <c r="W272" s="362"/>
      <c r="X272" s="308">
        <v>265</v>
      </c>
      <c r="Y272" s="484">
        <v>44270</v>
      </c>
      <c r="Z272" s="484">
        <v>44270</v>
      </c>
      <c r="AA272" s="484">
        <v>44515</v>
      </c>
      <c r="AB272" s="485" t="s">
        <v>2548</v>
      </c>
      <c r="AC272" s="211">
        <v>191</v>
      </c>
      <c r="AD272" s="485" t="s">
        <v>3208</v>
      </c>
      <c r="AE272" s="486" t="s">
        <v>3209</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x14ac:dyDescent="0.35">
      <c r="A273" s="361" t="s">
        <v>3210</v>
      </c>
      <c r="B273" s="417">
        <v>36000000</v>
      </c>
      <c r="C273" s="312" t="s">
        <v>2544</v>
      </c>
      <c r="D273" s="325">
        <v>268</v>
      </c>
      <c r="E273" s="325">
        <v>20211400009723</v>
      </c>
      <c r="F273" s="315">
        <v>44250</v>
      </c>
      <c r="G273" s="325" t="s">
        <v>2545</v>
      </c>
      <c r="H273" s="312" t="s">
        <v>2546</v>
      </c>
      <c r="I273" s="312" t="s">
        <v>184</v>
      </c>
      <c r="J273" s="405">
        <v>36000000</v>
      </c>
      <c r="K273" s="312" t="s">
        <v>138</v>
      </c>
      <c r="L273" s="312" t="s">
        <v>2550</v>
      </c>
      <c r="M273" s="312" t="s">
        <v>44</v>
      </c>
      <c r="N273" s="312" t="s">
        <v>45</v>
      </c>
      <c r="O273" s="312" t="s">
        <v>142</v>
      </c>
      <c r="P273" s="312" t="s">
        <v>43</v>
      </c>
      <c r="R273" s="360">
        <v>283</v>
      </c>
      <c r="S273" s="363">
        <v>44250</v>
      </c>
      <c r="T273" s="360" t="s">
        <v>3211</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x14ac:dyDescent="0.35">
      <c r="A274" s="361" t="s">
        <v>2200</v>
      </c>
      <c r="B274" s="417">
        <v>32697000</v>
      </c>
      <c r="C274" s="312" t="s">
        <v>3212</v>
      </c>
      <c r="D274" s="325">
        <v>269</v>
      </c>
      <c r="E274" s="325">
        <v>20211400009713</v>
      </c>
      <c r="F274" s="315">
        <v>44250</v>
      </c>
      <c r="G274" s="325" t="s">
        <v>2545</v>
      </c>
      <c r="H274" s="312" t="s">
        <v>2546</v>
      </c>
      <c r="I274" s="312" t="s">
        <v>184</v>
      </c>
      <c r="J274" s="405">
        <v>32697000</v>
      </c>
      <c r="K274" s="312" t="s">
        <v>138</v>
      </c>
      <c r="L274" s="312" t="s">
        <v>2550</v>
      </c>
      <c r="M274" s="312" t="s">
        <v>2740</v>
      </c>
      <c r="N274" s="312" t="s">
        <v>157</v>
      </c>
      <c r="O274" s="312" t="s">
        <v>158</v>
      </c>
      <c r="P274" s="312" t="s">
        <v>43</v>
      </c>
      <c r="Q274" s="312" t="s">
        <v>3198</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x14ac:dyDescent="0.35">
      <c r="B275" s="501" t="s">
        <v>2914</v>
      </c>
      <c r="C275" s="212" t="s">
        <v>3213</v>
      </c>
      <c r="D275" s="478">
        <v>270</v>
      </c>
      <c r="E275" s="478">
        <v>20214000013073</v>
      </c>
      <c r="F275" s="310">
        <v>44265</v>
      </c>
      <c r="G275" s="478" t="s">
        <v>2578</v>
      </c>
      <c r="H275" s="212" t="s">
        <v>2579</v>
      </c>
      <c r="I275" s="212" t="s">
        <v>47</v>
      </c>
      <c r="J275" s="475">
        <v>15565001</v>
      </c>
      <c r="K275" s="212" t="s">
        <v>37</v>
      </c>
      <c r="L275" s="212" t="s">
        <v>81</v>
      </c>
      <c r="M275" s="212" t="s">
        <v>44</v>
      </c>
      <c r="N275" s="212" t="s">
        <v>45</v>
      </c>
      <c r="O275" s="212" t="s">
        <v>310</v>
      </c>
      <c r="P275" s="210" t="s">
        <v>77</v>
      </c>
      <c r="R275" s="212">
        <v>369</v>
      </c>
      <c r="S275" s="490">
        <v>44265</v>
      </c>
      <c r="T275" s="486" t="s">
        <v>3214</v>
      </c>
      <c r="U275" s="475">
        <v>15565001</v>
      </c>
      <c r="V275" s="406"/>
      <c r="W275" s="362"/>
      <c r="X275" s="308">
        <v>266</v>
      </c>
      <c r="Y275" s="484">
        <v>44270</v>
      </c>
      <c r="Z275" s="484">
        <v>44270</v>
      </c>
      <c r="AA275" s="484">
        <v>44272</v>
      </c>
      <c r="AB275" s="485" t="s">
        <v>2568</v>
      </c>
      <c r="AC275" s="211">
        <v>689</v>
      </c>
      <c r="AD275" s="485" t="s">
        <v>3215</v>
      </c>
      <c r="AE275" s="486" t="s">
        <v>3216</v>
      </c>
      <c r="AF275" s="473">
        <v>15565001</v>
      </c>
      <c r="AL275" s="475">
        <v>14008499</v>
      </c>
      <c r="AM275" s="212"/>
    </row>
    <row r="276" spans="1:39" hidden="1" x14ac:dyDescent="0.35">
      <c r="A276" s="476" t="s">
        <v>2416</v>
      </c>
      <c r="B276" s="477">
        <v>60000000</v>
      </c>
      <c r="C276" s="212" t="s">
        <v>2544</v>
      </c>
      <c r="D276" s="478">
        <v>271</v>
      </c>
      <c r="E276" s="309">
        <v>20213000010793</v>
      </c>
      <c r="F276" s="479">
        <v>44253</v>
      </c>
      <c r="G276" s="478" t="s">
        <v>2538</v>
      </c>
      <c r="H276" s="212" t="s">
        <v>2539</v>
      </c>
      <c r="I276" s="212" t="s">
        <v>432</v>
      </c>
      <c r="J276" s="475">
        <v>60000000</v>
      </c>
      <c r="K276" s="212" t="s">
        <v>342</v>
      </c>
      <c r="L276" s="212" t="s">
        <v>351</v>
      </c>
      <c r="M276" s="212" t="s">
        <v>44</v>
      </c>
      <c r="N276" s="212" t="s">
        <v>45</v>
      </c>
      <c r="O276" s="212" t="s">
        <v>63</v>
      </c>
      <c r="P276" s="212" t="s">
        <v>674</v>
      </c>
      <c r="R276" s="212">
        <v>309</v>
      </c>
      <c r="S276" s="479">
        <v>44256</v>
      </c>
      <c r="T276" s="212" t="s">
        <v>3217</v>
      </c>
      <c r="U276" s="475">
        <v>60000000</v>
      </c>
      <c r="V276" s="406"/>
      <c r="W276" s="362"/>
      <c r="X276" s="483" t="s">
        <v>3218</v>
      </c>
      <c r="Y276" s="484">
        <v>44271</v>
      </c>
      <c r="Z276" s="484">
        <v>44271</v>
      </c>
      <c r="AA276" s="484">
        <v>44516</v>
      </c>
      <c r="AB276" s="485" t="s">
        <v>2548</v>
      </c>
      <c r="AC276" s="483" t="s">
        <v>3219</v>
      </c>
      <c r="AD276" s="485" t="s">
        <v>3220</v>
      </c>
      <c r="AE276" s="486" t="s">
        <v>3221</v>
      </c>
      <c r="AF276" s="473">
        <v>60000000</v>
      </c>
      <c r="AG276" s="474">
        <f>+U276-AF276</f>
        <v>0</v>
      </c>
      <c r="AK276" s="475">
        <v>3750000</v>
      </c>
      <c r="AL276" s="475">
        <v>7500000</v>
      </c>
      <c r="AM276" s="306">
        <v>7500000</v>
      </c>
    </row>
    <row r="277" spans="1:39" ht="15.5" hidden="1" x14ac:dyDescent="0.35">
      <c r="B277" s="501" t="s">
        <v>2581</v>
      </c>
      <c r="C277" s="515" t="s">
        <v>3222</v>
      </c>
      <c r="D277" s="478">
        <v>272</v>
      </c>
      <c r="E277" s="309">
        <v>20217000009783</v>
      </c>
      <c r="F277" s="310">
        <v>44250</v>
      </c>
      <c r="G277" s="478" t="s">
        <v>2545</v>
      </c>
      <c r="H277" s="212" t="s">
        <v>2546</v>
      </c>
      <c r="I277" s="212" t="s">
        <v>164</v>
      </c>
      <c r="J277" s="475">
        <v>6320181</v>
      </c>
      <c r="K277" s="212" t="s">
        <v>138</v>
      </c>
      <c r="L277" s="212" t="s">
        <v>139</v>
      </c>
      <c r="M277" s="212" t="s">
        <v>44</v>
      </c>
      <c r="N277" s="212" t="s">
        <v>45</v>
      </c>
      <c r="O277" s="212" t="s">
        <v>142</v>
      </c>
      <c r="P277" s="212" t="s">
        <v>43</v>
      </c>
      <c r="R277" s="486">
        <v>286</v>
      </c>
      <c r="S277" s="490">
        <v>44250</v>
      </c>
      <c r="T277" s="486" t="s">
        <v>3223</v>
      </c>
      <c r="U277" s="475">
        <v>6320181</v>
      </c>
      <c r="V277" s="406"/>
      <c r="W277" s="362"/>
      <c r="X277" s="483" t="s">
        <v>3224</v>
      </c>
      <c r="Y277" s="484">
        <v>44285</v>
      </c>
      <c r="Z277" s="484">
        <v>44286</v>
      </c>
      <c r="AA277" s="484">
        <v>44339</v>
      </c>
      <c r="AB277" s="485" t="s">
        <v>2548</v>
      </c>
      <c r="AC277" s="483" t="s">
        <v>3225</v>
      </c>
      <c r="AD277" s="485" t="s">
        <v>3226</v>
      </c>
      <c r="AE277" s="486" t="s">
        <v>3227</v>
      </c>
      <c r="AF277" s="473">
        <v>6320181</v>
      </c>
      <c r="AG277" s="474">
        <f>+U277-AF277</f>
        <v>0</v>
      </c>
      <c r="AL277" s="475">
        <v>3511212</v>
      </c>
      <c r="AM277" s="306">
        <v>2691929</v>
      </c>
    </row>
    <row r="278" spans="1:39" ht="15.5" hidden="1" x14ac:dyDescent="0.35">
      <c r="B278" s="501" t="s">
        <v>2581</v>
      </c>
      <c r="C278" s="515" t="s">
        <v>3228</v>
      </c>
      <c r="D278" s="478">
        <v>273</v>
      </c>
      <c r="E278" s="309">
        <v>20217000009843</v>
      </c>
      <c r="F278" s="310">
        <v>44250</v>
      </c>
      <c r="G278" s="478" t="s">
        <v>2545</v>
      </c>
      <c r="H278" s="212" t="s">
        <v>2546</v>
      </c>
      <c r="I278" s="212" t="s">
        <v>164</v>
      </c>
      <c r="J278" s="475">
        <v>9400000</v>
      </c>
      <c r="K278" s="212" t="s">
        <v>138</v>
      </c>
      <c r="L278" s="212" t="s">
        <v>139</v>
      </c>
      <c r="M278" s="212" t="s">
        <v>44</v>
      </c>
      <c r="N278" s="212" t="s">
        <v>45</v>
      </c>
      <c r="O278" s="212" t="s">
        <v>142</v>
      </c>
      <c r="P278" s="212" t="s">
        <v>43</v>
      </c>
      <c r="R278" s="486">
        <v>287</v>
      </c>
      <c r="S278" s="490">
        <v>44250</v>
      </c>
      <c r="T278" s="486" t="s">
        <v>3229</v>
      </c>
      <c r="U278" s="475">
        <v>9400000</v>
      </c>
      <c r="V278" s="406"/>
      <c r="W278" s="362"/>
      <c r="X278" s="483">
        <v>204</v>
      </c>
      <c r="Y278" s="484">
        <v>44253</v>
      </c>
      <c r="Z278" s="484">
        <v>44256</v>
      </c>
      <c r="AA278" s="484">
        <v>44316</v>
      </c>
      <c r="AB278" s="485" t="s">
        <v>2548</v>
      </c>
      <c r="AC278" s="483">
        <v>485</v>
      </c>
      <c r="AD278" s="485">
        <v>80021844</v>
      </c>
      <c r="AE278" s="486" t="s">
        <v>3230</v>
      </c>
      <c r="AF278" s="473">
        <v>9400000</v>
      </c>
      <c r="AG278" s="474">
        <f>+U278-AF278</f>
        <v>0</v>
      </c>
      <c r="AK278" s="475">
        <v>4700000</v>
      </c>
      <c r="AL278" s="475">
        <v>4700000</v>
      </c>
      <c r="AM278" s="212"/>
    </row>
    <row r="279" spans="1:39" ht="15.5" hidden="1" x14ac:dyDescent="0.35">
      <c r="B279" s="501" t="s">
        <v>2914</v>
      </c>
      <c r="C279" s="515" t="s">
        <v>3231</v>
      </c>
      <c r="D279" s="478">
        <v>274</v>
      </c>
      <c r="E279" s="309">
        <v>20211200009973</v>
      </c>
      <c r="F279" s="479">
        <v>44251</v>
      </c>
      <c r="G279" s="478" t="s">
        <v>2545</v>
      </c>
      <c r="H279" s="212" t="s">
        <v>2546</v>
      </c>
      <c r="I279" s="212" t="s">
        <v>143</v>
      </c>
      <c r="J279" s="475">
        <v>4500000</v>
      </c>
      <c r="K279" s="212" t="s">
        <v>138</v>
      </c>
      <c r="L279" s="212" t="s">
        <v>139</v>
      </c>
      <c r="M279" s="212" t="s">
        <v>44</v>
      </c>
      <c r="N279" s="212" t="s">
        <v>45</v>
      </c>
      <c r="O279" s="212" t="s">
        <v>142</v>
      </c>
      <c r="P279" s="212" t="s">
        <v>43</v>
      </c>
      <c r="R279" s="486">
        <v>291</v>
      </c>
      <c r="S279" s="490">
        <v>44251</v>
      </c>
      <c r="T279" s="486" t="s">
        <v>3232</v>
      </c>
      <c r="U279" s="475">
        <v>4500000</v>
      </c>
      <c r="V279" s="406"/>
      <c r="W279" s="362"/>
      <c r="X279" s="483">
        <v>205</v>
      </c>
      <c r="Y279" s="484">
        <v>44253</v>
      </c>
      <c r="Z279" s="484">
        <v>44256</v>
      </c>
      <c r="AA279" s="484">
        <v>44286</v>
      </c>
      <c r="AB279" s="485" t="s">
        <v>2548</v>
      </c>
      <c r="AC279" s="483">
        <v>768</v>
      </c>
      <c r="AD279" s="485">
        <v>52833154</v>
      </c>
      <c r="AE279" s="486" t="s">
        <v>3233</v>
      </c>
      <c r="AF279" s="473">
        <v>4500000</v>
      </c>
      <c r="AG279" s="474">
        <f>+U279-AF279</f>
        <v>0</v>
      </c>
      <c r="AK279" s="475">
        <v>4500000</v>
      </c>
      <c r="AM279" s="212"/>
    </row>
    <row r="280" spans="1:39" ht="15.5" hidden="1" x14ac:dyDescent="0.35">
      <c r="B280" s="501"/>
      <c r="C280" s="519" t="s">
        <v>3234</v>
      </c>
      <c r="D280" s="478">
        <v>275</v>
      </c>
      <c r="E280" s="478">
        <v>20212000012583</v>
      </c>
      <c r="F280" s="479">
        <v>44263</v>
      </c>
      <c r="G280" s="478" t="s">
        <v>2538</v>
      </c>
      <c r="H280" s="212" t="s">
        <v>2539</v>
      </c>
      <c r="I280" s="212" t="s">
        <v>391</v>
      </c>
      <c r="J280" s="475">
        <v>1120863564</v>
      </c>
      <c r="K280" s="212" t="s">
        <v>426</v>
      </c>
      <c r="L280" s="212" t="s">
        <v>427</v>
      </c>
      <c r="M280" s="212" t="s">
        <v>44</v>
      </c>
      <c r="N280" s="212" t="s">
        <v>45</v>
      </c>
      <c r="O280" s="212" t="s">
        <v>63</v>
      </c>
      <c r="P280" s="212" t="s">
        <v>674</v>
      </c>
      <c r="R280" s="212">
        <v>341</v>
      </c>
      <c r="S280" s="490">
        <v>44263</v>
      </c>
      <c r="T280" s="486" t="s">
        <v>3235</v>
      </c>
      <c r="U280" s="475">
        <v>1120863564</v>
      </c>
      <c r="V280" s="480"/>
      <c r="W280" s="520"/>
      <c r="X280" s="483" t="s">
        <v>3236</v>
      </c>
      <c r="Y280" s="484">
        <v>44271</v>
      </c>
      <c r="Z280" s="484">
        <v>44271</v>
      </c>
      <c r="AA280" s="484">
        <v>44561</v>
      </c>
      <c r="AB280" s="485" t="s">
        <v>3237</v>
      </c>
      <c r="AC280" s="483" t="s">
        <v>3238</v>
      </c>
      <c r="AD280" s="485" t="s">
        <v>3239</v>
      </c>
      <c r="AE280" s="486" t="s">
        <v>3240</v>
      </c>
      <c r="AF280" s="473">
        <v>1120863564</v>
      </c>
      <c r="AM280" s="212"/>
    </row>
    <row r="281" spans="1:39" ht="15.5" hidden="1" x14ac:dyDescent="0.35">
      <c r="B281" s="501" t="s">
        <v>2694</v>
      </c>
      <c r="C281" s="515" t="s">
        <v>3241</v>
      </c>
      <c r="D281" s="309">
        <v>276</v>
      </c>
      <c r="E281" s="309">
        <v>20214000009283</v>
      </c>
      <c r="F281" s="310">
        <v>44246</v>
      </c>
      <c r="G281" s="478" t="s">
        <v>2571</v>
      </c>
      <c r="H281" s="212" t="s">
        <v>2572</v>
      </c>
      <c r="I281" s="212" t="s">
        <v>117</v>
      </c>
      <c r="J281" s="475">
        <v>1410000000</v>
      </c>
      <c r="K281" s="212" t="s">
        <v>112</v>
      </c>
      <c r="L281" s="212" t="s">
        <v>113</v>
      </c>
      <c r="M281" s="212" t="s">
        <v>44</v>
      </c>
      <c r="N281" s="212" t="s">
        <v>45</v>
      </c>
      <c r="O281" s="212" t="s">
        <v>142</v>
      </c>
      <c r="P281" s="212" t="s">
        <v>43</v>
      </c>
      <c r="R281" s="486">
        <v>278</v>
      </c>
      <c r="S281" s="490">
        <v>44246</v>
      </c>
      <c r="T281" s="486" t="s">
        <v>3242</v>
      </c>
      <c r="U281" s="475">
        <v>1410000000</v>
      </c>
      <c r="V281" s="406"/>
      <c r="W281" s="362"/>
      <c r="X281" s="483">
        <v>271</v>
      </c>
      <c r="Y281" s="484">
        <v>44271</v>
      </c>
      <c r="Z281" s="484">
        <v>44287</v>
      </c>
      <c r="AA281" s="484">
        <v>44377</v>
      </c>
      <c r="AB281" s="485" t="s">
        <v>2735</v>
      </c>
      <c r="AC281" s="483" t="s">
        <v>3243</v>
      </c>
      <c r="AD281" s="485" t="s">
        <v>3244</v>
      </c>
      <c r="AE281" s="486" t="s">
        <v>3245</v>
      </c>
      <c r="AF281" s="473">
        <v>1410000000</v>
      </c>
      <c r="AG281" s="474">
        <f t="shared" ref="AG281:AG302" si="5">+U281-AF281</f>
        <v>0</v>
      </c>
      <c r="AM281" s="306">
        <v>470000000</v>
      </c>
    </row>
    <row r="282" spans="1:39" s="312" customFormat="1" hidden="1" x14ac:dyDescent="0.35">
      <c r="A282" s="361" t="s">
        <v>1881</v>
      </c>
      <c r="B282" s="417">
        <v>53148771</v>
      </c>
      <c r="C282" s="312" t="s">
        <v>2544</v>
      </c>
      <c r="D282" s="325">
        <v>277</v>
      </c>
      <c r="E282" s="325">
        <v>20217000010313</v>
      </c>
      <c r="F282" s="315">
        <v>44251</v>
      </c>
      <c r="G282" s="325" t="s">
        <v>2545</v>
      </c>
      <c r="H282" s="312" t="s">
        <v>2546</v>
      </c>
      <c r="I282" s="312" t="s">
        <v>164</v>
      </c>
      <c r="J282" s="405">
        <v>29072832</v>
      </c>
      <c r="K282" s="312" t="s">
        <v>138</v>
      </c>
      <c r="L282" s="312" t="s">
        <v>139</v>
      </c>
      <c r="M282" s="312" t="s">
        <v>44</v>
      </c>
      <c r="N282" s="312" t="s">
        <v>45</v>
      </c>
      <c r="O282" s="312" t="s">
        <v>142</v>
      </c>
      <c r="P282" s="312" t="s">
        <v>43</v>
      </c>
      <c r="R282" s="360">
        <v>294</v>
      </c>
      <c r="S282" s="363">
        <v>44251</v>
      </c>
      <c r="T282" s="360" t="s">
        <v>3246</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x14ac:dyDescent="0.35">
      <c r="A283" s="476" t="s">
        <v>1915</v>
      </c>
      <c r="B283" s="477">
        <v>24530202</v>
      </c>
      <c r="C283" s="212" t="s">
        <v>2544</v>
      </c>
      <c r="D283" s="478">
        <v>278</v>
      </c>
      <c r="E283" s="309">
        <v>20217000010363</v>
      </c>
      <c r="F283" s="310">
        <v>44251</v>
      </c>
      <c r="G283" s="478" t="s">
        <v>2545</v>
      </c>
      <c r="H283" s="212" t="s">
        <v>2546</v>
      </c>
      <c r="I283" s="212" t="s">
        <v>164</v>
      </c>
      <c r="J283" s="475">
        <v>19079046</v>
      </c>
      <c r="K283" s="212" t="s">
        <v>138</v>
      </c>
      <c r="L283" s="212" t="s">
        <v>139</v>
      </c>
      <c r="M283" s="212" t="s">
        <v>44</v>
      </c>
      <c r="N283" s="212" t="s">
        <v>45</v>
      </c>
      <c r="O283" s="212" t="s">
        <v>142</v>
      </c>
      <c r="P283" s="212" t="s">
        <v>43</v>
      </c>
      <c r="R283" s="486">
        <v>296</v>
      </c>
      <c r="S283" s="490">
        <v>44251</v>
      </c>
      <c r="T283" s="486" t="s">
        <v>3247</v>
      </c>
      <c r="U283" s="475">
        <v>19079046</v>
      </c>
      <c r="V283" s="406"/>
      <c r="W283" s="362"/>
      <c r="X283" s="483" t="s">
        <v>3248</v>
      </c>
      <c r="Y283" s="484">
        <v>44286</v>
      </c>
      <c r="Z283" s="484">
        <v>44286</v>
      </c>
      <c r="AA283" s="484">
        <v>44500</v>
      </c>
      <c r="AB283" s="485" t="s">
        <v>2548</v>
      </c>
      <c r="AC283" s="483" t="s">
        <v>3218</v>
      </c>
      <c r="AD283" s="485" t="s">
        <v>3249</v>
      </c>
      <c r="AE283" s="486" t="s">
        <v>3250</v>
      </c>
      <c r="AF283" s="473">
        <v>19079046</v>
      </c>
      <c r="AG283" s="474">
        <f t="shared" si="5"/>
        <v>0</v>
      </c>
      <c r="AL283" s="475">
        <v>2362168</v>
      </c>
      <c r="AM283" s="306">
        <v>2725578</v>
      </c>
    </row>
    <row r="284" spans="1:39" hidden="1" x14ac:dyDescent="0.35">
      <c r="A284" s="476" t="s">
        <v>1877</v>
      </c>
      <c r="B284" s="477">
        <v>32706936</v>
      </c>
      <c r="C284" s="212" t="s">
        <v>2544</v>
      </c>
      <c r="D284" s="478">
        <v>279</v>
      </c>
      <c r="E284" s="309">
        <v>20217000010393</v>
      </c>
      <c r="F284" s="310">
        <v>44251</v>
      </c>
      <c r="G284" s="478" t="s">
        <v>2545</v>
      </c>
      <c r="H284" s="212" t="s">
        <v>2546</v>
      </c>
      <c r="I284" s="212" t="s">
        <v>164</v>
      </c>
      <c r="J284" s="475">
        <v>19079046</v>
      </c>
      <c r="K284" s="212" t="s">
        <v>138</v>
      </c>
      <c r="L284" s="212" t="s">
        <v>139</v>
      </c>
      <c r="M284" s="212" t="s">
        <v>44</v>
      </c>
      <c r="N284" s="212" t="s">
        <v>45</v>
      </c>
      <c r="O284" s="212" t="s">
        <v>142</v>
      </c>
      <c r="P284" s="212" t="s">
        <v>43</v>
      </c>
      <c r="R284" s="486">
        <v>298</v>
      </c>
      <c r="S284" s="490">
        <v>44251</v>
      </c>
      <c r="T284" s="486" t="s">
        <v>3251</v>
      </c>
      <c r="U284" s="475">
        <v>19079046</v>
      </c>
      <c r="V284" s="406"/>
      <c r="W284" s="362"/>
      <c r="X284" s="483" t="s">
        <v>3252</v>
      </c>
      <c r="Y284" s="484">
        <v>44292</v>
      </c>
      <c r="Z284" s="484">
        <v>44292</v>
      </c>
      <c r="AA284" s="484">
        <v>44506</v>
      </c>
      <c r="AB284" s="485" t="s">
        <v>2548</v>
      </c>
      <c r="AC284" s="483" t="s">
        <v>3253</v>
      </c>
      <c r="AD284" s="485" t="s">
        <v>3254</v>
      </c>
      <c r="AE284" s="486" t="s">
        <v>3255</v>
      </c>
      <c r="AF284" s="473">
        <v>19079046</v>
      </c>
      <c r="AG284" s="474">
        <f t="shared" si="5"/>
        <v>0</v>
      </c>
      <c r="AL284" s="475">
        <v>2271315</v>
      </c>
      <c r="AM284" s="306">
        <v>2725578</v>
      </c>
    </row>
    <row r="285" spans="1:39" hidden="1" x14ac:dyDescent="0.35">
      <c r="A285" s="476" t="s">
        <v>1901</v>
      </c>
      <c r="B285" s="477">
        <v>44972037</v>
      </c>
      <c r="C285" s="212" t="s">
        <v>2544</v>
      </c>
      <c r="D285" s="478">
        <v>280</v>
      </c>
      <c r="E285" s="309">
        <v>20217000010403</v>
      </c>
      <c r="F285" s="310">
        <v>44251</v>
      </c>
      <c r="G285" s="478" t="s">
        <v>2545</v>
      </c>
      <c r="H285" s="212" t="s">
        <v>2546</v>
      </c>
      <c r="I285" s="212" t="s">
        <v>164</v>
      </c>
      <c r="J285" s="475">
        <v>20441835</v>
      </c>
      <c r="K285" s="212" t="s">
        <v>138</v>
      </c>
      <c r="L285" s="212" t="s">
        <v>139</v>
      </c>
      <c r="M285" s="212" t="s">
        <v>44</v>
      </c>
      <c r="N285" s="212" t="s">
        <v>45</v>
      </c>
      <c r="O285" s="212" t="s">
        <v>142</v>
      </c>
      <c r="P285" s="212" t="s">
        <v>43</v>
      </c>
      <c r="R285" s="486">
        <v>299</v>
      </c>
      <c r="S285" s="490">
        <v>44251</v>
      </c>
      <c r="T285" s="486" t="s">
        <v>3256</v>
      </c>
      <c r="U285" s="475">
        <v>20441835</v>
      </c>
      <c r="V285" s="406"/>
      <c r="W285" s="362"/>
      <c r="X285" s="483" t="s">
        <v>3257</v>
      </c>
      <c r="Y285" s="484">
        <v>44292</v>
      </c>
      <c r="Z285" s="484">
        <v>44292</v>
      </c>
      <c r="AA285" s="484">
        <v>44445</v>
      </c>
      <c r="AB285" s="485" t="s">
        <v>2548</v>
      </c>
      <c r="AC285" s="483" t="s">
        <v>3258</v>
      </c>
      <c r="AD285" s="485" t="s">
        <v>3259</v>
      </c>
      <c r="AE285" s="486" t="s">
        <v>2715</v>
      </c>
      <c r="AF285" s="473">
        <v>20441835</v>
      </c>
      <c r="AG285" s="474">
        <f t="shared" si="5"/>
        <v>0</v>
      </c>
      <c r="AL285" s="475">
        <v>3270693</v>
      </c>
      <c r="AM285" s="306">
        <v>4088367</v>
      </c>
    </row>
    <row r="286" spans="1:39" hidden="1" x14ac:dyDescent="0.35">
      <c r="A286" s="476" t="s">
        <v>2273</v>
      </c>
      <c r="B286" s="477">
        <v>65413872</v>
      </c>
      <c r="C286" s="212" t="s">
        <v>2544</v>
      </c>
      <c r="D286" s="478">
        <v>281</v>
      </c>
      <c r="E286" s="309">
        <v>20217000010353</v>
      </c>
      <c r="F286" s="310">
        <v>44251</v>
      </c>
      <c r="G286" s="478" t="s">
        <v>2545</v>
      </c>
      <c r="H286" s="212" t="s">
        <v>2546</v>
      </c>
      <c r="I286" s="212" t="s">
        <v>164</v>
      </c>
      <c r="J286" s="475">
        <v>50877456</v>
      </c>
      <c r="K286" s="212" t="s">
        <v>138</v>
      </c>
      <c r="L286" s="212" t="s">
        <v>139</v>
      </c>
      <c r="M286" s="212" t="s">
        <v>44</v>
      </c>
      <c r="N286" s="212" t="s">
        <v>45</v>
      </c>
      <c r="O286" s="212" t="s">
        <v>142</v>
      </c>
      <c r="P286" s="212" t="s">
        <v>43</v>
      </c>
      <c r="R286" s="486">
        <v>295</v>
      </c>
      <c r="S286" s="490">
        <v>44251</v>
      </c>
      <c r="T286" s="486" t="s">
        <v>3260</v>
      </c>
      <c r="U286" s="475">
        <v>50877456</v>
      </c>
      <c r="V286" s="406"/>
      <c r="W286" s="362"/>
      <c r="X286" s="483" t="s">
        <v>3126</v>
      </c>
      <c r="Y286" s="484">
        <v>44286</v>
      </c>
      <c r="Z286" s="484">
        <v>44286</v>
      </c>
      <c r="AA286" s="484">
        <v>44500</v>
      </c>
      <c r="AB286" s="485" t="s">
        <v>2548</v>
      </c>
      <c r="AC286" s="483" t="s">
        <v>3236</v>
      </c>
      <c r="AD286" s="485" t="s">
        <v>3261</v>
      </c>
      <c r="AE286" s="486" t="s">
        <v>3262</v>
      </c>
      <c r="AF286" s="473">
        <v>50877456</v>
      </c>
      <c r="AG286" s="474">
        <f t="shared" si="5"/>
        <v>0</v>
      </c>
      <c r="AL286" s="475">
        <v>6299113</v>
      </c>
      <c r="AM286" s="306">
        <v>7268208</v>
      </c>
    </row>
    <row r="287" spans="1:39" hidden="1" x14ac:dyDescent="0.35">
      <c r="A287" s="476" t="s">
        <v>1914</v>
      </c>
      <c r="B287" s="477">
        <v>36795303</v>
      </c>
      <c r="C287" s="212" t="s">
        <v>2544</v>
      </c>
      <c r="D287" s="478">
        <v>282</v>
      </c>
      <c r="E287" s="309">
        <v>20217000010373</v>
      </c>
      <c r="F287" s="310">
        <v>44251</v>
      </c>
      <c r="G287" s="478" t="s">
        <v>2545</v>
      </c>
      <c r="H287" s="212" t="s">
        <v>2546</v>
      </c>
      <c r="I287" s="212" t="s">
        <v>164</v>
      </c>
      <c r="J287" s="475">
        <v>28618569</v>
      </c>
      <c r="K287" s="212" t="s">
        <v>138</v>
      </c>
      <c r="L287" s="212" t="s">
        <v>139</v>
      </c>
      <c r="M287" s="212" t="s">
        <v>44</v>
      </c>
      <c r="N287" s="212" t="s">
        <v>45</v>
      </c>
      <c r="O287" s="212" t="s">
        <v>142</v>
      </c>
      <c r="P287" s="212" t="s">
        <v>43</v>
      </c>
      <c r="R287" s="486">
        <v>297</v>
      </c>
      <c r="S287" s="490">
        <v>44251</v>
      </c>
      <c r="T287" s="486" t="s">
        <v>3263</v>
      </c>
      <c r="U287" s="475">
        <v>28618569</v>
      </c>
      <c r="V287" s="406"/>
      <c r="W287" s="362"/>
      <c r="X287" s="483" t="s">
        <v>3264</v>
      </c>
      <c r="Y287" s="484">
        <v>44292</v>
      </c>
      <c r="Z287" s="484">
        <v>44292</v>
      </c>
      <c r="AA287" s="484">
        <v>44506</v>
      </c>
      <c r="AB287" s="485" t="s">
        <v>2548</v>
      </c>
      <c r="AC287" s="483" t="s">
        <v>3265</v>
      </c>
      <c r="AD287" s="485" t="s">
        <v>3266</v>
      </c>
      <c r="AE287" s="486" t="s">
        <v>3267</v>
      </c>
      <c r="AF287" s="473">
        <v>28618569</v>
      </c>
      <c r="AG287" s="474">
        <f t="shared" si="5"/>
        <v>0</v>
      </c>
      <c r="AL287" s="475">
        <v>3406973</v>
      </c>
      <c r="AM287" s="306">
        <v>4088367</v>
      </c>
    </row>
    <row r="288" spans="1:39" hidden="1" x14ac:dyDescent="0.35">
      <c r="A288" s="476" t="s">
        <v>2200</v>
      </c>
      <c r="B288" s="477">
        <v>32697000</v>
      </c>
      <c r="C288" s="212" t="s">
        <v>3212</v>
      </c>
      <c r="D288" s="478">
        <v>283</v>
      </c>
      <c r="E288" s="309">
        <v>20211400009713</v>
      </c>
      <c r="F288" s="310">
        <v>44251</v>
      </c>
      <c r="G288" s="478" t="s">
        <v>2545</v>
      </c>
      <c r="H288" s="212" t="s">
        <v>2546</v>
      </c>
      <c r="I288" s="212" t="s">
        <v>184</v>
      </c>
      <c r="J288" s="475">
        <v>32697000</v>
      </c>
      <c r="K288" s="212" t="s">
        <v>138</v>
      </c>
      <c r="L288" s="212" t="s">
        <v>2550</v>
      </c>
      <c r="M288" s="212" t="s">
        <v>2740</v>
      </c>
      <c r="N288" s="212" t="s">
        <v>157</v>
      </c>
      <c r="O288" s="212" t="s">
        <v>158</v>
      </c>
      <c r="P288" s="212" t="s">
        <v>43</v>
      </c>
      <c r="R288" s="486">
        <v>292</v>
      </c>
      <c r="S288" s="490">
        <v>44251</v>
      </c>
      <c r="T288" s="486" t="s">
        <v>3268</v>
      </c>
      <c r="U288" s="475">
        <f>32697000-22886999</f>
        <v>9810001</v>
      </c>
      <c r="V288" s="406">
        <v>22886999</v>
      </c>
      <c r="W288" s="362" t="s">
        <v>1428</v>
      </c>
      <c r="X288" s="483" t="s">
        <v>3269</v>
      </c>
      <c r="Y288" s="484">
        <v>44294</v>
      </c>
      <c r="Z288" s="484">
        <v>44294</v>
      </c>
      <c r="AA288" s="484">
        <v>44561</v>
      </c>
      <c r="AB288" s="485" t="s">
        <v>2548</v>
      </c>
      <c r="AC288" s="483" t="s">
        <v>3270</v>
      </c>
      <c r="AD288" s="485" t="s">
        <v>3271</v>
      </c>
      <c r="AE288" s="486" t="s">
        <v>3272</v>
      </c>
      <c r="AF288" s="473">
        <v>9810001</v>
      </c>
      <c r="AG288" s="474">
        <f t="shared" si="5"/>
        <v>0</v>
      </c>
      <c r="AM288" s="212"/>
    </row>
    <row r="289" spans="1:39" hidden="1" x14ac:dyDescent="0.35">
      <c r="A289" s="476" t="s">
        <v>1797</v>
      </c>
      <c r="B289" s="477">
        <v>65836059</v>
      </c>
      <c r="C289" s="212" t="s">
        <v>2660</v>
      </c>
      <c r="D289" s="478">
        <v>284</v>
      </c>
      <c r="E289" s="309">
        <v>20212000009863</v>
      </c>
      <c r="F289" s="479">
        <v>44251</v>
      </c>
      <c r="G289" s="478" t="s">
        <v>2538</v>
      </c>
      <c r="H289" s="212" t="s">
        <v>2539</v>
      </c>
      <c r="I289" s="212" t="s">
        <v>391</v>
      </c>
      <c r="J289" s="475">
        <v>60170000</v>
      </c>
      <c r="K289" s="210" t="s">
        <v>2609</v>
      </c>
      <c r="L289" s="212" t="s">
        <v>2610</v>
      </c>
      <c r="M289" s="212" t="s">
        <v>44</v>
      </c>
      <c r="N289" s="212" t="s">
        <v>45</v>
      </c>
      <c r="O289" s="212" t="s">
        <v>63</v>
      </c>
      <c r="P289" s="212" t="s">
        <v>674</v>
      </c>
      <c r="R289" s="486">
        <v>290</v>
      </c>
      <c r="S289" s="490">
        <v>44251</v>
      </c>
      <c r="T289" s="486" t="s">
        <v>3273</v>
      </c>
      <c r="U289" s="475">
        <f>60170000-6017000</f>
        <v>54153000</v>
      </c>
      <c r="V289" s="411">
        <v>6017000</v>
      </c>
      <c r="W289" s="397"/>
      <c r="X289" s="483" t="s">
        <v>3274</v>
      </c>
      <c r="Y289" s="484">
        <v>44271</v>
      </c>
      <c r="Z289" s="484">
        <v>44271</v>
      </c>
      <c r="AA289" s="484">
        <v>44546</v>
      </c>
      <c r="AB289" s="485" t="s">
        <v>2548</v>
      </c>
      <c r="AC289" s="483" t="s">
        <v>3275</v>
      </c>
      <c r="AD289" s="485" t="s">
        <v>3276</v>
      </c>
      <c r="AE289" s="486" t="s">
        <v>3277</v>
      </c>
      <c r="AF289" s="473">
        <v>54153000</v>
      </c>
      <c r="AG289" s="474">
        <f t="shared" si="5"/>
        <v>0</v>
      </c>
      <c r="AK289" s="475">
        <v>3008500</v>
      </c>
      <c r="AL289" s="475">
        <v>6017000</v>
      </c>
      <c r="AM289" s="306">
        <v>6017000</v>
      </c>
    </row>
    <row r="290" spans="1:39" hidden="1" x14ac:dyDescent="0.35">
      <c r="A290" s="476" t="s">
        <v>2066</v>
      </c>
      <c r="B290" s="477">
        <v>44000000</v>
      </c>
      <c r="C290" s="212" t="s">
        <v>2544</v>
      </c>
      <c r="D290" s="478">
        <v>285</v>
      </c>
      <c r="E290" s="309">
        <v>20215000007233</v>
      </c>
      <c r="F290" s="479">
        <v>44243</v>
      </c>
      <c r="G290" s="309" t="s">
        <v>2538</v>
      </c>
      <c r="H290" s="210" t="s">
        <v>2539</v>
      </c>
      <c r="I290" s="210" t="s">
        <v>228</v>
      </c>
      <c r="J290" s="407">
        <v>44000000</v>
      </c>
      <c r="K290" s="212" t="s">
        <v>288</v>
      </c>
      <c r="L290" s="212" t="s">
        <v>2634</v>
      </c>
      <c r="M290" s="212" t="s">
        <v>44</v>
      </c>
      <c r="N290" s="212" t="s">
        <v>45</v>
      </c>
      <c r="O290" s="212" t="s">
        <v>63</v>
      </c>
      <c r="P290" s="212" t="s">
        <v>674</v>
      </c>
      <c r="R290" s="212">
        <v>251</v>
      </c>
      <c r="S290" s="479">
        <v>44243</v>
      </c>
      <c r="T290" s="212" t="s">
        <v>3278</v>
      </c>
      <c r="U290" s="475">
        <f>44000000-6000000</f>
        <v>38000000</v>
      </c>
      <c r="V290" s="444">
        <v>6000000</v>
      </c>
      <c r="W290" s="398"/>
      <c r="X290" s="483" t="s">
        <v>3279</v>
      </c>
      <c r="Y290" s="484">
        <v>44271</v>
      </c>
      <c r="Z290" s="484">
        <v>44271</v>
      </c>
      <c r="AA290" s="484">
        <v>44561</v>
      </c>
      <c r="AB290" s="485" t="s">
        <v>2548</v>
      </c>
      <c r="AC290" s="483" t="s">
        <v>3280</v>
      </c>
      <c r="AD290" s="485" t="s">
        <v>3281</v>
      </c>
      <c r="AE290" s="486" t="s">
        <v>3282</v>
      </c>
      <c r="AF290" s="473">
        <v>38000000</v>
      </c>
      <c r="AG290" s="474">
        <f t="shared" si="5"/>
        <v>0</v>
      </c>
      <c r="AK290" s="475">
        <v>2000000</v>
      </c>
      <c r="AL290" s="475">
        <v>4000000</v>
      </c>
      <c r="AM290" s="306">
        <v>4000000</v>
      </c>
    </row>
    <row r="291" spans="1:39" hidden="1" x14ac:dyDescent="0.35">
      <c r="A291" s="476" t="s">
        <v>2058</v>
      </c>
      <c r="B291" s="477">
        <v>64900000</v>
      </c>
      <c r="C291" s="212" t="s">
        <v>2544</v>
      </c>
      <c r="D291" s="478">
        <v>286</v>
      </c>
      <c r="E291" s="478">
        <v>20215000006443</v>
      </c>
      <c r="F291" s="479">
        <v>44235</v>
      </c>
      <c r="G291" s="478" t="s">
        <v>2538</v>
      </c>
      <c r="H291" s="212" t="s">
        <v>2539</v>
      </c>
      <c r="I291" s="212" t="s">
        <v>228</v>
      </c>
      <c r="J291" s="475">
        <v>64900000</v>
      </c>
      <c r="K291" s="212" t="s">
        <v>223</v>
      </c>
      <c r="L291" s="212" t="s">
        <v>2656</v>
      </c>
      <c r="M291" s="212" t="s">
        <v>44</v>
      </c>
      <c r="N291" s="212" t="s">
        <v>45</v>
      </c>
      <c r="O291" s="212" t="s">
        <v>63</v>
      </c>
      <c r="P291" s="212" t="s">
        <v>674</v>
      </c>
      <c r="R291" s="212">
        <v>217</v>
      </c>
      <c r="S291" s="479">
        <v>44236</v>
      </c>
      <c r="T291" s="212" t="s">
        <v>3283</v>
      </c>
      <c r="U291" s="475">
        <f>64900000-11800000</f>
        <v>53100000</v>
      </c>
      <c r="V291" s="444">
        <v>11800000</v>
      </c>
      <c r="W291" s="398"/>
      <c r="X291" s="483" t="s">
        <v>3284</v>
      </c>
      <c r="Y291" s="484">
        <v>44271</v>
      </c>
      <c r="Z291" s="484">
        <v>44271</v>
      </c>
      <c r="AA291" s="484">
        <v>44546</v>
      </c>
      <c r="AB291" s="485" t="s">
        <v>2548</v>
      </c>
      <c r="AC291" s="483" t="s">
        <v>3285</v>
      </c>
      <c r="AD291" s="485" t="s">
        <v>3286</v>
      </c>
      <c r="AE291" s="486" t="s">
        <v>3287</v>
      </c>
      <c r="AF291" s="473">
        <v>53100000</v>
      </c>
      <c r="AG291" s="474">
        <f t="shared" si="5"/>
        <v>0</v>
      </c>
      <c r="AK291" s="475">
        <v>2950000</v>
      </c>
      <c r="AL291" s="475">
        <v>5900000</v>
      </c>
      <c r="AM291" s="306">
        <v>5900000</v>
      </c>
    </row>
    <row r="292" spans="1:39" hidden="1" x14ac:dyDescent="0.35">
      <c r="A292" s="476" t="s">
        <v>2186</v>
      </c>
      <c r="B292" s="477">
        <v>23621677</v>
      </c>
      <c r="C292" s="212" t="s">
        <v>2544</v>
      </c>
      <c r="D292" s="478">
        <v>287</v>
      </c>
      <c r="E292" s="309">
        <v>20211300011033</v>
      </c>
      <c r="F292" s="479">
        <v>44253</v>
      </c>
      <c r="G292" s="478" t="s">
        <v>2545</v>
      </c>
      <c r="H292" s="212" t="s">
        <v>2546</v>
      </c>
      <c r="I292" s="212" t="s">
        <v>210</v>
      </c>
      <c r="J292" s="475">
        <v>23621677</v>
      </c>
      <c r="K292" s="212" t="s">
        <v>138</v>
      </c>
      <c r="L292" s="212" t="s">
        <v>139</v>
      </c>
      <c r="M292" s="212" t="s">
        <v>44</v>
      </c>
      <c r="N292" s="212" t="s">
        <v>45</v>
      </c>
      <c r="O292" s="212" t="s">
        <v>142</v>
      </c>
      <c r="P292" s="212" t="s">
        <v>43</v>
      </c>
      <c r="R292" s="212">
        <v>313</v>
      </c>
      <c r="S292" s="479">
        <v>44256</v>
      </c>
      <c r="T292" s="212" t="s">
        <v>3288</v>
      </c>
      <c r="U292" s="475">
        <v>23621677</v>
      </c>
      <c r="V292" s="406"/>
      <c r="W292" s="362"/>
      <c r="X292" s="483" t="s">
        <v>3289</v>
      </c>
      <c r="Y292" s="484">
        <v>44272</v>
      </c>
      <c r="Z292" s="484">
        <v>44272</v>
      </c>
      <c r="AA292" s="484">
        <v>44394</v>
      </c>
      <c r="AB292" s="485" t="s">
        <v>2548</v>
      </c>
      <c r="AC292" s="483" t="s">
        <v>3290</v>
      </c>
      <c r="AD292" s="485" t="s">
        <v>3291</v>
      </c>
      <c r="AE292" s="486" t="s">
        <v>3292</v>
      </c>
      <c r="AF292" s="473">
        <v>23621676</v>
      </c>
      <c r="AG292" s="474">
        <f t="shared" si="5"/>
        <v>1</v>
      </c>
      <c r="AK292" s="475">
        <v>2559015</v>
      </c>
      <c r="AL292" s="475">
        <v>5905419</v>
      </c>
      <c r="AM292" s="306">
        <v>5905419</v>
      </c>
    </row>
    <row r="293" spans="1:39" s="312" customFormat="1" hidden="1" x14ac:dyDescent="0.35">
      <c r="A293" s="361" t="s">
        <v>3293</v>
      </c>
      <c r="B293" s="417">
        <v>56000000</v>
      </c>
      <c r="C293" s="312" t="s">
        <v>2660</v>
      </c>
      <c r="D293" s="325">
        <v>288</v>
      </c>
      <c r="E293" s="325">
        <v>20213000009343</v>
      </c>
      <c r="F293" s="315">
        <v>44252</v>
      </c>
      <c r="G293" s="325" t="s">
        <v>2538</v>
      </c>
      <c r="H293" s="312" t="s">
        <v>2539</v>
      </c>
      <c r="I293" s="312" t="s">
        <v>432</v>
      </c>
      <c r="J293" s="405">
        <v>56000000</v>
      </c>
      <c r="K293" s="312" t="s">
        <v>342</v>
      </c>
      <c r="L293" s="312" t="s">
        <v>351</v>
      </c>
      <c r="M293" s="312" t="s">
        <v>44</v>
      </c>
      <c r="N293" s="312" t="s">
        <v>45</v>
      </c>
      <c r="O293" s="312" t="s">
        <v>63</v>
      </c>
      <c r="P293" s="312" t="s">
        <v>674</v>
      </c>
      <c r="R293" s="360">
        <v>302</v>
      </c>
      <c r="S293" s="363">
        <v>44252</v>
      </c>
      <c r="T293" s="360" t="s">
        <v>3294</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5" hidden="1" x14ac:dyDescent="0.35">
      <c r="A294" s="476" t="s">
        <v>3295</v>
      </c>
      <c r="B294" s="477">
        <v>1108626200</v>
      </c>
      <c r="C294" s="212" t="s">
        <v>3296</v>
      </c>
      <c r="D294" s="478">
        <v>289</v>
      </c>
      <c r="E294" s="309">
        <v>20215000010563</v>
      </c>
      <c r="F294" s="479">
        <v>44252</v>
      </c>
      <c r="G294" s="309" t="s">
        <v>2538</v>
      </c>
      <c r="H294" s="210" t="s">
        <v>2539</v>
      </c>
      <c r="I294" s="210" t="s">
        <v>228</v>
      </c>
      <c r="J294" s="475">
        <v>1108626200</v>
      </c>
      <c r="K294" s="212" t="s">
        <v>223</v>
      </c>
      <c r="L294" s="212" t="s">
        <v>224</v>
      </c>
      <c r="M294" s="210" t="s">
        <v>44</v>
      </c>
      <c r="N294" s="210" t="s">
        <v>2834</v>
      </c>
      <c r="O294" s="210" t="s">
        <v>132</v>
      </c>
      <c r="P294" s="515" t="s">
        <v>770</v>
      </c>
      <c r="Q294" s="210"/>
      <c r="R294" s="486">
        <v>305</v>
      </c>
      <c r="S294" s="490">
        <v>44252</v>
      </c>
      <c r="T294" s="486" t="s">
        <v>3297</v>
      </c>
      <c r="U294" s="475">
        <v>1108626200</v>
      </c>
      <c r="V294" s="406"/>
      <c r="W294" s="362"/>
      <c r="AG294" s="474">
        <f t="shared" si="5"/>
        <v>1108626200</v>
      </c>
      <c r="AM294" s="212"/>
    </row>
    <row r="295" spans="1:39" ht="15.5" hidden="1" x14ac:dyDescent="0.35">
      <c r="A295" s="476" t="s">
        <v>3298</v>
      </c>
      <c r="B295" s="477">
        <v>1044125440</v>
      </c>
      <c r="C295" s="212" t="s">
        <v>3299</v>
      </c>
      <c r="D295" s="478">
        <v>290</v>
      </c>
      <c r="E295" s="309">
        <v>20215000010603</v>
      </c>
      <c r="F295" s="479">
        <v>44252</v>
      </c>
      <c r="G295" s="309" t="s">
        <v>2538</v>
      </c>
      <c r="H295" s="210" t="s">
        <v>2539</v>
      </c>
      <c r="I295" s="210" t="s">
        <v>228</v>
      </c>
      <c r="J295" s="475">
        <v>1044125440</v>
      </c>
      <c r="K295" s="212" t="s">
        <v>223</v>
      </c>
      <c r="L295" s="212" t="s">
        <v>224</v>
      </c>
      <c r="M295" s="210" t="s">
        <v>44</v>
      </c>
      <c r="N295" s="210" t="s">
        <v>2834</v>
      </c>
      <c r="O295" s="210" t="s">
        <v>132</v>
      </c>
      <c r="P295" s="515" t="s">
        <v>770</v>
      </c>
      <c r="R295" s="486">
        <v>306</v>
      </c>
      <c r="S295" s="490">
        <v>44252</v>
      </c>
      <c r="T295" s="486" t="s">
        <v>3300</v>
      </c>
      <c r="U295" s="475">
        <v>1044125440</v>
      </c>
      <c r="V295" s="406"/>
      <c r="W295" s="362"/>
      <c r="AG295" s="474">
        <f t="shared" si="5"/>
        <v>1044125440</v>
      </c>
      <c r="AM295" s="212"/>
    </row>
    <row r="296" spans="1:39" ht="15.5" hidden="1" x14ac:dyDescent="0.35">
      <c r="A296" s="476" t="s">
        <v>3301</v>
      </c>
      <c r="B296" s="477">
        <v>810426760</v>
      </c>
      <c r="C296" s="212" t="s">
        <v>3302</v>
      </c>
      <c r="D296" s="478">
        <v>291</v>
      </c>
      <c r="E296" s="309">
        <v>20215000010613</v>
      </c>
      <c r="F296" s="479">
        <v>44252</v>
      </c>
      <c r="G296" s="309" t="s">
        <v>2538</v>
      </c>
      <c r="H296" s="210" t="s">
        <v>2539</v>
      </c>
      <c r="I296" s="210" t="s">
        <v>228</v>
      </c>
      <c r="J296" s="475">
        <v>810426760</v>
      </c>
      <c r="K296" s="212" t="s">
        <v>223</v>
      </c>
      <c r="L296" s="212" t="s">
        <v>224</v>
      </c>
      <c r="M296" s="210" t="s">
        <v>44</v>
      </c>
      <c r="N296" s="210" t="s">
        <v>2834</v>
      </c>
      <c r="O296" s="210" t="s">
        <v>132</v>
      </c>
      <c r="P296" s="515" t="s">
        <v>770</v>
      </c>
      <c r="R296" s="212">
        <v>307</v>
      </c>
      <c r="S296" s="479">
        <v>44256</v>
      </c>
      <c r="T296" s="212" t="s">
        <v>3303</v>
      </c>
      <c r="U296" s="475">
        <v>810426760</v>
      </c>
      <c r="V296" s="406"/>
      <c r="W296" s="362"/>
      <c r="AG296" s="474">
        <f t="shared" si="5"/>
        <v>810426760</v>
      </c>
      <c r="AM296" s="212"/>
    </row>
    <row r="297" spans="1:39" ht="15.5" hidden="1" x14ac:dyDescent="0.35">
      <c r="A297" s="476" t="s">
        <v>3304</v>
      </c>
      <c r="B297" s="477">
        <v>1091052420</v>
      </c>
      <c r="C297" s="212" t="s">
        <v>3305</v>
      </c>
      <c r="D297" s="478">
        <v>292</v>
      </c>
      <c r="E297" s="309">
        <v>20215000010623</v>
      </c>
      <c r="F297" s="479">
        <v>44252</v>
      </c>
      <c r="G297" s="309" t="s">
        <v>2538</v>
      </c>
      <c r="H297" s="210" t="s">
        <v>2539</v>
      </c>
      <c r="I297" s="210" t="s">
        <v>228</v>
      </c>
      <c r="J297" s="475">
        <v>1091052420</v>
      </c>
      <c r="K297" s="212" t="s">
        <v>223</v>
      </c>
      <c r="L297" s="212" t="s">
        <v>224</v>
      </c>
      <c r="M297" s="210" t="s">
        <v>44</v>
      </c>
      <c r="N297" s="210" t="s">
        <v>2834</v>
      </c>
      <c r="O297" s="210" t="s">
        <v>132</v>
      </c>
      <c r="P297" s="515" t="s">
        <v>770</v>
      </c>
      <c r="R297" s="212">
        <v>308</v>
      </c>
      <c r="S297" s="490">
        <v>44256</v>
      </c>
      <c r="T297" s="212" t="s">
        <v>3306</v>
      </c>
      <c r="U297" s="475">
        <v>1091052420</v>
      </c>
      <c r="V297" s="406"/>
      <c r="W297" s="362"/>
      <c r="AG297" s="474">
        <f t="shared" si="5"/>
        <v>1091052420</v>
      </c>
      <c r="AM297" s="212"/>
    </row>
    <row r="298" spans="1:39" s="312" customFormat="1" hidden="1" x14ac:dyDescent="0.35">
      <c r="A298" s="361" t="s">
        <v>3307</v>
      </c>
      <c r="B298" s="417">
        <v>34967856</v>
      </c>
      <c r="C298" s="312" t="s">
        <v>2660</v>
      </c>
      <c r="D298" s="325">
        <v>293</v>
      </c>
      <c r="E298" s="325">
        <v>20217000010983</v>
      </c>
      <c r="F298" s="315">
        <v>44253</v>
      </c>
      <c r="G298" s="325" t="s">
        <v>2545</v>
      </c>
      <c r="H298" s="312" t="s">
        <v>2546</v>
      </c>
      <c r="I298" s="312" t="s">
        <v>164</v>
      </c>
      <c r="J298" s="405">
        <v>13000000</v>
      </c>
      <c r="K298" s="312" t="s">
        <v>138</v>
      </c>
      <c r="L298" s="312" t="s">
        <v>139</v>
      </c>
      <c r="M298" s="312" t="s">
        <v>44</v>
      </c>
      <c r="N298" s="312" t="s">
        <v>45</v>
      </c>
      <c r="O298" s="312" t="s">
        <v>142</v>
      </c>
      <c r="P298" s="312" t="s">
        <v>43</v>
      </c>
      <c r="R298" s="312">
        <v>312</v>
      </c>
      <c r="S298" s="363">
        <v>44256</v>
      </c>
      <c r="T298" s="312" t="s">
        <v>3308</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x14ac:dyDescent="0.35">
      <c r="A299" s="476" t="s">
        <v>1900</v>
      </c>
      <c r="B299" s="477">
        <v>19987572</v>
      </c>
      <c r="C299" s="212" t="s">
        <v>2544</v>
      </c>
      <c r="D299" s="478">
        <v>294</v>
      </c>
      <c r="E299" s="309">
        <v>20217000010973</v>
      </c>
      <c r="F299" s="479">
        <v>44253</v>
      </c>
      <c r="G299" s="478" t="s">
        <v>2545</v>
      </c>
      <c r="H299" s="212" t="s">
        <v>2546</v>
      </c>
      <c r="I299" s="212" t="s">
        <v>164</v>
      </c>
      <c r="J299" s="475">
        <v>7300000</v>
      </c>
      <c r="K299" s="212" t="s">
        <v>138</v>
      </c>
      <c r="L299" s="212" t="s">
        <v>139</v>
      </c>
      <c r="M299" s="212" t="s">
        <v>44</v>
      </c>
      <c r="N299" s="212" t="s">
        <v>45</v>
      </c>
      <c r="O299" s="212" t="s">
        <v>142</v>
      </c>
      <c r="P299" s="212" t="s">
        <v>43</v>
      </c>
      <c r="R299" s="212">
        <v>311</v>
      </c>
      <c r="S299" s="490">
        <v>44256</v>
      </c>
      <c r="T299" s="212" t="s">
        <v>3309</v>
      </c>
      <c r="U299" s="475">
        <v>7300000</v>
      </c>
      <c r="V299" s="406"/>
      <c r="W299" s="362"/>
      <c r="X299" s="483" t="s">
        <v>3310</v>
      </c>
      <c r="Y299" s="484">
        <v>44285</v>
      </c>
      <c r="Z299" s="484">
        <v>44285</v>
      </c>
      <c r="AA299" s="484">
        <v>44407</v>
      </c>
      <c r="AB299" s="485" t="s">
        <v>2548</v>
      </c>
      <c r="AC299" s="483" t="s">
        <v>3311</v>
      </c>
      <c r="AD299" s="485" t="s">
        <v>3312</v>
      </c>
      <c r="AE299" s="486" t="s">
        <v>2703</v>
      </c>
      <c r="AF299" s="473">
        <v>7268208</v>
      </c>
      <c r="AG299" s="474">
        <f t="shared" si="5"/>
        <v>31792</v>
      </c>
      <c r="AL299" s="475">
        <v>1877620</v>
      </c>
      <c r="AM299" s="306">
        <v>1817052</v>
      </c>
    </row>
    <row r="300" spans="1:39" hidden="1" x14ac:dyDescent="0.35">
      <c r="A300" s="476" t="s">
        <v>1907</v>
      </c>
      <c r="B300" s="477">
        <v>34978251</v>
      </c>
      <c r="C300" s="212" t="s">
        <v>2544</v>
      </c>
      <c r="D300" s="478">
        <v>295</v>
      </c>
      <c r="E300" s="309">
        <v>20217000010963</v>
      </c>
      <c r="F300" s="479">
        <v>44253</v>
      </c>
      <c r="G300" s="478" t="s">
        <v>2545</v>
      </c>
      <c r="H300" s="212" t="s">
        <v>2546</v>
      </c>
      <c r="I300" s="212" t="s">
        <v>164</v>
      </c>
      <c r="J300" s="475">
        <v>16000000</v>
      </c>
      <c r="K300" s="212" t="s">
        <v>138</v>
      </c>
      <c r="L300" s="212" t="s">
        <v>139</v>
      </c>
      <c r="M300" s="212" t="s">
        <v>44</v>
      </c>
      <c r="N300" s="212" t="s">
        <v>45</v>
      </c>
      <c r="O300" s="212" t="s">
        <v>142</v>
      </c>
      <c r="P300" s="212" t="s">
        <v>43</v>
      </c>
      <c r="R300" s="212">
        <v>314</v>
      </c>
      <c r="S300" s="479">
        <v>44256</v>
      </c>
      <c r="T300" s="212" t="s">
        <v>3313</v>
      </c>
      <c r="U300" s="475">
        <v>16000000</v>
      </c>
      <c r="V300" s="406"/>
      <c r="W300" s="362"/>
      <c r="X300" s="483" t="s">
        <v>3314</v>
      </c>
      <c r="Y300" s="484">
        <v>44295</v>
      </c>
      <c r="Z300" s="484">
        <v>44295</v>
      </c>
      <c r="AA300" s="484">
        <v>44448</v>
      </c>
      <c r="AB300" s="485" t="s">
        <v>2548</v>
      </c>
      <c r="AC300" s="483" t="s">
        <v>3315</v>
      </c>
      <c r="AD300" s="485" t="s">
        <v>3316</v>
      </c>
      <c r="AE300" s="486" t="s">
        <v>2738</v>
      </c>
      <c r="AF300" s="473">
        <v>15899205</v>
      </c>
      <c r="AG300" s="474">
        <f t="shared" si="5"/>
        <v>100795</v>
      </c>
      <c r="AL300" s="475">
        <v>2225888</v>
      </c>
      <c r="AM300" s="306">
        <v>3179841</v>
      </c>
    </row>
    <row r="301" spans="1:39" hidden="1" x14ac:dyDescent="0.35">
      <c r="A301" s="476" t="s">
        <v>1817</v>
      </c>
      <c r="B301" s="477">
        <v>54511560</v>
      </c>
      <c r="C301" s="212" t="s">
        <v>2544</v>
      </c>
      <c r="D301" s="478">
        <v>296</v>
      </c>
      <c r="E301" s="309">
        <v>20217000010543</v>
      </c>
      <c r="F301" s="479">
        <v>44252</v>
      </c>
      <c r="G301" s="478" t="s">
        <v>2545</v>
      </c>
      <c r="H301" s="212" t="s">
        <v>2546</v>
      </c>
      <c r="I301" s="212" t="s">
        <v>164</v>
      </c>
      <c r="J301" s="475">
        <v>27255780</v>
      </c>
      <c r="K301" s="212" t="s">
        <v>138</v>
      </c>
      <c r="L301" s="212" t="s">
        <v>139</v>
      </c>
      <c r="M301" s="212" t="s">
        <v>44</v>
      </c>
      <c r="N301" s="212" t="s">
        <v>45</v>
      </c>
      <c r="O301" s="212" t="s">
        <v>142</v>
      </c>
      <c r="P301" s="212" t="s">
        <v>43</v>
      </c>
      <c r="R301" s="486">
        <v>304</v>
      </c>
      <c r="S301" s="490">
        <v>44252</v>
      </c>
      <c r="T301" s="486" t="s">
        <v>3317</v>
      </c>
      <c r="U301" s="475">
        <v>27255780</v>
      </c>
      <c r="V301" s="406"/>
      <c r="W301" s="362"/>
      <c r="X301" s="483" t="s">
        <v>3318</v>
      </c>
      <c r="Y301" s="484">
        <v>44272</v>
      </c>
      <c r="Z301" s="484">
        <v>44272</v>
      </c>
      <c r="AA301" s="484">
        <v>44394</v>
      </c>
      <c r="AB301" s="485" t="s">
        <v>2548</v>
      </c>
      <c r="AC301" s="483" t="s">
        <v>3319</v>
      </c>
      <c r="AD301" s="485" t="s">
        <v>3320</v>
      </c>
      <c r="AE301" s="486" t="s">
        <v>3321</v>
      </c>
      <c r="AF301" s="473">
        <v>27255780</v>
      </c>
      <c r="AG301" s="474">
        <f t="shared" si="5"/>
        <v>0</v>
      </c>
      <c r="AL301" s="475">
        <v>9539523</v>
      </c>
      <c r="AM301" s="306">
        <v>6813945</v>
      </c>
    </row>
    <row r="302" spans="1:39" hidden="1" x14ac:dyDescent="0.35">
      <c r="A302" s="476" t="s">
        <v>2483</v>
      </c>
      <c r="B302" s="477">
        <v>52000000</v>
      </c>
      <c r="C302" s="212" t="s">
        <v>2544</v>
      </c>
      <c r="D302" s="478">
        <v>297</v>
      </c>
      <c r="E302" s="309">
        <v>20213000010803</v>
      </c>
      <c r="F302" s="479">
        <v>44253</v>
      </c>
      <c r="G302" s="478" t="s">
        <v>2538</v>
      </c>
      <c r="H302" s="212" t="s">
        <v>2539</v>
      </c>
      <c r="I302" s="212" t="s">
        <v>432</v>
      </c>
      <c r="J302" s="475">
        <v>52000000</v>
      </c>
      <c r="K302" s="212" t="s">
        <v>342</v>
      </c>
      <c r="L302" s="212" t="s">
        <v>351</v>
      </c>
      <c r="M302" s="212" t="s">
        <v>44</v>
      </c>
      <c r="N302" s="212" t="s">
        <v>45</v>
      </c>
      <c r="O302" s="212" t="s">
        <v>63</v>
      </c>
      <c r="P302" s="212" t="s">
        <v>674</v>
      </c>
      <c r="R302" s="212">
        <v>310</v>
      </c>
      <c r="S302" s="479">
        <v>44256</v>
      </c>
      <c r="T302" s="212" t="s">
        <v>3322</v>
      </c>
      <c r="U302" s="475">
        <v>52000000</v>
      </c>
      <c r="V302" s="406"/>
      <c r="W302" s="362"/>
      <c r="X302" s="483" t="s">
        <v>3323</v>
      </c>
      <c r="Y302" s="484">
        <v>44292</v>
      </c>
      <c r="Z302" s="484">
        <v>44292</v>
      </c>
      <c r="AA302" s="484">
        <v>44535</v>
      </c>
      <c r="AB302" s="485" t="s">
        <v>2548</v>
      </c>
      <c r="AC302" s="483" t="s">
        <v>3324</v>
      </c>
      <c r="AD302" s="485" t="s">
        <v>3325</v>
      </c>
      <c r="AE302" s="486" t="s">
        <v>3326</v>
      </c>
      <c r="AF302" s="473">
        <v>52000000</v>
      </c>
      <c r="AG302" s="474">
        <f t="shared" si="5"/>
        <v>0</v>
      </c>
      <c r="AM302" s="306">
        <f>6500000+5200000</f>
        <v>11700000</v>
      </c>
    </row>
    <row r="303" spans="1:39" hidden="1" x14ac:dyDescent="0.35">
      <c r="A303" s="476" t="s">
        <v>1799</v>
      </c>
      <c r="B303" s="477">
        <v>48144000</v>
      </c>
      <c r="C303" s="212" t="s">
        <v>2544</v>
      </c>
      <c r="D303" s="478">
        <v>298</v>
      </c>
      <c r="E303" s="309">
        <v>20212000011403</v>
      </c>
      <c r="F303" s="479">
        <v>44258</v>
      </c>
      <c r="G303" s="478" t="s">
        <v>2538</v>
      </c>
      <c r="H303" s="212" t="s">
        <v>2539</v>
      </c>
      <c r="I303" s="212" t="s">
        <v>391</v>
      </c>
      <c r="J303" s="475">
        <v>38950000</v>
      </c>
      <c r="K303" s="210" t="s">
        <v>2609</v>
      </c>
      <c r="L303" s="212" t="s">
        <v>2610</v>
      </c>
      <c r="M303" s="212" t="s">
        <v>44</v>
      </c>
      <c r="N303" s="212" t="s">
        <v>45</v>
      </c>
      <c r="O303" s="212" t="s">
        <v>63</v>
      </c>
      <c r="P303" s="212" t="s">
        <v>674</v>
      </c>
      <c r="R303" s="212">
        <v>327</v>
      </c>
      <c r="S303" s="490">
        <v>44258</v>
      </c>
      <c r="T303" s="486" t="s">
        <v>3327</v>
      </c>
      <c r="U303" s="475">
        <f>38950000-2050000</f>
        <v>36900000</v>
      </c>
      <c r="V303" s="411">
        <v>2050000</v>
      </c>
      <c r="W303" s="397"/>
      <c r="X303" s="483" t="s">
        <v>3258</v>
      </c>
      <c r="Y303" s="484">
        <v>44273</v>
      </c>
      <c r="Z303" s="484">
        <v>44273</v>
      </c>
      <c r="AA303" s="484">
        <v>44548</v>
      </c>
      <c r="AB303" s="485" t="s">
        <v>2548</v>
      </c>
      <c r="AC303" s="483" t="s">
        <v>3328</v>
      </c>
      <c r="AD303" s="485" t="s">
        <v>3329</v>
      </c>
      <c r="AE303" s="486" t="s">
        <v>3330</v>
      </c>
      <c r="AF303" s="473">
        <v>36900000</v>
      </c>
      <c r="AK303" s="475">
        <v>1776666</v>
      </c>
      <c r="AL303" s="475">
        <v>4100000</v>
      </c>
      <c r="AM303" s="306">
        <v>4100000</v>
      </c>
    </row>
    <row r="304" spans="1:39" hidden="1" x14ac:dyDescent="0.35">
      <c r="A304" s="476" t="s">
        <v>1964</v>
      </c>
      <c r="B304" s="477">
        <v>24530202</v>
      </c>
      <c r="C304" s="212" t="s">
        <v>2544</v>
      </c>
      <c r="D304" s="478">
        <v>299</v>
      </c>
      <c r="E304" s="309">
        <v>20217000011333</v>
      </c>
      <c r="F304" s="479">
        <v>44256</v>
      </c>
      <c r="G304" s="478" t="s">
        <v>2545</v>
      </c>
      <c r="H304" s="212" t="s">
        <v>2546</v>
      </c>
      <c r="I304" s="212" t="s">
        <v>164</v>
      </c>
      <c r="J304" s="475">
        <v>16353468</v>
      </c>
      <c r="K304" s="212" t="s">
        <v>138</v>
      </c>
      <c r="L304" s="212" t="s">
        <v>139</v>
      </c>
      <c r="M304" s="212" t="s">
        <v>44</v>
      </c>
      <c r="N304" s="212" t="s">
        <v>45</v>
      </c>
      <c r="O304" s="212" t="s">
        <v>142</v>
      </c>
      <c r="P304" s="212" t="s">
        <v>43</v>
      </c>
      <c r="R304" s="212">
        <v>318</v>
      </c>
      <c r="S304" s="479">
        <v>44256</v>
      </c>
      <c r="T304" s="212" t="s">
        <v>3331</v>
      </c>
      <c r="U304" s="475">
        <v>16353468</v>
      </c>
      <c r="V304" s="406"/>
      <c r="W304" s="362"/>
      <c r="X304" s="483" t="s">
        <v>3332</v>
      </c>
      <c r="Y304" s="484">
        <v>44292</v>
      </c>
      <c r="Z304" s="484">
        <v>44292</v>
      </c>
      <c r="AA304" s="484">
        <v>44475</v>
      </c>
      <c r="AB304" s="485" t="s">
        <v>2548</v>
      </c>
      <c r="AC304" s="483" t="s">
        <v>3333</v>
      </c>
      <c r="AD304" s="485" t="s">
        <v>3334</v>
      </c>
      <c r="AE304" s="486" t="s">
        <v>3335</v>
      </c>
      <c r="AF304" s="473">
        <v>16353468</v>
      </c>
      <c r="AL304" s="475">
        <v>2180462</v>
      </c>
      <c r="AM304" s="306">
        <v>2725578</v>
      </c>
    </row>
    <row r="305" spans="1:50" ht="15" hidden="1" customHeight="1" x14ac:dyDescent="0.35">
      <c r="A305" s="476" t="s">
        <v>2062</v>
      </c>
      <c r="B305" s="477">
        <v>64900000</v>
      </c>
      <c r="C305" s="212" t="s">
        <v>2544</v>
      </c>
      <c r="D305" s="478">
        <v>300</v>
      </c>
      <c r="E305" s="309">
        <v>20215000007193</v>
      </c>
      <c r="F305" s="479">
        <v>44243</v>
      </c>
      <c r="G305" s="309" t="s">
        <v>2538</v>
      </c>
      <c r="H305" s="210" t="s">
        <v>2539</v>
      </c>
      <c r="I305" s="210" t="s">
        <v>228</v>
      </c>
      <c r="J305" s="407">
        <v>64900000</v>
      </c>
      <c r="K305" s="212" t="s">
        <v>288</v>
      </c>
      <c r="L305" s="212" t="s">
        <v>2634</v>
      </c>
      <c r="M305" s="212" t="s">
        <v>44</v>
      </c>
      <c r="N305" s="212" t="s">
        <v>45</v>
      </c>
      <c r="O305" s="212" t="s">
        <v>63</v>
      </c>
      <c r="P305" s="212" t="s">
        <v>674</v>
      </c>
      <c r="R305" s="212">
        <v>248</v>
      </c>
      <c r="S305" s="479">
        <v>44243</v>
      </c>
      <c r="T305" s="212" t="s">
        <v>3336</v>
      </c>
      <c r="U305" s="475">
        <f>64900000-11800000</f>
        <v>53100000</v>
      </c>
      <c r="V305" s="444">
        <v>11800000</v>
      </c>
      <c r="W305" s="398"/>
      <c r="X305" s="483" t="s">
        <v>3253</v>
      </c>
      <c r="Y305" s="484">
        <v>44273</v>
      </c>
      <c r="Z305" s="484">
        <v>44273</v>
      </c>
      <c r="AA305" s="484">
        <v>44548</v>
      </c>
      <c r="AB305" s="485" t="s">
        <v>2548</v>
      </c>
      <c r="AC305" s="483" t="s">
        <v>3337</v>
      </c>
      <c r="AD305" s="485" t="s">
        <v>3338</v>
      </c>
      <c r="AE305" s="486" t="s">
        <v>3339</v>
      </c>
      <c r="AF305" s="473">
        <v>53100000</v>
      </c>
      <c r="AG305" s="474">
        <f>+U305-AF305</f>
        <v>0</v>
      </c>
      <c r="AK305" s="475">
        <v>2163333</v>
      </c>
      <c r="AL305" s="475">
        <v>5900000</v>
      </c>
      <c r="AM305" s="306">
        <v>5900000</v>
      </c>
    </row>
    <row r="306" spans="1:50" s="299" customFormat="1" ht="15" hidden="1" customHeight="1" x14ac:dyDescent="0.35">
      <c r="A306" s="476" t="s">
        <v>2306</v>
      </c>
      <c r="B306" s="477">
        <v>29981358</v>
      </c>
      <c r="C306" s="212" t="s">
        <v>2544</v>
      </c>
      <c r="D306" s="521">
        <v>301</v>
      </c>
      <c r="E306" s="326">
        <v>20217000011363</v>
      </c>
      <c r="F306" s="522">
        <v>44256</v>
      </c>
      <c r="G306" s="521" t="s">
        <v>2545</v>
      </c>
      <c r="H306" s="299" t="s">
        <v>2546</v>
      </c>
      <c r="I306" s="299" t="s">
        <v>164</v>
      </c>
      <c r="J306" s="481">
        <v>10902312</v>
      </c>
      <c r="K306" s="299" t="s">
        <v>138</v>
      </c>
      <c r="L306" s="299" t="s">
        <v>139</v>
      </c>
      <c r="M306" s="299" t="s">
        <v>44</v>
      </c>
      <c r="N306" s="299" t="s">
        <v>45</v>
      </c>
      <c r="O306" s="299" t="s">
        <v>142</v>
      </c>
      <c r="P306" s="299" t="s">
        <v>43</v>
      </c>
      <c r="R306" s="299">
        <v>320</v>
      </c>
      <c r="S306" s="523">
        <v>44256</v>
      </c>
      <c r="T306" s="500" t="s">
        <v>3340</v>
      </c>
      <c r="U306" s="475">
        <v>10902312</v>
      </c>
      <c r="V306" s="406"/>
      <c r="W306" s="400"/>
      <c r="X306" s="524">
        <v>267</v>
      </c>
      <c r="Y306" s="525">
        <v>44278</v>
      </c>
      <c r="Z306" s="497">
        <v>44270</v>
      </c>
      <c r="AA306" s="497">
        <v>44270</v>
      </c>
      <c r="AB306" s="498" t="s">
        <v>2548</v>
      </c>
      <c r="AC306" s="327">
        <v>192</v>
      </c>
      <c r="AD306" s="498" t="s">
        <v>3341</v>
      </c>
      <c r="AE306" s="500" t="s">
        <v>2719</v>
      </c>
      <c r="AF306" s="473">
        <v>10902312</v>
      </c>
      <c r="AH306" s="481"/>
      <c r="AI306" s="481"/>
      <c r="AJ306" s="475"/>
      <c r="AK306" s="475"/>
      <c r="AL306" s="475">
        <v>4088367</v>
      </c>
      <c r="AM306" s="306">
        <v>2725578</v>
      </c>
    </row>
    <row r="307" spans="1:50" ht="15" hidden="1" customHeight="1" x14ac:dyDescent="0.35">
      <c r="A307" s="476" t="s">
        <v>1967</v>
      </c>
      <c r="B307" s="477">
        <v>36795303</v>
      </c>
      <c r="C307" s="212" t="s">
        <v>2544</v>
      </c>
      <c r="D307" s="478">
        <v>302</v>
      </c>
      <c r="E307" s="309">
        <v>20217000011153</v>
      </c>
      <c r="F307" s="479">
        <v>44256</v>
      </c>
      <c r="G307" s="478" t="s">
        <v>2545</v>
      </c>
      <c r="H307" s="212" t="s">
        <v>2546</v>
      </c>
      <c r="I307" s="212" t="s">
        <v>164</v>
      </c>
      <c r="J307" s="475">
        <v>24600000</v>
      </c>
      <c r="K307" s="212" t="s">
        <v>138</v>
      </c>
      <c r="L307" s="212" t="s">
        <v>139</v>
      </c>
      <c r="M307" s="212" t="s">
        <v>44</v>
      </c>
      <c r="N307" s="212" t="s">
        <v>45</v>
      </c>
      <c r="O307" s="212" t="s">
        <v>142</v>
      </c>
      <c r="P307" s="212" t="s">
        <v>43</v>
      </c>
      <c r="R307" s="212">
        <v>316</v>
      </c>
      <c r="S307" s="490">
        <v>44256</v>
      </c>
      <c r="T307" s="486" t="s">
        <v>3342</v>
      </c>
      <c r="U307" s="475">
        <v>24600000</v>
      </c>
      <c r="V307" s="406"/>
      <c r="W307" s="362"/>
      <c r="X307" s="483" t="s">
        <v>3343</v>
      </c>
      <c r="Y307" s="484">
        <v>44292</v>
      </c>
      <c r="Z307" s="484">
        <v>44292</v>
      </c>
      <c r="AA307" s="484">
        <v>44474</v>
      </c>
      <c r="AB307" s="485" t="s">
        <v>2548</v>
      </c>
      <c r="AC307" s="483" t="s">
        <v>3289</v>
      </c>
      <c r="AD307" s="485" t="s">
        <v>3344</v>
      </c>
      <c r="AE307" s="486" t="s">
        <v>3345</v>
      </c>
      <c r="AF307" s="473">
        <v>24530202</v>
      </c>
      <c r="AL307" s="475">
        <v>3270694</v>
      </c>
      <c r="AM307" s="306">
        <v>4088367</v>
      </c>
    </row>
    <row r="308" spans="1:50" s="299" customFormat="1" ht="15" hidden="1" customHeight="1" x14ac:dyDescent="0.35">
      <c r="A308" s="476" t="s">
        <v>1912</v>
      </c>
      <c r="B308" s="477">
        <v>53148771</v>
      </c>
      <c r="C308" s="212" t="s">
        <v>2544</v>
      </c>
      <c r="D308" s="521">
        <v>303</v>
      </c>
      <c r="E308" s="326">
        <v>20217000011363</v>
      </c>
      <c r="F308" s="522">
        <v>44256</v>
      </c>
      <c r="G308" s="521" t="s">
        <v>2545</v>
      </c>
      <c r="H308" s="299" t="s">
        <v>2546</v>
      </c>
      <c r="I308" s="299" t="s">
        <v>164</v>
      </c>
      <c r="J308" s="481">
        <v>41400000</v>
      </c>
      <c r="K308" s="299" t="s">
        <v>138</v>
      </c>
      <c r="L308" s="299" t="s">
        <v>139</v>
      </c>
      <c r="M308" s="299" t="s">
        <v>44</v>
      </c>
      <c r="N308" s="299" t="s">
        <v>45</v>
      </c>
      <c r="O308" s="299" t="s">
        <v>142</v>
      </c>
      <c r="P308" s="299" t="s">
        <v>43</v>
      </c>
      <c r="R308" s="299">
        <v>315</v>
      </c>
      <c r="S308" s="523">
        <v>44256</v>
      </c>
      <c r="T308" s="500" t="s">
        <v>3346</v>
      </c>
      <c r="U308" s="475">
        <v>41400000</v>
      </c>
      <c r="V308" s="406"/>
      <c r="W308" s="400"/>
      <c r="X308" s="211" t="s">
        <v>3347</v>
      </c>
      <c r="Y308" s="472">
        <v>44300</v>
      </c>
      <c r="Z308" s="472">
        <v>44300</v>
      </c>
      <c r="AA308" s="472">
        <v>44514</v>
      </c>
      <c r="AB308" s="2" t="s">
        <v>2548</v>
      </c>
      <c r="AC308" s="211" t="s">
        <v>3348</v>
      </c>
      <c r="AD308" s="2" t="s">
        <v>3349</v>
      </c>
      <c r="AE308" s="212" t="s">
        <v>3350</v>
      </c>
      <c r="AF308" s="473">
        <v>41337933</v>
      </c>
      <c r="AH308" s="481"/>
      <c r="AI308" s="481"/>
      <c r="AJ308" s="475"/>
      <c r="AK308" s="475"/>
      <c r="AL308" s="475">
        <v>3149557</v>
      </c>
      <c r="AM308" s="306">
        <v>5905419</v>
      </c>
    </row>
    <row r="309" spans="1:50" ht="15" hidden="1" customHeight="1" x14ac:dyDescent="0.35">
      <c r="A309" s="476" t="s">
        <v>1679</v>
      </c>
      <c r="B309" s="477">
        <v>63000000</v>
      </c>
      <c r="C309" s="212" t="s">
        <v>2544</v>
      </c>
      <c r="D309" s="478">
        <v>304</v>
      </c>
      <c r="E309" s="478">
        <v>20216000013723</v>
      </c>
      <c r="F309" s="310">
        <v>44265</v>
      </c>
      <c r="G309" s="478" t="s">
        <v>2545</v>
      </c>
      <c r="H309" s="212" t="s">
        <v>2546</v>
      </c>
      <c r="I309" s="212" t="s">
        <v>214</v>
      </c>
      <c r="J309" s="475">
        <v>63000000</v>
      </c>
      <c r="K309" s="212" t="s">
        <v>138</v>
      </c>
      <c r="L309" s="212" t="s">
        <v>139</v>
      </c>
      <c r="M309" s="212" t="s">
        <v>44</v>
      </c>
      <c r="N309" s="212" t="s">
        <v>45</v>
      </c>
      <c r="O309" s="212" t="s">
        <v>142</v>
      </c>
      <c r="P309" s="212" t="s">
        <v>43</v>
      </c>
      <c r="R309" s="212">
        <v>385</v>
      </c>
      <c r="S309" s="490">
        <v>44266</v>
      </c>
      <c r="T309" s="486" t="s">
        <v>3351</v>
      </c>
      <c r="U309" s="475">
        <v>63000000</v>
      </c>
      <c r="V309" s="406"/>
      <c r="W309" s="362"/>
      <c r="X309" s="483" t="s">
        <v>3352</v>
      </c>
      <c r="Y309" s="484">
        <v>44273</v>
      </c>
      <c r="Z309" s="484">
        <v>44273</v>
      </c>
      <c r="AA309" s="484">
        <v>44548</v>
      </c>
      <c r="AB309" s="485" t="s">
        <v>2548</v>
      </c>
      <c r="AC309" s="483" t="s">
        <v>3353</v>
      </c>
      <c r="AD309" s="485" t="s">
        <v>3354</v>
      </c>
      <c r="AE309" s="486" t="s">
        <v>3355</v>
      </c>
      <c r="AF309" s="473">
        <v>63000000</v>
      </c>
      <c r="AK309" s="475">
        <v>2800000</v>
      </c>
      <c r="AL309" s="475">
        <v>7000000</v>
      </c>
      <c r="AM309" s="306">
        <v>7000000</v>
      </c>
    </row>
    <row r="310" spans="1:50" ht="15" hidden="1" customHeight="1" x14ac:dyDescent="0.35">
      <c r="B310" s="477" t="s">
        <v>97</v>
      </c>
      <c r="C310" s="212" t="s">
        <v>3356</v>
      </c>
      <c r="D310" s="478">
        <v>305</v>
      </c>
      <c r="E310" s="309">
        <v>20213000007933</v>
      </c>
      <c r="F310" s="479">
        <v>44256</v>
      </c>
      <c r="G310" s="478" t="s">
        <v>2538</v>
      </c>
      <c r="H310" s="212" t="s">
        <v>2539</v>
      </c>
      <c r="I310" s="212" t="s">
        <v>432</v>
      </c>
      <c r="J310" s="475">
        <v>138924000</v>
      </c>
      <c r="K310" s="212" t="s">
        <v>342</v>
      </c>
      <c r="L310" s="212" t="s">
        <v>343</v>
      </c>
      <c r="M310" s="212" t="s">
        <v>44</v>
      </c>
      <c r="N310" s="212" t="s">
        <v>45</v>
      </c>
      <c r="O310" s="212" t="s">
        <v>310</v>
      </c>
      <c r="P310" s="212" t="s">
        <v>674</v>
      </c>
      <c r="R310" s="212">
        <v>321</v>
      </c>
      <c r="S310" s="490">
        <v>44257</v>
      </c>
      <c r="T310" s="486" t="s">
        <v>3357</v>
      </c>
      <c r="U310" s="475">
        <v>138924000</v>
      </c>
      <c r="V310" s="406"/>
      <c r="W310" s="362"/>
      <c r="X310" s="483" t="s">
        <v>3358</v>
      </c>
      <c r="Y310" s="484">
        <v>44315</v>
      </c>
      <c r="Z310" s="484">
        <v>44315</v>
      </c>
      <c r="AA310" s="484">
        <v>44346</v>
      </c>
      <c r="AB310" s="485" t="s">
        <v>3004</v>
      </c>
      <c r="AC310" s="483" t="s">
        <v>3359</v>
      </c>
      <c r="AD310" s="485" t="s">
        <v>3360</v>
      </c>
      <c r="AE310" s="486" t="s">
        <v>3361</v>
      </c>
      <c r="AF310" s="473">
        <f>39760000+40952000+29106000+29106000</f>
        <v>138924000</v>
      </c>
      <c r="AG310" s="474">
        <f>+U310-AF310</f>
        <v>0</v>
      </c>
      <c r="AM310" s="306">
        <f>29106000+29106000+39760000+40952000</f>
        <v>138924000</v>
      </c>
    </row>
    <row r="311" spans="1:50" ht="15.75" hidden="1" customHeight="1" x14ac:dyDescent="0.35">
      <c r="B311" s="477" t="s">
        <v>97</v>
      </c>
      <c r="C311" s="515" t="s">
        <v>3362</v>
      </c>
      <c r="D311" s="478">
        <v>306</v>
      </c>
      <c r="E311" s="309">
        <v>20213000007953</v>
      </c>
      <c r="F311" s="479">
        <v>44256</v>
      </c>
      <c r="G311" s="478" t="s">
        <v>2538</v>
      </c>
      <c r="H311" s="212" t="s">
        <v>2539</v>
      </c>
      <c r="I311" s="212" t="s">
        <v>432</v>
      </c>
      <c r="J311" s="407">
        <v>32333000</v>
      </c>
      <c r="K311" s="212" t="s">
        <v>342</v>
      </c>
      <c r="L311" s="212" t="s">
        <v>343</v>
      </c>
      <c r="M311" s="212" t="s">
        <v>44</v>
      </c>
      <c r="N311" s="212" t="s">
        <v>45</v>
      </c>
      <c r="O311" s="212" t="s">
        <v>310</v>
      </c>
      <c r="P311" s="212" t="s">
        <v>674</v>
      </c>
      <c r="R311" s="212">
        <v>322</v>
      </c>
      <c r="S311" s="490">
        <v>44257</v>
      </c>
      <c r="T311" s="486" t="s">
        <v>3363</v>
      </c>
      <c r="U311" s="475">
        <v>32333000</v>
      </c>
      <c r="V311" s="406"/>
      <c r="W311" s="362"/>
      <c r="X311" s="483">
        <v>494</v>
      </c>
      <c r="Y311" s="484">
        <v>44312</v>
      </c>
      <c r="Z311" s="484">
        <v>44312</v>
      </c>
      <c r="AA311" s="484">
        <v>44346</v>
      </c>
      <c r="AB311" s="485" t="s">
        <v>3004</v>
      </c>
      <c r="AC311" s="483" t="s">
        <v>3364</v>
      </c>
      <c r="AD311" s="485" t="s">
        <v>3365</v>
      </c>
      <c r="AE311" s="486" t="s">
        <v>3366</v>
      </c>
      <c r="AF311" s="473">
        <f>15689000+16644000</f>
        <v>32333000</v>
      </c>
      <c r="AG311" s="474">
        <f>+U311-AF311</f>
        <v>0</v>
      </c>
      <c r="AL311" s="526">
        <v>32333000</v>
      </c>
      <c r="AM311" s="212"/>
    </row>
    <row r="312" spans="1:50" ht="15.75" hidden="1" customHeight="1" x14ac:dyDescent="0.35">
      <c r="B312" s="477" t="s">
        <v>97</v>
      </c>
      <c r="C312" s="515" t="s">
        <v>3367</v>
      </c>
      <c r="D312" s="478">
        <v>307</v>
      </c>
      <c r="E312" s="309">
        <v>20213000007983</v>
      </c>
      <c r="F312" s="479">
        <v>44256</v>
      </c>
      <c r="G312" s="478" t="s">
        <v>2538</v>
      </c>
      <c r="H312" s="212" t="s">
        <v>2539</v>
      </c>
      <c r="I312" s="212" t="s">
        <v>432</v>
      </c>
      <c r="J312" s="407">
        <v>30118000</v>
      </c>
      <c r="K312" s="212" t="s">
        <v>342</v>
      </c>
      <c r="L312" s="212" t="s">
        <v>343</v>
      </c>
      <c r="M312" s="212" t="s">
        <v>44</v>
      </c>
      <c r="N312" s="212" t="s">
        <v>45</v>
      </c>
      <c r="O312" s="212" t="s">
        <v>310</v>
      </c>
      <c r="P312" s="212" t="s">
        <v>674</v>
      </c>
      <c r="R312" s="212">
        <v>323</v>
      </c>
      <c r="S312" s="490">
        <v>44257</v>
      </c>
      <c r="T312" s="486" t="s">
        <v>3368</v>
      </c>
      <c r="U312" s="475">
        <v>30118000</v>
      </c>
      <c r="V312" s="406"/>
      <c r="W312" s="362"/>
      <c r="X312" s="483" t="s">
        <v>3369</v>
      </c>
      <c r="Y312" s="484">
        <v>44315</v>
      </c>
      <c r="Z312" s="484">
        <v>44315</v>
      </c>
      <c r="AA312" s="484">
        <v>44346</v>
      </c>
      <c r="AB312" s="485" t="s">
        <v>3004</v>
      </c>
      <c r="AC312" s="483" t="s">
        <v>3370</v>
      </c>
      <c r="AD312" s="485" t="s">
        <v>3360</v>
      </c>
      <c r="AE312" s="486" t="s">
        <v>3361</v>
      </c>
      <c r="AF312" s="473">
        <f>19815000+10303000</f>
        <v>30118000</v>
      </c>
      <c r="AG312" s="474">
        <f>+U312-AF312</f>
        <v>0</v>
      </c>
      <c r="AL312" s="475">
        <v>30118000</v>
      </c>
      <c r="AM312" s="212"/>
    </row>
    <row r="313" spans="1:50" ht="15" hidden="1" customHeight="1" x14ac:dyDescent="0.35">
      <c r="B313" s="477" t="s">
        <v>97</v>
      </c>
      <c r="C313" s="527" t="s">
        <v>3371</v>
      </c>
      <c r="D313" s="478">
        <v>308</v>
      </c>
      <c r="E313" s="309">
        <v>20213000007993</v>
      </c>
      <c r="F313" s="479">
        <v>44256</v>
      </c>
      <c r="G313" s="478" t="s">
        <v>2538</v>
      </c>
      <c r="H313" s="212" t="s">
        <v>2539</v>
      </c>
      <c r="I313" s="212" t="s">
        <v>432</v>
      </c>
      <c r="J313" s="407">
        <v>42874000</v>
      </c>
      <c r="K313" s="212" t="s">
        <v>342</v>
      </c>
      <c r="L313" s="212" t="s">
        <v>343</v>
      </c>
      <c r="M313" s="212" t="s">
        <v>44</v>
      </c>
      <c r="N313" s="212" t="s">
        <v>45</v>
      </c>
      <c r="O313" s="212" t="s">
        <v>310</v>
      </c>
      <c r="P313" s="212" t="s">
        <v>674</v>
      </c>
      <c r="R313" s="212">
        <v>324</v>
      </c>
      <c r="S313" s="490">
        <v>44257</v>
      </c>
      <c r="T313" s="486" t="s">
        <v>3372</v>
      </c>
      <c r="U313" s="475">
        <v>42874000</v>
      </c>
      <c r="V313" s="406"/>
      <c r="X313" s="483" t="s">
        <v>3373</v>
      </c>
      <c r="Y313" s="490">
        <v>44376</v>
      </c>
      <c r="Z313" s="484">
        <v>44376</v>
      </c>
      <c r="AA313" s="490">
        <v>44407</v>
      </c>
      <c r="AB313" s="486" t="s">
        <v>3004</v>
      </c>
      <c r="AC313" s="483" t="s">
        <v>3364</v>
      </c>
      <c r="AD313" s="486" t="s">
        <v>3365</v>
      </c>
      <c r="AE313" s="486" t="s">
        <v>3374</v>
      </c>
      <c r="AF313" s="692">
        <v>42874000</v>
      </c>
      <c r="AG313" s="474">
        <f>+U313-AF313</f>
        <v>0</v>
      </c>
      <c r="AM313" s="212"/>
    </row>
    <row r="314" spans="1:50" ht="15.75" hidden="1" customHeight="1" x14ac:dyDescent="0.35">
      <c r="A314" s="476" t="s">
        <v>3375</v>
      </c>
      <c r="B314" s="477">
        <v>301405000</v>
      </c>
      <c r="C314" s="515" t="s">
        <v>2081</v>
      </c>
      <c r="D314" s="478">
        <v>309</v>
      </c>
      <c r="E314" s="309">
        <v>20215000011503</v>
      </c>
      <c r="F314" s="479">
        <v>44258</v>
      </c>
      <c r="G314" s="478" t="s">
        <v>2538</v>
      </c>
      <c r="H314" s="212" t="s">
        <v>2539</v>
      </c>
      <c r="I314" s="212" t="s">
        <v>228</v>
      </c>
      <c r="J314" s="480">
        <v>301405000</v>
      </c>
      <c r="K314" s="212" t="s">
        <v>223</v>
      </c>
      <c r="L314" s="212" t="s">
        <v>269</v>
      </c>
      <c r="M314" s="212" t="s">
        <v>44</v>
      </c>
      <c r="N314" s="212" t="s">
        <v>2834</v>
      </c>
      <c r="O314" s="212" t="s">
        <v>255</v>
      </c>
      <c r="P314" s="212" t="s">
        <v>674</v>
      </c>
      <c r="R314" s="212">
        <v>328</v>
      </c>
      <c r="S314" s="490">
        <v>44258</v>
      </c>
      <c r="T314" s="486" t="s">
        <v>3376</v>
      </c>
      <c r="U314" s="475">
        <v>301405000</v>
      </c>
      <c r="V314" s="406"/>
      <c r="W314" s="362"/>
      <c r="AM314" s="212"/>
    </row>
    <row r="315" spans="1:50" ht="15.75" hidden="1" customHeight="1" x14ac:dyDescent="0.35">
      <c r="B315" s="501" t="s">
        <v>2914</v>
      </c>
      <c r="C315" s="212" t="s">
        <v>3377</v>
      </c>
      <c r="D315" s="478">
        <v>310</v>
      </c>
      <c r="E315" s="478">
        <v>20214000007803</v>
      </c>
      <c r="F315" s="479">
        <v>44239</v>
      </c>
      <c r="G315" s="478" t="s">
        <v>2578</v>
      </c>
      <c r="H315" s="212" t="s">
        <v>2579</v>
      </c>
      <c r="I315" s="212" t="s">
        <v>47</v>
      </c>
      <c r="J315" s="480">
        <v>19649997</v>
      </c>
      <c r="K315" s="212" t="s">
        <v>37</v>
      </c>
      <c r="L315" s="515" t="s">
        <v>3078</v>
      </c>
      <c r="M315" s="212" t="s">
        <v>44</v>
      </c>
      <c r="N315" s="212" t="s">
        <v>45</v>
      </c>
      <c r="O315" s="212" t="s">
        <v>310</v>
      </c>
      <c r="P315" s="212" t="s">
        <v>43</v>
      </c>
      <c r="R315" s="212">
        <v>237</v>
      </c>
      <c r="S315" s="479">
        <v>44242</v>
      </c>
      <c r="T315" s="212" t="s">
        <v>3378</v>
      </c>
      <c r="U315" s="489">
        <v>19649997</v>
      </c>
      <c r="V315" s="406"/>
      <c r="W315" s="399"/>
      <c r="X315" s="483" t="s">
        <v>3379</v>
      </c>
      <c r="Y315" s="484">
        <v>44273</v>
      </c>
      <c r="Z315" s="484">
        <v>44274</v>
      </c>
      <c r="AA315" s="484">
        <v>44304</v>
      </c>
      <c r="AB315" s="485" t="s">
        <v>2568</v>
      </c>
      <c r="AC315" s="483" t="s">
        <v>3380</v>
      </c>
      <c r="AD315" s="485" t="s">
        <v>3381</v>
      </c>
      <c r="AE315" s="486" t="s">
        <v>3382</v>
      </c>
      <c r="AF315" s="488">
        <v>19649997</v>
      </c>
      <c r="AG315" s="474">
        <f>+U315-AF315</f>
        <v>0</v>
      </c>
      <c r="AH315" s="480"/>
      <c r="AM315" s="212"/>
    </row>
    <row r="316" spans="1:50" ht="15" hidden="1" customHeight="1" x14ac:dyDescent="0.35">
      <c r="B316" s="501"/>
      <c r="C316" s="519" t="s">
        <v>3383</v>
      </c>
      <c r="D316" s="478">
        <v>311</v>
      </c>
      <c r="E316" s="478">
        <v>20212000012553</v>
      </c>
      <c r="F316" s="479">
        <v>44263</v>
      </c>
      <c r="G316" s="478" t="s">
        <v>2538</v>
      </c>
      <c r="H316" s="212" t="s">
        <v>2539</v>
      </c>
      <c r="I316" s="212" t="s">
        <v>391</v>
      </c>
      <c r="J316" s="475">
        <v>4686499723</v>
      </c>
      <c r="K316" s="212" t="s">
        <v>426</v>
      </c>
      <c r="L316" s="212" t="s">
        <v>427</v>
      </c>
      <c r="M316" s="212" t="s">
        <v>44</v>
      </c>
      <c r="N316" s="212" t="s">
        <v>45</v>
      </c>
      <c r="O316" s="212" t="s">
        <v>63</v>
      </c>
      <c r="P316" s="212" t="s">
        <v>674</v>
      </c>
      <c r="R316" s="212">
        <v>339</v>
      </c>
      <c r="S316" s="490">
        <v>44263</v>
      </c>
      <c r="T316" s="486" t="s">
        <v>3384</v>
      </c>
      <c r="U316" s="475">
        <v>4686499723</v>
      </c>
      <c r="V316" s="480"/>
      <c r="W316" s="520"/>
      <c r="X316" s="483" t="s">
        <v>3385</v>
      </c>
      <c r="Y316" s="484">
        <v>44274</v>
      </c>
      <c r="Z316" s="484">
        <v>44274</v>
      </c>
      <c r="AA316" s="484">
        <v>44423</v>
      </c>
      <c r="AB316" s="485" t="s">
        <v>3237</v>
      </c>
      <c r="AC316" s="483" t="s">
        <v>3385</v>
      </c>
      <c r="AD316" s="485" t="s">
        <v>3386</v>
      </c>
      <c r="AE316" s="486" t="s">
        <v>3387</v>
      </c>
      <c r="AF316" s="473">
        <v>4686499723</v>
      </c>
      <c r="AM316" s="212"/>
    </row>
    <row r="317" spans="1:50" ht="15" hidden="1" customHeight="1" x14ac:dyDescent="0.35">
      <c r="A317" s="476" t="s">
        <v>2312</v>
      </c>
      <c r="B317" s="477">
        <v>79314319</v>
      </c>
      <c r="C317" s="212" t="s">
        <v>2544</v>
      </c>
      <c r="D317" s="478">
        <v>312</v>
      </c>
      <c r="E317" s="309">
        <v>20217000011923</v>
      </c>
      <c r="F317" s="479">
        <v>44258</v>
      </c>
      <c r="G317" s="478" t="s">
        <v>2545</v>
      </c>
      <c r="H317" s="212" t="s">
        <v>2546</v>
      </c>
      <c r="I317" s="212" t="s">
        <v>164</v>
      </c>
      <c r="J317" s="475">
        <v>52876212</v>
      </c>
      <c r="K317" s="212" t="s">
        <v>138</v>
      </c>
      <c r="L317" s="212" t="s">
        <v>139</v>
      </c>
      <c r="M317" s="212" t="s">
        <v>44</v>
      </c>
      <c r="N317" s="212" t="s">
        <v>45</v>
      </c>
      <c r="O317" s="212" t="s">
        <v>142</v>
      </c>
      <c r="P317" s="212" t="s">
        <v>43</v>
      </c>
      <c r="R317" s="212">
        <v>329</v>
      </c>
      <c r="S317" s="490">
        <v>44258</v>
      </c>
      <c r="T317" s="486" t="s">
        <v>3388</v>
      </c>
      <c r="U317" s="475">
        <v>52876212</v>
      </c>
      <c r="V317" s="406"/>
      <c r="W317" s="362"/>
      <c r="X317" s="483" t="s">
        <v>2844</v>
      </c>
      <c r="Y317" s="484">
        <v>44285</v>
      </c>
      <c r="Z317" s="484">
        <v>44285</v>
      </c>
      <c r="AA317" s="484">
        <v>44469</v>
      </c>
      <c r="AB317" s="485" t="s">
        <v>2548</v>
      </c>
      <c r="AC317" s="483" t="s">
        <v>3389</v>
      </c>
      <c r="AD317" s="485" t="s">
        <v>3390</v>
      </c>
      <c r="AE317" s="486" t="s">
        <v>2601</v>
      </c>
      <c r="AF317" s="473">
        <v>52876212</v>
      </c>
      <c r="AL317" s="475">
        <v>9106459</v>
      </c>
      <c r="AM317" s="306">
        <v>8812702</v>
      </c>
    </row>
    <row r="318" spans="1:50" ht="15.75" hidden="1" customHeight="1" x14ac:dyDescent="0.35">
      <c r="B318" s="501" t="s">
        <v>2581</v>
      </c>
      <c r="C318" s="518" t="s">
        <v>3197</v>
      </c>
      <c r="D318" s="212">
        <v>313</v>
      </c>
      <c r="E318" s="309">
        <v>20215000009113</v>
      </c>
      <c r="F318" s="310">
        <v>44250</v>
      </c>
      <c r="G318" s="309" t="s">
        <v>2538</v>
      </c>
      <c r="H318" s="210" t="s">
        <v>2539</v>
      </c>
      <c r="I318" s="210" t="s">
        <v>228</v>
      </c>
      <c r="J318" s="407">
        <v>114229680</v>
      </c>
      <c r="K318" s="212" t="s">
        <v>223</v>
      </c>
      <c r="L318" s="212" t="s">
        <v>224</v>
      </c>
      <c r="M318" s="210" t="s">
        <v>44</v>
      </c>
      <c r="N318" s="210" t="s">
        <v>45</v>
      </c>
      <c r="O318" s="210" t="s">
        <v>265</v>
      </c>
      <c r="P318" s="210" t="s">
        <v>674</v>
      </c>
      <c r="Q318" s="210"/>
      <c r="R318" s="486">
        <v>282</v>
      </c>
      <c r="S318" s="490">
        <v>44250</v>
      </c>
      <c r="T318" s="486" t="s">
        <v>3391</v>
      </c>
      <c r="U318" s="475">
        <v>114229680</v>
      </c>
      <c r="V318" s="406"/>
      <c r="W318" s="362"/>
      <c r="X318" s="483" t="s">
        <v>3324</v>
      </c>
      <c r="Y318" s="484">
        <v>44274</v>
      </c>
      <c r="Z318" s="484">
        <v>44268</v>
      </c>
      <c r="AA318" s="484">
        <v>44362</v>
      </c>
      <c r="AB318" s="485" t="s">
        <v>2548</v>
      </c>
      <c r="AC318" s="483" t="s">
        <v>3125</v>
      </c>
      <c r="AD318" s="485" t="s">
        <v>3392</v>
      </c>
      <c r="AE318" s="486" t="s">
        <v>3393</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x14ac:dyDescent="0.35">
      <c r="A319" s="476" t="s">
        <v>2274</v>
      </c>
      <c r="B319" s="477">
        <v>65413872</v>
      </c>
      <c r="C319" s="212" t="s">
        <v>2544</v>
      </c>
      <c r="D319" s="478">
        <v>314</v>
      </c>
      <c r="E319" s="309">
        <v>20217000012233</v>
      </c>
      <c r="F319" s="479">
        <v>44259</v>
      </c>
      <c r="G319" s="478" t="s">
        <v>2545</v>
      </c>
      <c r="H319" s="212" t="s">
        <v>2546</v>
      </c>
      <c r="I319" s="212" t="s">
        <v>164</v>
      </c>
      <c r="J319" s="475">
        <v>50877456</v>
      </c>
      <c r="K319" s="212" t="s">
        <v>138</v>
      </c>
      <c r="L319" s="212" t="s">
        <v>139</v>
      </c>
      <c r="M319" s="212" t="s">
        <v>44</v>
      </c>
      <c r="N319" s="212" t="s">
        <v>45</v>
      </c>
      <c r="O319" s="212" t="s">
        <v>142</v>
      </c>
      <c r="P319" s="212" t="s">
        <v>43</v>
      </c>
      <c r="R319" s="212">
        <v>331</v>
      </c>
      <c r="S319" s="490">
        <v>44259</v>
      </c>
      <c r="T319" s="486" t="s">
        <v>3394</v>
      </c>
      <c r="U319" s="475">
        <v>50877456</v>
      </c>
      <c r="V319" s="406"/>
      <c r="W319" s="362"/>
      <c r="X319" s="483" t="s">
        <v>3395</v>
      </c>
      <c r="Y319" s="484">
        <v>44286</v>
      </c>
      <c r="Z319" s="484">
        <v>44286</v>
      </c>
      <c r="AA319" s="484">
        <v>44500</v>
      </c>
      <c r="AB319" s="485" t="s">
        <v>2548</v>
      </c>
      <c r="AC319" s="483" t="s">
        <v>3396</v>
      </c>
      <c r="AD319" s="485" t="s">
        <v>3397</v>
      </c>
      <c r="AE319" s="486" t="s">
        <v>3398</v>
      </c>
      <c r="AF319" s="473">
        <v>50877456</v>
      </c>
      <c r="AL319" s="475">
        <v>6299114</v>
      </c>
      <c r="AM319" s="306">
        <v>7268208</v>
      </c>
    </row>
    <row r="320" spans="1:50" s="312" customFormat="1" ht="15.75" hidden="1" customHeight="1" x14ac:dyDescent="0.35">
      <c r="A320" s="361" t="s">
        <v>2126</v>
      </c>
      <c r="B320" s="417" t="s">
        <v>3399</v>
      </c>
      <c r="C320" s="312" t="s">
        <v>3400</v>
      </c>
      <c r="D320" s="325">
        <v>315</v>
      </c>
      <c r="E320" s="325">
        <v>20214000011953</v>
      </c>
      <c r="F320" s="315">
        <v>44260</v>
      </c>
      <c r="G320" s="325" t="s">
        <v>2578</v>
      </c>
      <c r="H320" s="312" t="s">
        <v>2579</v>
      </c>
      <c r="I320" s="312" t="s">
        <v>47</v>
      </c>
      <c r="J320" s="406">
        <v>281078765</v>
      </c>
      <c r="K320" s="312" t="s">
        <v>37</v>
      </c>
      <c r="L320" s="510" t="s">
        <v>3078</v>
      </c>
      <c r="M320" s="312" t="s">
        <v>44</v>
      </c>
      <c r="N320" s="312" t="s">
        <v>45</v>
      </c>
      <c r="O320" s="212" t="s">
        <v>310</v>
      </c>
      <c r="P320" s="312" t="s">
        <v>84</v>
      </c>
      <c r="R320" s="312">
        <v>344</v>
      </c>
      <c r="S320" s="363">
        <v>44263</v>
      </c>
      <c r="T320" s="360" t="s">
        <v>3401</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x14ac:dyDescent="0.35">
      <c r="A321" s="476" t="s">
        <v>2183</v>
      </c>
      <c r="B321" s="477">
        <v>51408000</v>
      </c>
      <c r="C321" s="212" t="s">
        <v>2544</v>
      </c>
      <c r="D321" s="478">
        <v>316</v>
      </c>
      <c r="E321" s="309">
        <v>20212000012393</v>
      </c>
      <c r="F321" s="479">
        <v>44263</v>
      </c>
      <c r="G321" s="478" t="s">
        <v>2538</v>
      </c>
      <c r="H321" s="212" t="s">
        <v>2539</v>
      </c>
      <c r="I321" s="212" t="s">
        <v>391</v>
      </c>
      <c r="J321" s="475">
        <v>45900000</v>
      </c>
      <c r="K321" s="212" t="s">
        <v>396</v>
      </c>
      <c r="L321" s="212" t="s">
        <v>397</v>
      </c>
      <c r="M321" s="212" t="s">
        <v>44</v>
      </c>
      <c r="N321" s="212" t="s">
        <v>45</v>
      </c>
      <c r="O321" s="212" t="s">
        <v>63</v>
      </c>
      <c r="P321" s="212" t="s">
        <v>674</v>
      </c>
      <c r="R321" s="212">
        <v>335</v>
      </c>
      <c r="S321" s="490">
        <v>44263</v>
      </c>
      <c r="T321" s="486" t="s">
        <v>3402</v>
      </c>
      <c r="U321" s="475">
        <v>45900000</v>
      </c>
      <c r="V321" s="406"/>
      <c r="W321" s="362"/>
      <c r="X321" s="483" t="s">
        <v>3403</v>
      </c>
      <c r="Y321" s="484">
        <v>44319</v>
      </c>
      <c r="Z321" s="484">
        <v>44319</v>
      </c>
      <c r="AA321" s="484">
        <v>44471</v>
      </c>
      <c r="AB321" s="486" t="s">
        <v>2548</v>
      </c>
      <c r="AC321" s="483" t="s">
        <v>3323</v>
      </c>
      <c r="AD321" s="486" t="s">
        <v>3404</v>
      </c>
      <c r="AE321" s="486" t="s">
        <v>3405</v>
      </c>
      <c r="AF321" s="473">
        <v>22950000</v>
      </c>
      <c r="AM321" s="306">
        <v>3978000</v>
      </c>
    </row>
    <row r="322" spans="1:50" ht="15" hidden="1" customHeight="1" x14ac:dyDescent="0.35">
      <c r="A322" s="466" t="s">
        <v>2184</v>
      </c>
      <c r="B322" s="467">
        <v>62832000</v>
      </c>
      <c r="C322" s="212" t="s">
        <v>2544</v>
      </c>
      <c r="D322" s="469">
        <v>317</v>
      </c>
      <c r="E322" s="469">
        <v>20212000012403</v>
      </c>
      <c r="F322" s="470">
        <v>44263</v>
      </c>
      <c r="G322" s="469" t="s">
        <v>2538</v>
      </c>
      <c r="H322" s="468" t="s">
        <v>2539</v>
      </c>
      <c r="I322" s="468" t="s">
        <v>391</v>
      </c>
      <c r="J322" s="471">
        <v>28050000</v>
      </c>
      <c r="K322" s="468" t="s">
        <v>396</v>
      </c>
      <c r="L322" s="468" t="s">
        <v>397</v>
      </c>
      <c r="M322" s="468" t="s">
        <v>44</v>
      </c>
      <c r="N322" s="468" t="s">
        <v>45</v>
      </c>
      <c r="O322" s="468" t="s">
        <v>63</v>
      </c>
      <c r="P322" s="212" t="s">
        <v>674</v>
      </c>
      <c r="Q322" s="468"/>
      <c r="R322" s="468">
        <v>336</v>
      </c>
      <c r="S322" s="528">
        <v>44263</v>
      </c>
      <c r="T322" s="529" t="s">
        <v>3406</v>
      </c>
      <c r="U322" s="471">
        <v>28050000</v>
      </c>
      <c r="V322" s="414"/>
      <c r="W322" s="379"/>
      <c r="X322" s="483" t="s">
        <v>3407</v>
      </c>
      <c r="Y322" s="484">
        <v>44285</v>
      </c>
      <c r="Z322" s="484">
        <v>44285</v>
      </c>
      <c r="AA322" s="484">
        <v>44438</v>
      </c>
      <c r="AB322" s="485" t="s">
        <v>2548</v>
      </c>
      <c r="AC322" s="483" t="s">
        <v>3408</v>
      </c>
      <c r="AD322" s="485" t="s">
        <v>3409</v>
      </c>
      <c r="AE322" s="486" t="s">
        <v>3410</v>
      </c>
      <c r="AF322" s="473">
        <v>28050000</v>
      </c>
      <c r="AI322" s="471"/>
      <c r="AJ322" s="471"/>
      <c r="AK322" s="471"/>
      <c r="AL322" s="471">
        <v>5797000</v>
      </c>
      <c r="AM322" s="306">
        <v>5610000</v>
      </c>
    </row>
    <row r="323" spans="1:50" ht="15" hidden="1" customHeight="1" x14ac:dyDescent="0.35">
      <c r="A323" s="476" t="s">
        <v>1796</v>
      </c>
      <c r="B323" s="477">
        <v>40290000</v>
      </c>
      <c r="C323" s="212" t="s">
        <v>2544</v>
      </c>
      <c r="D323" s="478">
        <v>318</v>
      </c>
      <c r="E323" s="478">
        <v>20212000012413</v>
      </c>
      <c r="F323" s="479">
        <v>44263</v>
      </c>
      <c r="G323" s="478" t="s">
        <v>2538</v>
      </c>
      <c r="H323" s="212" t="s">
        <v>2539</v>
      </c>
      <c r="I323" s="212" t="s">
        <v>391</v>
      </c>
      <c r="J323" s="475">
        <v>38836000</v>
      </c>
      <c r="K323" s="210" t="s">
        <v>2609</v>
      </c>
      <c r="L323" s="212" t="s">
        <v>2610</v>
      </c>
      <c r="M323" s="212" t="s">
        <v>44</v>
      </c>
      <c r="N323" s="212" t="s">
        <v>45</v>
      </c>
      <c r="O323" s="212" t="s">
        <v>63</v>
      </c>
      <c r="P323" s="212" t="s">
        <v>674</v>
      </c>
      <c r="R323" s="212">
        <v>337</v>
      </c>
      <c r="S323" s="490">
        <v>44263</v>
      </c>
      <c r="T323" s="486" t="s">
        <v>3411</v>
      </c>
      <c r="U323" s="475">
        <v>38836000</v>
      </c>
      <c r="V323" s="406"/>
      <c r="W323" s="362"/>
      <c r="X323" s="483" t="s">
        <v>3412</v>
      </c>
      <c r="Y323" s="484">
        <v>44299</v>
      </c>
      <c r="Z323" s="484">
        <v>44299</v>
      </c>
      <c r="AA323" s="484">
        <v>44561</v>
      </c>
      <c r="AB323" s="485" t="s">
        <v>2548</v>
      </c>
      <c r="AC323" s="483" t="s">
        <v>3413</v>
      </c>
      <c r="AD323" s="485" t="s">
        <v>3414</v>
      </c>
      <c r="AE323" s="486" t="s">
        <v>3415</v>
      </c>
      <c r="AF323" s="473">
        <v>34748000</v>
      </c>
      <c r="AL323" s="475">
        <v>2589066</v>
      </c>
      <c r="AM323" s="306">
        <v>4088000</v>
      </c>
    </row>
    <row r="324" spans="1:50" ht="15" hidden="1" customHeight="1" x14ac:dyDescent="0.35">
      <c r="A324" s="476" t="s">
        <v>1729</v>
      </c>
      <c r="B324" s="477">
        <v>46400000</v>
      </c>
      <c r="C324" s="212" t="s">
        <v>2544</v>
      </c>
      <c r="D324" s="478">
        <v>319</v>
      </c>
      <c r="E324" s="478">
        <v>20213000012263</v>
      </c>
      <c r="F324" s="479">
        <v>44263</v>
      </c>
      <c r="G324" s="478" t="s">
        <v>2538</v>
      </c>
      <c r="H324" s="212" t="s">
        <v>2539</v>
      </c>
      <c r="I324" s="212" t="s">
        <v>432</v>
      </c>
      <c r="J324" s="475">
        <v>46400000</v>
      </c>
      <c r="K324" s="212" t="s">
        <v>342</v>
      </c>
      <c r="L324" s="212" t="s">
        <v>351</v>
      </c>
      <c r="M324" s="212" t="s">
        <v>44</v>
      </c>
      <c r="N324" s="212" t="s">
        <v>45</v>
      </c>
      <c r="O324" s="212" t="s">
        <v>63</v>
      </c>
      <c r="P324" s="212" t="s">
        <v>674</v>
      </c>
      <c r="R324" s="212">
        <v>334</v>
      </c>
      <c r="S324" s="490">
        <v>44263</v>
      </c>
      <c r="T324" s="486" t="s">
        <v>3416</v>
      </c>
      <c r="U324" s="475">
        <f>46400000-6424856</f>
        <v>39975144</v>
      </c>
      <c r="V324" s="411">
        <v>6424856</v>
      </c>
      <c r="W324" s="397"/>
      <c r="X324" s="483" t="s">
        <v>3417</v>
      </c>
      <c r="Y324" s="484">
        <v>44285</v>
      </c>
      <c r="Z324" s="484">
        <v>44285</v>
      </c>
      <c r="AA324" s="484">
        <v>44530</v>
      </c>
      <c r="AB324" s="485" t="s">
        <v>2548</v>
      </c>
      <c r="AC324" s="483" t="s">
        <v>3418</v>
      </c>
      <c r="AD324" s="485" t="s">
        <v>3419</v>
      </c>
      <c r="AE324" s="486" t="s">
        <v>2697</v>
      </c>
      <c r="AF324" s="473">
        <v>39975144</v>
      </c>
      <c r="AL324" s="475">
        <v>4996893</v>
      </c>
      <c r="AM324" s="306">
        <v>4996893</v>
      </c>
    </row>
    <row r="325" spans="1:50" ht="16.5" hidden="1" customHeight="1" x14ac:dyDescent="0.35">
      <c r="C325" s="519" t="s">
        <v>3420</v>
      </c>
      <c r="D325" s="478">
        <v>320</v>
      </c>
      <c r="E325" s="478">
        <v>20212000012523</v>
      </c>
      <c r="F325" s="479">
        <v>44263</v>
      </c>
      <c r="G325" s="478" t="s">
        <v>2538</v>
      </c>
      <c r="H325" s="212" t="s">
        <v>2539</v>
      </c>
      <c r="I325" s="212" t="s">
        <v>391</v>
      </c>
      <c r="J325" s="475">
        <v>966711398</v>
      </c>
      <c r="K325" s="212" t="s">
        <v>426</v>
      </c>
      <c r="L325" s="212" t="s">
        <v>427</v>
      </c>
      <c r="M325" s="212" t="s">
        <v>44</v>
      </c>
      <c r="N325" s="212" t="s">
        <v>45</v>
      </c>
      <c r="O325" s="212" t="s">
        <v>63</v>
      </c>
      <c r="P325" s="212" t="s">
        <v>674</v>
      </c>
      <c r="R325" s="212">
        <v>338</v>
      </c>
      <c r="S325" s="490">
        <v>44263</v>
      </c>
      <c r="T325" s="486" t="s">
        <v>3421</v>
      </c>
      <c r="U325" s="475">
        <v>966711398</v>
      </c>
      <c r="V325" s="480"/>
      <c r="W325" s="520"/>
      <c r="X325" s="483" t="s">
        <v>3422</v>
      </c>
      <c r="Y325" s="484">
        <v>44295</v>
      </c>
      <c r="Z325" s="484">
        <v>44295</v>
      </c>
      <c r="AA325" s="484">
        <v>44423</v>
      </c>
      <c r="AB325" s="485" t="s">
        <v>3237</v>
      </c>
      <c r="AC325" s="483" t="s">
        <v>3333</v>
      </c>
      <c r="AD325" s="485" t="s">
        <v>3423</v>
      </c>
      <c r="AE325" s="486" t="s">
        <v>2591</v>
      </c>
      <c r="AF325" s="473">
        <v>966711398</v>
      </c>
      <c r="AM325" s="212"/>
    </row>
    <row r="326" spans="1:50" ht="15" hidden="1" customHeight="1" x14ac:dyDescent="0.35">
      <c r="A326" s="476" t="s">
        <v>1851</v>
      </c>
      <c r="B326" s="477">
        <v>69750000</v>
      </c>
      <c r="C326" s="212" t="s">
        <v>2544</v>
      </c>
      <c r="D326" s="478">
        <v>321</v>
      </c>
      <c r="E326" s="478">
        <v>20216000013623</v>
      </c>
      <c r="F326" s="310">
        <v>44265</v>
      </c>
      <c r="G326" s="478" t="s">
        <v>2545</v>
      </c>
      <c r="H326" s="212" t="s">
        <v>2546</v>
      </c>
      <c r="I326" s="212" t="s">
        <v>214</v>
      </c>
      <c r="J326" s="475">
        <v>69750000</v>
      </c>
      <c r="K326" s="212" t="s">
        <v>138</v>
      </c>
      <c r="L326" s="212" t="s">
        <v>139</v>
      </c>
      <c r="M326" s="212" t="s">
        <v>44</v>
      </c>
      <c r="N326" s="212" t="s">
        <v>45</v>
      </c>
      <c r="O326" s="212" t="s">
        <v>142</v>
      </c>
      <c r="P326" s="212" t="s">
        <v>43</v>
      </c>
      <c r="R326" s="212">
        <v>380</v>
      </c>
      <c r="S326" s="490">
        <v>44266</v>
      </c>
      <c r="T326" s="486" t="s">
        <v>3424</v>
      </c>
      <c r="U326" s="475">
        <v>69750000</v>
      </c>
      <c r="V326" s="406"/>
      <c r="W326" s="362"/>
      <c r="X326" s="483" t="s">
        <v>3238</v>
      </c>
      <c r="Y326" s="484">
        <v>44274</v>
      </c>
      <c r="Z326" s="484">
        <v>44274</v>
      </c>
      <c r="AA326" s="484">
        <v>44549</v>
      </c>
      <c r="AB326" s="485" t="s">
        <v>2548</v>
      </c>
      <c r="AC326" s="483" t="s">
        <v>3425</v>
      </c>
      <c r="AD326" s="485" t="s">
        <v>3426</v>
      </c>
      <c r="AE326" s="486" t="s">
        <v>3427</v>
      </c>
      <c r="AF326" s="473">
        <v>69750000</v>
      </c>
      <c r="AK326" s="475">
        <v>3100000</v>
      </c>
      <c r="AL326" s="475">
        <v>7750000</v>
      </c>
      <c r="AM326" s="306">
        <v>7750000</v>
      </c>
    </row>
    <row r="327" spans="1:50" ht="15.75" hidden="1" customHeight="1" x14ac:dyDescent="0.35">
      <c r="C327" s="519" t="s">
        <v>3428</v>
      </c>
      <c r="D327" s="478">
        <v>322</v>
      </c>
      <c r="E327" s="478">
        <v>20212000012573</v>
      </c>
      <c r="F327" s="479">
        <v>44263</v>
      </c>
      <c r="G327" s="478" t="s">
        <v>2538</v>
      </c>
      <c r="H327" s="212" t="s">
        <v>2539</v>
      </c>
      <c r="I327" s="212" t="s">
        <v>391</v>
      </c>
      <c r="J327" s="475">
        <v>1838152627</v>
      </c>
      <c r="K327" s="212" t="s">
        <v>426</v>
      </c>
      <c r="L327" s="212" t="s">
        <v>427</v>
      </c>
      <c r="M327" s="212" t="s">
        <v>44</v>
      </c>
      <c r="N327" s="212" t="s">
        <v>45</v>
      </c>
      <c r="O327" s="212" t="s">
        <v>63</v>
      </c>
      <c r="P327" s="212" t="s">
        <v>674</v>
      </c>
      <c r="R327" s="212">
        <v>340</v>
      </c>
      <c r="S327" s="490">
        <v>44263</v>
      </c>
      <c r="T327" s="486" t="s">
        <v>3429</v>
      </c>
      <c r="U327" s="475">
        <v>1838152627</v>
      </c>
      <c r="V327" s="480"/>
      <c r="W327" s="520"/>
      <c r="X327" s="483" t="s">
        <v>3430</v>
      </c>
      <c r="Y327" s="484">
        <v>44292</v>
      </c>
      <c r="Z327" s="484">
        <v>44292</v>
      </c>
      <c r="AA327" s="484">
        <v>44423</v>
      </c>
      <c r="AB327" s="485" t="s">
        <v>3237</v>
      </c>
      <c r="AC327" s="483" t="s">
        <v>3324</v>
      </c>
      <c r="AD327" s="485" t="s">
        <v>3431</v>
      </c>
      <c r="AE327" s="486" t="s">
        <v>3432</v>
      </c>
      <c r="AF327" s="473">
        <v>1838152627</v>
      </c>
      <c r="AM327" s="212"/>
    </row>
    <row r="328" spans="1:50" ht="15" hidden="1" customHeight="1" x14ac:dyDescent="0.35">
      <c r="A328" s="476" t="s">
        <v>2106</v>
      </c>
      <c r="B328" s="477">
        <v>28619969</v>
      </c>
      <c r="C328" s="212" t="s">
        <v>2544</v>
      </c>
      <c r="D328" s="478">
        <v>323</v>
      </c>
      <c r="E328" s="478">
        <v>20211300013743</v>
      </c>
      <c r="F328" s="310">
        <v>44265</v>
      </c>
      <c r="G328" s="478" t="s">
        <v>2545</v>
      </c>
      <c r="H328" s="212" t="s">
        <v>2546</v>
      </c>
      <c r="I328" s="212" t="s">
        <v>210</v>
      </c>
      <c r="J328" s="475">
        <v>16353468</v>
      </c>
      <c r="K328" s="212" t="s">
        <v>138</v>
      </c>
      <c r="L328" s="212" t="s">
        <v>139</v>
      </c>
      <c r="M328" s="212" t="s">
        <v>44</v>
      </c>
      <c r="N328" s="212" t="s">
        <v>45</v>
      </c>
      <c r="O328" s="212" t="s">
        <v>142</v>
      </c>
      <c r="P328" s="212" t="s">
        <v>43</v>
      </c>
      <c r="R328" s="212">
        <v>386</v>
      </c>
      <c r="S328" s="490">
        <v>44266</v>
      </c>
      <c r="T328" s="486" t="s">
        <v>3433</v>
      </c>
      <c r="U328" s="475">
        <v>16353468</v>
      </c>
      <c r="V328" s="406"/>
      <c r="W328" s="362"/>
      <c r="X328" s="483" t="s">
        <v>2631</v>
      </c>
      <c r="Y328" s="484">
        <v>44274</v>
      </c>
      <c r="Z328" s="484">
        <v>44274</v>
      </c>
      <c r="AA328" s="484">
        <v>44396</v>
      </c>
      <c r="AB328" s="485" t="s">
        <v>2548</v>
      </c>
      <c r="AC328" s="483" t="s">
        <v>3434</v>
      </c>
      <c r="AD328" s="485" t="s">
        <v>3435</v>
      </c>
      <c r="AE328" s="486" t="s">
        <v>3436</v>
      </c>
      <c r="AF328" s="473">
        <v>16353468</v>
      </c>
      <c r="AK328" s="475">
        <v>1090231</v>
      </c>
      <c r="AL328" s="475">
        <v>4088367</v>
      </c>
      <c r="AM328" s="306">
        <v>4088367</v>
      </c>
    </row>
    <row r="329" spans="1:50" ht="15.75" hidden="1" customHeight="1" x14ac:dyDescent="0.35">
      <c r="B329" s="501"/>
      <c r="C329" s="519" t="s">
        <v>3437</v>
      </c>
      <c r="D329" s="478">
        <v>324</v>
      </c>
      <c r="E329" s="478">
        <v>20212000012603</v>
      </c>
      <c r="F329" s="479">
        <v>44263</v>
      </c>
      <c r="G329" s="478" t="s">
        <v>2538</v>
      </c>
      <c r="H329" s="212" t="s">
        <v>2539</v>
      </c>
      <c r="I329" s="212" t="s">
        <v>391</v>
      </c>
      <c r="J329" s="475">
        <v>1549286460</v>
      </c>
      <c r="K329" s="212" t="s">
        <v>426</v>
      </c>
      <c r="L329" s="212" t="s">
        <v>427</v>
      </c>
      <c r="M329" s="212" t="s">
        <v>44</v>
      </c>
      <c r="N329" s="212" t="s">
        <v>45</v>
      </c>
      <c r="O329" s="212" t="s">
        <v>63</v>
      </c>
      <c r="P329" s="212" t="s">
        <v>674</v>
      </c>
      <c r="R329" s="212">
        <v>342</v>
      </c>
      <c r="S329" s="490">
        <v>44263</v>
      </c>
      <c r="T329" s="486" t="s">
        <v>3438</v>
      </c>
      <c r="U329" s="475">
        <v>1549286460</v>
      </c>
      <c r="V329" s="480"/>
      <c r="W329" s="520"/>
      <c r="X329" s="483" t="s">
        <v>3439</v>
      </c>
      <c r="Y329" s="484">
        <v>44286</v>
      </c>
      <c r="Z329" s="484">
        <v>44286</v>
      </c>
      <c r="AA329" s="484">
        <v>44423</v>
      </c>
      <c r="AB329" s="485" t="s">
        <v>3237</v>
      </c>
      <c r="AC329" s="483" t="s">
        <v>3440</v>
      </c>
      <c r="AD329" s="485" t="s">
        <v>3441</v>
      </c>
      <c r="AE329" s="486" t="s">
        <v>3442</v>
      </c>
      <c r="AF329" s="473">
        <v>1549286460</v>
      </c>
      <c r="AM329" s="212"/>
    </row>
    <row r="330" spans="1:50" ht="15" hidden="1" customHeight="1" x14ac:dyDescent="0.35">
      <c r="B330" s="501"/>
      <c r="C330" s="519" t="s">
        <v>3443</v>
      </c>
      <c r="D330" s="478">
        <v>325</v>
      </c>
      <c r="E330" s="478">
        <v>20212000012613</v>
      </c>
      <c r="F330" s="479">
        <v>44263</v>
      </c>
      <c r="G330" s="478" t="s">
        <v>2538</v>
      </c>
      <c r="H330" s="212" t="s">
        <v>2539</v>
      </c>
      <c r="I330" s="212" t="s">
        <v>391</v>
      </c>
      <c r="J330" s="475">
        <v>933489693</v>
      </c>
      <c r="K330" s="212" t="s">
        <v>426</v>
      </c>
      <c r="L330" s="212" t="s">
        <v>427</v>
      </c>
      <c r="M330" s="212" t="s">
        <v>44</v>
      </c>
      <c r="N330" s="212" t="s">
        <v>45</v>
      </c>
      <c r="O330" s="212" t="s">
        <v>63</v>
      </c>
      <c r="P330" s="212" t="s">
        <v>674</v>
      </c>
      <c r="R330" s="212">
        <v>343</v>
      </c>
      <c r="S330" s="490">
        <v>44263</v>
      </c>
      <c r="T330" s="486" t="s">
        <v>3444</v>
      </c>
      <c r="U330" s="475">
        <v>933489693</v>
      </c>
      <c r="V330" s="480"/>
      <c r="W330" s="520"/>
      <c r="X330" s="483" t="s">
        <v>1741</v>
      </c>
      <c r="Y330" s="484">
        <v>44286</v>
      </c>
      <c r="Z330" s="484">
        <v>44286</v>
      </c>
      <c r="AA330" s="484">
        <v>44423</v>
      </c>
      <c r="AB330" s="485" t="s">
        <v>2735</v>
      </c>
      <c r="AC330" s="483" t="s">
        <v>3445</v>
      </c>
      <c r="AD330" s="485" t="s">
        <v>3446</v>
      </c>
      <c r="AE330" s="486" t="s">
        <v>3447</v>
      </c>
      <c r="AF330" s="473">
        <v>933489693</v>
      </c>
      <c r="AM330" s="212"/>
    </row>
    <row r="331" spans="1:50" ht="15.75" hidden="1" customHeight="1" x14ac:dyDescent="0.35">
      <c r="A331" s="476" t="s">
        <v>2126</v>
      </c>
      <c r="B331" s="477">
        <v>281078765</v>
      </c>
      <c r="C331" s="515" t="s">
        <v>3448</v>
      </c>
      <c r="D331" s="478">
        <v>326</v>
      </c>
      <c r="E331" s="309">
        <v>20214000011953</v>
      </c>
      <c r="F331" s="479">
        <v>44263</v>
      </c>
      <c r="G331" s="478" t="s">
        <v>2578</v>
      </c>
      <c r="H331" s="212" t="s">
        <v>2579</v>
      </c>
      <c r="I331" s="212" t="s">
        <v>47</v>
      </c>
      <c r="J331" s="480">
        <v>281078765</v>
      </c>
      <c r="K331" s="212" t="s">
        <v>37</v>
      </c>
      <c r="L331" s="212" t="s">
        <v>81</v>
      </c>
      <c r="M331" s="212" t="s">
        <v>44</v>
      </c>
      <c r="N331" s="212" t="s">
        <v>45</v>
      </c>
      <c r="O331" s="212" t="s">
        <v>310</v>
      </c>
      <c r="P331" s="212" t="s">
        <v>87</v>
      </c>
      <c r="R331" s="212">
        <v>344</v>
      </c>
      <c r="S331" s="490">
        <v>44263</v>
      </c>
      <c r="T331" s="486" t="s">
        <v>3401</v>
      </c>
      <c r="U331" s="480">
        <v>281078765</v>
      </c>
      <c r="V331" s="406"/>
      <c r="W331" s="399"/>
      <c r="X331" s="483" t="s">
        <v>3449</v>
      </c>
      <c r="Y331" s="484">
        <v>44326</v>
      </c>
      <c r="Z331" s="484">
        <v>44326</v>
      </c>
      <c r="AA331" s="484">
        <v>44448</v>
      </c>
      <c r="AB331" s="486" t="s">
        <v>3450</v>
      </c>
      <c r="AC331" s="483" t="s">
        <v>3451</v>
      </c>
      <c r="AD331" s="486" t="s">
        <v>3452</v>
      </c>
      <c r="AE331" s="486" t="s">
        <v>3453</v>
      </c>
      <c r="AF331" s="473">
        <v>279541451</v>
      </c>
      <c r="AH331" s="480"/>
      <c r="AI331" s="480"/>
      <c r="AM331" s="212"/>
    </row>
    <row r="332" spans="1:50" ht="15" hidden="1" customHeight="1" x14ac:dyDescent="0.35">
      <c r="A332" s="466" t="s">
        <v>1873</v>
      </c>
      <c r="B332" s="467">
        <v>22713150</v>
      </c>
      <c r="C332" s="212" t="s">
        <v>2544</v>
      </c>
      <c r="D332" s="469">
        <v>327</v>
      </c>
      <c r="E332" s="469">
        <v>20217000012923</v>
      </c>
      <c r="F332" s="470">
        <v>44264</v>
      </c>
      <c r="G332" s="469" t="s">
        <v>2545</v>
      </c>
      <c r="H332" s="468" t="s">
        <v>2546</v>
      </c>
      <c r="I332" s="468" t="s">
        <v>164</v>
      </c>
      <c r="J332" s="471">
        <v>22713150</v>
      </c>
      <c r="K332" s="468" t="s">
        <v>138</v>
      </c>
      <c r="L332" s="468" t="s">
        <v>139</v>
      </c>
      <c r="M332" s="468" t="s">
        <v>44</v>
      </c>
      <c r="N332" s="468" t="s">
        <v>45</v>
      </c>
      <c r="O332" s="468" t="s">
        <v>142</v>
      </c>
      <c r="P332" s="468" t="s">
        <v>43</v>
      </c>
      <c r="Q332" s="468"/>
      <c r="R332" s="468">
        <v>345</v>
      </c>
      <c r="S332" s="528">
        <v>44264</v>
      </c>
      <c r="T332" s="529" t="s">
        <v>3454</v>
      </c>
      <c r="U332" s="471">
        <v>22713150</v>
      </c>
      <c r="V332" s="414"/>
      <c r="W332" s="379"/>
      <c r="X332" s="483" t="s">
        <v>3455</v>
      </c>
      <c r="Y332" s="484">
        <v>44293</v>
      </c>
      <c r="Z332" s="484">
        <v>44293</v>
      </c>
      <c r="AA332" s="484">
        <v>44476</v>
      </c>
      <c r="AB332" s="485" t="s">
        <v>2548</v>
      </c>
      <c r="AC332" s="483" t="s">
        <v>3238</v>
      </c>
      <c r="AD332" s="485" t="s">
        <v>3456</v>
      </c>
      <c r="AE332" s="486" t="s">
        <v>3457</v>
      </c>
      <c r="AF332" s="473">
        <v>13627890</v>
      </c>
      <c r="AI332" s="471"/>
      <c r="AJ332" s="471"/>
      <c r="AK332" s="471"/>
      <c r="AL332" s="471">
        <v>1741342</v>
      </c>
      <c r="AM332" s="306">
        <v>2271315</v>
      </c>
    </row>
    <row r="333" spans="1:50" ht="15" hidden="1" customHeight="1" x14ac:dyDescent="0.35">
      <c r="A333" s="476" t="s">
        <v>1908</v>
      </c>
      <c r="B333" s="477">
        <v>29981358</v>
      </c>
      <c r="C333" s="212" t="s">
        <v>2544</v>
      </c>
      <c r="D333" s="478">
        <v>328</v>
      </c>
      <c r="E333" s="478">
        <v>20217000012933</v>
      </c>
      <c r="F333" s="479">
        <v>44264</v>
      </c>
      <c r="G333" s="478" t="s">
        <v>2545</v>
      </c>
      <c r="H333" s="212" t="s">
        <v>2546</v>
      </c>
      <c r="I333" s="212" t="s">
        <v>164</v>
      </c>
      <c r="J333" s="475">
        <v>29981358</v>
      </c>
      <c r="K333" s="212" t="s">
        <v>138</v>
      </c>
      <c r="L333" s="212" t="s">
        <v>139</v>
      </c>
      <c r="M333" s="212" t="s">
        <v>44</v>
      </c>
      <c r="N333" s="212" t="s">
        <v>45</v>
      </c>
      <c r="O333" s="212" t="s">
        <v>142</v>
      </c>
      <c r="P333" s="212" t="s">
        <v>43</v>
      </c>
      <c r="R333" s="212">
        <v>346</v>
      </c>
      <c r="S333" s="490">
        <v>44264</v>
      </c>
      <c r="T333" s="486" t="s">
        <v>3458</v>
      </c>
      <c r="U333" s="475">
        <v>29981358</v>
      </c>
      <c r="V333" s="406"/>
      <c r="W333" s="362"/>
      <c r="X333" s="483" t="s">
        <v>3459</v>
      </c>
      <c r="Y333" s="484">
        <v>44299</v>
      </c>
      <c r="Z333" s="484">
        <v>44299</v>
      </c>
      <c r="AA333" s="484">
        <v>44482</v>
      </c>
      <c r="AB333" s="485" t="s">
        <v>2548</v>
      </c>
      <c r="AC333" s="483" t="s">
        <v>3460</v>
      </c>
      <c r="AD333" s="485" t="s">
        <v>3461</v>
      </c>
      <c r="AE333" s="486" t="s">
        <v>2699</v>
      </c>
      <c r="AF333" s="473">
        <v>16353468</v>
      </c>
      <c r="AL333" s="475">
        <v>1544494</v>
      </c>
      <c r="AM333" s="306">
        <v>2725578</v>
      </c>
    </row>
    <row r="334" spans="1:50" ht="15" hidden="1" customHeight="1" x14ac:dyDescent="0.35">
      <c r="A334" s="476" t="s">
        <v>2194</v>
      </c>
      <c r="B334" s="477">
        <v>32500000</v>
      </c>
      <c r="C334" s="212" t="s">
        <v>2544</v>
      </c>
      <c r="D334" s="478">
        <v>329</v>
      </c>
      <c r="E334" s="309">
        <v>20211100013443</v>
      </c>
      <c r="F334" s="310">
        <v>44265</v>
      </c>
      <c r="G334" s="309" t="s">
        <v>2545</v>
      </c>
      <c r="H334" s="210" t="s">
        <v>2546</v>
      </c>
      <c r="I334" s="210" t="s">
        <v>206</v>
      </c>
      <c r="J334" s="407">
        <v>32500000</v>
      </c>
      <c r="K334" s="210" t="s">
        <v>138</v>
      </c>
      <c r="L334" s="210" t="s">
        <v>139</v>
      </c>
      <c r="M334" s="210" t="s">
        <v>44</v>
      </c>
      <c r="N334" s="210" t="s">
        <v>45</v>
      </c>
      <c r="O334" s="210" t="s">
        <v>142</v>
      </c>
      <c r="P334" s="210" t="s">
        <v>43</v>
      </c>
      <c r="Q334" s="210"/>
      <c r="R334" s="210">
        <v>370</v>
      </c>
      <c r="S334" s="490">
        <v>44265</v>
      </c>
      <c r="T334" s="486" t="s">
        <v>3462</v>
      </c>
      <c r="U334" s="475">
        <v>32500000</v>
      </c>
      <c r="V334" s="415"/>
      <c r="W334" s="401"/>
      <c r="X334" s="483" t="s">
        <v>3463</v>
      </c>
      <c r="Y334" s="484">
        <v>44278</v>
      </c>
      <c r="Z334" s="484">
        <v>44278</v>
      </c>
      <c r="AA334" s="484">
        <v>44421</v>
      </c>
      <c r="AB334" s="485" t="s">
        <v>2548</v>
      </c>
      <c r="AC334" s="483" t="s">
        <v>3464</v>
      </c>
      <c r="AD334" s="485" t="s">
        <v>3465</v>
      </c>
      <c r="AE334" s="486" t="s">
        <v>3466</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x14ac:dyDescent="0.35">
      <c r="A335" s="476" t="s">
        <v>1864</v>
      </c>
      <c r="B335" s="477">
        <v>53148771</v>
      </c>
      <c r="C335" s="212" t="s">
        <v>2544</v>
      </c>
      <c r="D335" s="478">
        <v>330</v>
      </c>
      <c r="E335" s="478">
        <v>20216000014143</v>
      </c>
      <c r="F335" s="310">
        <v>44265</v>
      </c>
      <c r="G335" s="478" t="s">
        <v>2545</v>
      </c>
      <c r="H335" s="212" t="s">
        <v>2546</v>
      </c>
      <c r="I335" s="212" t="s">
        <v>214</v>
      </c>
      <c r="J335" s="475">
        <v>53148771</v>
      </c>
      <c r="K335" s="212" t="s">
        <v>138</v>
      </c>
      <c r="L335" s="212" t="s">
        <v>139</v>
      </c>
      <c r="M335" s="212" t="s">
        <v>44</v>
      </c>
      <c r="N335" s="212" t="s">
        <v>45</v>
      </c>
      <c r="O335" s="212" t="s">
        <v>142</v>
      </c>
      <c r="P335" s="212" t="s">
        <v>43</v>
      </c>
      <c r="R335" s="212">
        <v>406</v>
      </c>
      <c r="S335" s="490">
        <v>44266</v>
      </c>
      <c r="T335" s="486" t="s">
        <v>3467</v>
      </c>
      <c r="U335" s="475">
        <v>53148771</v>
      </c>
      <c r="V335" s="406"/>
      <c r="W335" s="362"/>
      <c r="X335" s="483" t="s">
        <v>3270</v>
      </c>
      <c r="Y335" s="484">
        <v>44278</v>
      </c>
      <c r="Z335" s="484">
        <v>44278</v>
      </c>
      <c r="AA335" s="484">
        <v>44553</v>
      </c>
      <c r="AB335" s="485" t="s">
        <v>2548</v>
      </c>
      <c r="AC335" s="483" t="s">
        <v>3468</v>
      </c>
      <c r="AD335" s="485" t="s">
        <v>3469</v>
      </c>
      <c r="AE335" s="486" t="s">
        <v>3470</v>
      </c>
      <c r="AF335" s="473">
        <v>53148771</v>
      </c>
      <c r="AK335" s="475">
        <v>1181084</v>
      </c>
      <c r="AL335" s="475">
        <v>5905419</v>
      </c>
      <c r="AM335" s="306">
        <v>5905419</v>
      </c>
    </row>
    <row r="336" spans="1:50" ht="15" hidden="1" customHeight="1" x14ac:dyDescent="0.35">
      <c r="A336" s="476" t="s">
        <v>1890</v>
      </c>
      <c r="B336" s="477">
        <v>44574000</v>
      </c>
      <c r="C336" s="212" t="s">
        <v>2544</v>
      </c>
      <c r="D336" s="478">
        <v>331</v>
      </c>
      <c r="E336" s="478">
        <v>20212000014723</v>
      </c>
      <c r="F336" s="479">
        <v>44271</v>
      </c>
      <c r="G336" s="478" t="s">
        <v>2538</v>
      </c>
      <c r="H336" s="212" t="s">
        <v>2539</v>
      </c>
      <c r="I336" s="212" t="s">
        <v>391</v>
      </c>
      <c r="J336" s="475">
        <v>42228000</v>
      </c>
      <c r="K336" s="210" t="s">
        <v>2609</v>
      </c>
      <c r="L336" s="212" t="s">
        <v>2610</v>
      </c>
      <c r="M336" s="212" t="s">
        <v>44</v>
      </c>
      <c r="N336" s="212" t="s">
        <v>45</v>
      </c>
      <c r="O336" s="212" t="s">
        <v>63</v>
      </c>
      <c r="P336" s="212" t="s">
        <v>674</v>
      </c>
      <c r="R336" s="486">
        <v>438</v>
      </c>
      <c r="S336" s="490">
        <v>44272</v>
      </c>
      <c r="T336" s="486" t="s">
        <v>3471</v>
      </c>
      <c r="U336" s="475">
        <v>42228000</v>
      </c>
      <c r="V336" s="406"/>
      <c r="W336" s="362"/>
      <c r="X336" s="483" t="s">
        <v>3472</v>
      </c>
      <c r="Y336" s="484">
        <v>44278</v>
      </c>
      <c r="Z336" s="484">
        <v>44278</v>
      </c>
      <c r="AA336" s="484">
        <v>44553</v>
      </c>
      <c r="AB336" s="485" t="s">
        <v>2548</v>
      </c>
      <c r="AC336" s="483" t="s">
        <v>3473</v>
      </c>
      <c r="AD336" s="485" t="s">
        <v>3474</v>
      </c>
      <c r="AE336" s="486" t="s">
        <v>3475</v>
      </c>
      <c r="AF336" s="473">
        <v>42228000</v>
      </c>
      <c r="AL336" s="475">
        <v>5786800</v>
      </c>
      <c r="AM336" s="306">
        <v>4692000</v>
      </c>
    </row>
    <row r="337" spans="1:39" hidden="1" x14ac:dyDescent="0.35">
      <c r="A337" s="476" t="s">
        <v>2061</v>
      </c>
      <c r="B337" s="477">
        <v>36000000</v>
      </c>
      <c r="C337" s="212" t="s">
        <v>2544</v>
      </c>
      <c r="D337" s="478">
        <v>332</v>
      </c>
      <c r="E337" s="478">
        <v>20215000012663</v>
      </c>
      <c r="F337" s="479">
        <v>44264</v>
      </c>
      <c r="G337" s="478" t="s">
        <v>2538</v>
      </c>
      <c r="H337" s="212" t="s">
        <v>2539</v>
      </c>
      <c r="I337" s="212" t="s">
        <v>228</v>
      </c>
      <c r="J337" s="475">
        <v>36000000</v>
      </c>
      <c r="K337" s="212" t="s">
        <v>223</v>
      </c>
      <c r="L337" s="212" t="s">
        <v>2656</v>
      </c>
      <c r="M337" s="212" t="s">
        <v>44</v>
      </c>
      <c r="N337" s="212" t="s">
        <v>45</v>
      </c>
      <c r="O337" s="212" t="s">
        <v>63</v>
      </c>
      <c r="P337" s="212" t="s">
        <v>674</v>
      </c>
      <c r="R337" s="212">
        <v>351</v>
      </c>
      <c r="S337" s="490">
        <v>44264</v>
      </c>
      <c r="T337" s="486" t="s">
        <v>3476</v>
      </c>
      <c r="U337" s="475">
        <f>36000000-9000000</f>
        <v>27000000</v>
      </c>
      <c r="V337" s="406">
        <v>9000000</v>
      </c>
      <c r="W337" s="362"/>
      <c r="X337" s="308" t="s">
        <v>3477</v>
      </c>
      <c r="Y337" s="472">
        <v>44286</v>
      </c>
      <c r="Z337" s="472">
        <v>44286</v>
      </c>
      <c r="AA337" s="472">
        <v>44561</v>
      </c>
      <c r="AB337" s="2" t="s">
        <v>2548</v>
      </c>
      <c r="AC337" s="211" t="s">
        <v>3478</v>
      </c>
      <c r="AD337" s="2" t="s">
        <v>3479</v>
      </c>
      <c r="AE337" s="212" t="s">
        <v>3480</v>
      </c>
      <c r="AF337" s="473">
        <v>27000000</v>
      </c>
      <c r="AL337" s="475">
        <v>3000000</v>
      </c>
      <c r="AM337" s="306">
        <v>3000000</v>
      </c>
    </row>
    <row r="338" spans="1:39" hidden="1" x14ac:dyDescent="0.35">
      <c r="A338" s="476" t="s">
        <v>2326</v>
      </c>
      <c r="B338" s="477">
        <v>42500000</v>
      </c>
      <c r="C338" s="212" t="s">
        <v>2544</v>
      </c>
      <c r="D338" s="478">
        <v>333</v>
      </c>
      <c r="E338" s="478">
        <v>20215000012783</v>
      </c>
      <c r="F338" s="479">
        <v>44264</v>
      </c>
      <c r="G338" s="478" t="s">
        <v>2538</v>
      </c>
      <c r="H338" s="212" t="s">
        <v>2539</v>
      </c>
      <c r="I338" s="212" t="s">
        <v>228</v>
      </c>
      <c r="J338" s="475">
        <v>42500000</v>
      </c>
      <c r="K338" s="212" t="s">
        <v>223</v>
      </c>
      <c r="L338" s="212" t="s">
        <v>236</v>
      </c>
      <c r="M338" s="212" t="s">
        <v>44</v>
      </c>
      <c r="N338" s="212" t="s">
        <v>45</v>
      </c>
      <c r="O338" s="212" t="s">
        <v>63</v>
      </c>
      <c r="P338" s="212" t="s">
        <v>674</v>
      </c>
      <c r="R338" s="212">
        <v>360</v>
      </c>
      <c r="S338" s="490">
        <v>44264</v>
      </c>
      <c r="T338" s="486" t="s">
        <v>3481</v>
      </c>
      <c r="U338" s="475">
        <f>42500000-850000</f>
        <v>41650000</v>
      </c>
      <c r="V338" s="406">
        <v>850000</v>
      </c>
      <c r="W338" s="362"/>
      <c r="X338" s="483" t="s">
        <v>3482</v>
      </c>
      <c r="Y338" s="484">
        <v>44298</v>
      </c>
      <c r="Z338" s="484">
        <v>44298</v>
      </c>
      <c r="AA338" s="484">
        <v>44561</v>
      </c>
      <c r="AB338" s="485" t="s">
        <v>2548</v>
      </c>
      <c r="AC338" s="483" t="s">
        <v>3483</v>
      </c>
      <c r="AD338" s="485" t="s">
        <v>3484</v>
      </c>
      <c r="AE338" s="486" t="s">
        <v>3485</v>
      </c>
      <c r="AF338" s="473">
        <v>41650000</v>
      </c>
      <c r="AL338" s="475">
        <v>3103333</v>
      </c>
      <c r="AM338" s="306">
        <v>4900000</v>
      </c>
    </row>
    <row r="339" spans="1:39" hidden="1" x14ac:dyDescent="0.35">
      <c r="A339" s="476" t="s">
        <v>2327</v>
      </c>
      <c r="B339" s="477">
        <v>42500000</v>
      </c>
      <c r="C339" s="212" t="s">
        <v>2544</v>
      </c>
      <c r="D339" s="478">
        <v>334</v>
      </c>
      <c r="E339" s="478">
        <v>20215000012793</v>
      </c>
      <c r="F339" s="479">
        <v>44264</v>
      </c>
      <c r="G339" s="478" t="s">
        <v>2538</v>
      </c>
      <c r="H339" s="212" t="s">
        <v>2539</v>
      </c>
      <c r="I339" s="212" t="s">
        <v>228</v>
      </c>
      <c r="J339" s="475">
        <v>42500000</v>
      </c>
      <c r="K339" s="212" t="s">
        <v>223</v>
      </c>
      <c r="L339" s="212" t="s">
        <v>236</v>
      </c>
      <c r="M339" s="212" t="s">
        <v>44</v>
      </c>
      <c r="N339" s="212" t="s">
        <v>45</v>
      </c>
      <c r="O339" s="212" t="s">
        <v>63</v>
      </c>
      <c r="P339" s="212" t="s">
        <v>674</v>
      </c>
      <c r="R339" s="212">
        <v>361</v>
      </c>
      <c r="S339" s="490">
        <v>44264</v>
      </c>
      <c r="T339" s="486" t="s">
        <v>3486</v>
      </c>
      <c r="U339" s="475">
        <f>42500000-100000</f>
        <v>42400000</v>
      </c>
      <c r="V339" s="406">
        <v>100000</v>
      </c>
      <c r="W339" s="362"/>
      <c r="X339" s="483" t="s">
        <v>3487</v>
      </c>
      <c r="Y339" s="484">
        <v>44306</v>
      </c>
      <c r="Z339" s="484">
        <v>44306</v>
      </c>
      <c r="AA339" s="484">
        <v>44550</v>
      </c>
      <c r="AB339" s="485" t="s">
        <v>2548</v>
      </c>
      <c r="AC339" s="483" t="s">
        <v>3488</v>
      </c>
      <c r="AD339" s="485" t="s">
        <v>3489</v>
      </c>
      <c r="AE339" s="486" t="s">
        <v>3490</v>
      </c>
      <c r="AF339" s="473">
        <v>42400000</v>
      </c>
      <c r="AL339" s="475">
        <v>1943333</v>
      </c>
      <c r="AM339" s="306">
        <v>5300000</v>
      </c>
    </row>
    <row r="340" spans="1:39" hidden="1" x14ac:dyDescent="0.35">
      <c r="A340" s="476" t="s">
        <v>1815</v>
      </c>
      <c r="B340" s="477">
        <v>42500000</v>
      </c>
      <c r="C340" s="212" t="s">
        <v>2544</v>
      </c>
      <c r="D340" s="478">
        <v>335</v>
      </c>
      <c r="E340" s="478">
        <v>20215000012803</v>
      </c>
      <c r="F340" s="479">
        <v>44264</v>
      </c>
      <c r="G340" s="478" t="s">
        <v>2538</v>
      </c>
      <c r="H340" s="212" t="s">
        <v>2539</v>
      </c>
      <c r="I340" s="212" t="s">
        <v>228</v>
      </c>
      <c r="J340" s="475">
        <v>42500000</v>
      </c>
      <c r="K340" s="212" t="s">
        <v>223</v>
      </c>
      <c r="L340" s="212" t="s">
        <v>236</v>
      </c>
      <c r="M340" s="212" t="s">
        <v>44</v>
      </c>
      <c r="N340" s="212" t="s">
        <v>45</v>
      </c>
      <c r="O340" s="212" t="s">
        <v>63</v>
      </c>
      <c r="P340" s="212" t="s">
        <v>674</v>
      </c>
      <c r="R340" s="212">
        <v>362</v>
      </c>
      <c r="S340" s="490">
        <v>44264</v>
      </c>
      <c r="T340" s="486" t="s">
        <v>3491</v>
      </c>
      <c r="U340" s="475">
        <f>42500000-100000</f>
        <v>42400000</v>
      </c>
      <c r="V340" s="406">
        <v>100000</v>
      </c>
      <c r="W340" s="362"/>
      <c r="X340" s="483" t="s">
        <v>3492</v>
      </c>
      <c r="Y340" s="484">
        <v>44299</v>
      </c>
      <c r="Z340" s="484">
        <v>44299</v>
      </c>
      <c r="AA340" s="484">
        <v>44543</v>
      </c>
      <c r="AB340" s="485" t="s">
        <v>2548</v>
      </c>
      <c r="AC340" s="483" t="s">
        <v>3493</v>
      </c>
      <c r="AD340" s="485" t="s">
        <v>3494</v>
      </c>
      <c r="AE340" s="486" t="s">
        <v>3495</v>
      </c>
      <c r="AF340" s="473">
        <v>42400000</v>
      </c>
      <c r="AL340" s="475">
        <v>3180000</v>
      </c>
      <c r="AM340" s="306">
        <v>5300000</v>
      </c>
    </row>
    <row r="341" spans="1:39" hidden="1" x14ac:dyDescent="0.35">
      <c r="A341" s="476" t="s">
        <v>2328</v>
      </c>
      <c r="B341" s="477">
        <v>28800000</v>
      </c>
      <c r="C341" s="212" t="s">
        <v>2544</v>
      </c>
      <c r="D341" s="478">
        <v>336</v>
      </c>
      <c r="E341" s="478">
        <v>20215000012853</v>
      </c>
      <c r="F341" s="479">
        <v>44264</v>
      </c>
      <c r="G341" s="478" t="s">
        <v>2538</v>
      </c>
      <c r="H341" s="212" t="s">
        <v>2539</v>
      </c>
      <c r="I341" s="212" t="s">
        <v>228</v>
      </c>
      <c r="J341" s="475">
        <v>28800000</v>
      </c>
      <c r="K341" s="212" t="s">
        <v>223</v>
      </c>
      <c r="L341" s="212" t="s">
        <v>283</v>
      </c>
      <c r="M341" s="212" t="s">
        <v>44</v>
      </c>
      <c r="N341" s="212" t="s">
        <v>45</v>
      </c>
      <c r="O341" s="212" t="s">
        <v>63</v>
      </c>
      <c r="P341" s="212" t="s">
        <v>674</v>
      </c>
      <c r="R341" s="212">
        <v>364</v>
      </c>
      <c r="S341" s="490">
        <v>44264</v>
      </c>
      <c r="T341" s="486" t="s">
        <v>3496</v>
      </c>
      <c r="U341" s="475">
        <v>28800000</v>
      </c>
      <c r="V341" s="406"/>
      <c r="W341" s="362"/>
      <c r="X341" s="483" t="s">
        <v>3497</v>
      </c>
      <c r="Y341" s="484">
        <v>44313</v>
      </c>
      <c r="Z341" s="484">
        <v>44313</v>
      </c>
      <c r="AA341" s="484">
        <v>44561</v>
      </c>
      <c r="AB341" s="485" t="s">
        <v>2548</v>
      </c>
      <c r="AC341" s="483" t="s">
        <v>3439</v>
      </c>
      <c r="AD341" s="485" t="s">
        <v>3498</v>
      </c>
      <c r="AE341" s="486" t="s">
        <v>3499</v>
      </c>
      <c r="AF341" s="473">
        <v>28800000</v>
      </c>
      <c r="AM341" s="212"/>
    </row>
    <row r="342" spans="1:39" hidden="1" x14ac:dyDescent="0.35">
      <c r="A342" s="476" t="s">
        <v>2330</v>
      </c>
      <c r="B342" s="477">
        <v>42400000</v>
      </c>
      <c r="C342" s="212" t="s">
        <v>2544</v>
      </c>
      <c r="D342" s="478">
        <v>337</v>
      </c>
      <c r="E342" s="478">
        <v>20215000012863</v>
      </c>
      <c r="F342" s="479">
        <v>44264</v>
      </c>
      <c r="G342" s="478" t="s">
        <v>2538</v>
      </c>
      <c r="H342" s="212" t="s">
        <v>2539</v>
      </c>
      <c r="I342" s="212" t="s">
        <v>228</v>
      </c>
      <c r="J342" s="475">
        <v>42400000</v>
      </c>
      <c r="K342" s="212" t="s">
        <v>223</v>
      </c>
      <c r="L342" s="212" t="s">
        <v>283</v>
      </c>
      <c r="M342" s="212" t="s">
        <v>44</v>
      </c>
      <c r="N342" s="212" t="s">
        <v>45</v>
      </c>
      <c r="O342" s="212" t="s">
        <v>63</v>
      </c>
      <c r="P342" s="212" t="s">
        <v>674</v>
      </c>
      <c r="R342" s="212">
        <v>365</v>
      </c>
      <c r="S342" s="490">
        <v>44264</v>
      </c>
      <c r="T342" s="486" t="s">
        <v>3500</v>
      </c>
      <c r="U342" s="475">
        <v>42400000</v>
      </c>
      <c r="V342" s="406"/>
      <c r="W342" s="362"/>
      <c r="X342" s="483" t="s">
        <v>3501</v>
      </c>
      <c r="Y342" s="484">
        <v>44306</v>
      </c>
      <c r="Z342" s="484">
        <v>44306</v>
      </c>
      <c r="AA342" s="484">
        <v>44549</v>
      </c>
      <c r="AB342" s="485" t="s">
        <v>2548</v>
      </c>
      <c r="AC342" s="483" t="s">
        <v>3502</v>
      </c>
      <c r="AD342" s="485" t="s">
        <v>3503</v>
      </c>
      <c r="AE342" s="486" t="s">
        <v>3504</v>
      </c>
      <c r="AF342" s="473">
        <v>42400000</v>
      </c>
      <c r="AL342" s="475">
        <v>1943333</v>
      </c>
      <c r="AM342" s="306">
        <v>5300000</v>
      </c>
    </row>
    <row r="343" spans="1:39" hidden="1" x14ac:dyDescent="0.35">
      <c r="A343" s="476" t="s">
        <v>2325</v>
      </c>
      <c r="B343" s="477">
        <v>50150000</v>
      </c>
      <c r="C343" s="212" t="s">
        <v>2544</v>
      </c>
      <c r="D343" s="478">
        <v>338</v>
      </c>
      <c r="E343" s="309">
        <v>20215000012683</v>
      </c>
      <c r="F343" s="479">
        <v>44264</v>
      </c>
      <c r="G343" s="309" t="s">
        <v>2538</v>
      </c>
      <c r="H343" s="210" t="s">
        <v>2539</v>
      </c>
      <c r="I343" s="210" t="s">
        <v>228</v>
      </c>
      <c r="J343" s="407">
        <v>50150000</v>
      </c>
      <c r="K343" s="212" t="s">
        <v>288</v>
      </c>
      <c r="L343" s="212" t="s">
        <v>2634</v>
      </c>
      <c r="M343" s="212" t="s">
        <v>44</v>
      </c>
      <c r="N343" s="212" t="s">
        <v>45</v>
      </c>
      <c r="O343" s="212" t="s">
        <v>63</v>
      </c>
      <c r="P343" s="212" t="s">
        <v>674</v>
      </c>
      <c r="R343" s="212">
        <v>352</v>
      </c>
      <c r="S343" s="490">
        <v>44264</v>
      </c>
      <c r="T343" s="486" t="s">
        <v>3505</v>
      </c>
      <c r="U343" s="475">
        <v>50150000</v>
      </c>
      <c r="V343" s="406"/>
      <c r="W343" s="362"/>
      <c r="X343" s="211" t="s">
        <v>3506</v>
      </c>
      <c r="Y343" s="472">
        <v>44300</v>
      </c>
      <c r="Z343" s="472">
        <v>44300</v>
      </c>
      <c r="AA343" s="472">
        <v>44561</v>
      </c>
      <c r="AB343" s="2" t="s">
        <v>2548</v>
      </c>
      <c r="AC343" s="211" t="s">
        <v>3507</v>
      </c>
      <c r="AD343" s="2" t="s">
        <v>3508</v>
      </c>
      <c r="AE343" s="212" t="s">
        <v>3509</v>
      </c>
      <c r="AF343" s="473">
        <v>50150000</v>
      </c>
      <c r="AL343" s="475">
        <v>3540000</v>
      </c>
      <c r="AM343" s="306">
        <v>5900000</v>
      </c>
    </row>
    <row r="344" spans="1:39" hidden="1" x14ac:dyDescent="0.35">
      <c r="A344" s="476" t="s">
        <v>2065</v>
      </c>
      <c r="B344" s="477">
        <v>50150000</v>
      </c>
      <c r="C344" s="212" t="s">
        <v>2544</v>
      </c>
      <c r="D344" s="478">
        <v>339</v>
      </c>
      <c r="E344" s="478">
        <v>20215000012693</v>
      </c>
      <c r="F344" s="479">
        <v>44264</v>
      </c>
      <c r="G344" s="309" t="s">
        <v>2538</v>
      </c>
      <c r="H344" s="210" t="s">
        <v>2539</v>
      </c>
      <c r="I344" s="210" t="s">
        <v>228</v>
      </c>
      <c r="J344" s="407">
        <v>50150000</v>
      </c>
      <c r="K344" s="212" t="s">
        <v>288</v>
      </c>
      <c r="L344" s="212" t="s">
        <v>2634</v>
      </c>
      <c r="M344" s="212" t="s">
        <v>44</v>
      </c>
      <c r="N344" s="212" t="s">
        <v>45</v>
      </c>
      <c r="O344" s="212" t="s">
        <v>63</v>
      </c>
      <c r="P344" s="212" t="s">
        <v>674</v>
      </c>
      <c r="R344" s="212">
        <v>353</v>
      </c>
      <c r="S344" s="490">
        <v>44264</v>
      </c>
      <c r="T344" s="486" t="s">
        <v>3510</v>
      </c>
      <c r="U344" s="475">
        <v>50150000</v>
      </c>
      <c r="V344" s="406"/>
      <c r="W344" s="362"/>
      <c r="X344" s="483" t="s">
        <v>3511</v>
      </c>
      <c r="Y344" s="484">
        <v>44298</v>
      </c>
      <c r="Z344" s="484">
        <v>44298</v>
      </c>
      <c r="AA344" s="484">
        <v>44561</v>
      </c>
      <c r="AB344" s="485" t="s">
        <v>2548</v>
      </c>
      <c r="AC344" s="483" t="s">
        <v>3512</v>
      </c>
      <c r="AD344" s="485" t="s">
        <v>3513</v>
      </c>
      <c r="AE344" s="486" t="s">
        <v>3514</v>
      </c>
      <c r="AF344" s="473">
        <v>50150000</v>
      </c>
      <c r="AL344" s="475">
        <v>3736667</v>
      </c>
      <c r="AM344" s="306">
        <v>5900000</v>
      </c>
    </row>
    <row r="345" spans="1:39" hidden="1" x14ac:dyDescent="0.35">
      <c r="A345" s="476" t="s">
        <v>1929</v>
      </c>
      <c r="B345" s="477">
        <v>50150000</v>
      </c>
      <c r="C345" s="212" t="s">
        <v>2544</v>
      </c>
      <c r="D345" s="478">
        <v>340</v>
      </c>
      <c r="E345" s="478">
        <v>20215000012703</v>
      </c>
      <c r="F345" s="479">
        <v>44264</v>
      </c>
      <c r="G345" s="309" t="s">
        <v>2538</v>
      </c>
      <c r="H345" s="210" t="s">
        <v>2539</v>
      </c>
      <c r="I345" s="210" t="s">
        <v>228</v>
      </c>
      <c r="J345" s="407">
        <v>50150000</v>
      </c>
      <c r="K345" s="212" t="s">
        <v>288</v>
      </c>
      <c r="L345" s="212" t="s">
        <v>2634</v>
      </c>
      <c r="M345" s="212" t="s">
        <v>44</v>
      </c>
      <c r="N345" s="212" t="s">
        <v>45</v>
      </c>
      <c r="O345" s="212" t="s">
        <v>63</v>
      </c>
      <c r="P345" s="212" t="s">
        <v>674</v>
      </c>
      <c r="R345" s="212">
        <v>354</v>
      </c>
      <c r="S345" s="490">
        <v>44264</v>
      </c>
      <c r="T345" s="486" t="s">
        <v>3515</v>
      </c>
      <c r="U345" s="475">
        <f>50150000-50150000</f>
        <v>0</v>
      </c>
      <c r="V345" s="406">
        <v>50150000</v>
      </c>
      <c r="W345" s="678" t="s">
        <v>1428</v>
      </c>
      <c r="AM345" s="212"/>
    </row>
    <row r="346" spans="1:39" hidden="1" x14ac:dyDescent="0.35">
      <c r="A346" s="476" t="s">
        <v>1725</v>
      </c>
      <c r="B346" s="477">
        <v>50150000</v>
      </c>
      <c r="C346" s="212" t="s">
        <v>2544</v>
      </c>
      <c r="D346" s="478">
        <v>341</v>
      </c>
      <c r="E346" s="478">
        <v>20215000012713</v>
      </c>
      <c r="F346" s="479">
        <v>44264</v>
      </c>
      <c r="G346" s="309" t="s">
        <v>2538</v>
      </c>
      <c r="H346" s="210" t="s">
        <v>2539</v>
      </c>
      <c r="I346" s="210" t="s">
        <v>228</v>
      </c>
      <c r="J346" s="407">
        <v>50150000</v>
      </c>
      <c r="K346" s="212" t="s">
        <v>288</v>
      </c>
      <c r="L346" s="212" t="s">
        <v>2634</v>
      </c>
      <c r="M346" s="212" t="s">
        <v>44</v>
      </c>
      <c r="N346" s="212" t="s">
        <v>45</v>
      </c>
      <c r="O346" s="212" t="s">
        <v>63</v>
      </c>
      <c r="P346" s="212" t="s">
        <v>674</v>
      </c>
      <c r="R346" s="212">
        <v>355</v>
      </c>
      <c r="S346" s="490">
        <v>44264</v>
      </c>
      <c r="T346" s="486" t="s">
        <v>3516</v>
      </c>
      <c r="U346" s="475">
        <v>50150000</v>
      </c>
      <c r="V346" s="406"/>
      <c r="W346" s="362"/>
      <c r="X346" s="483" t="s">
        <v>3517</v>
      </c>
      <c r="Y346" s="484">
        <v>44298</v>
      </c>
      <c r="Z346" s="484">
        <v>44298</v>
      </c>
      <c r="AA346" s="484">
        <v>44561</v>
      </c>
      <c r="AB346" s="485" t="s">
        <v>2548</v>
      </c>
      <c r="AC346" s="483" t="s">
        <v>3518</v>
      </c>
      <c r="AD346" s="485" t="s">
        <v>3519</v>
      </c>
      <c r="AE346" s="486" t="s">
        <v>3520</v>
      </c>
      <c r="AF346" s="473">
        <v>50150000</v>
      </c>
      <c r="AL346" s="475">
        <v>3736667</v>
      </c>
      <c r="AM346" s="306">
        <v>5900000</v>
      </c>
    </row>
    <row r="347" spans="1:39" hidden="1" x14ac:dyDescent="0.35">
      <c r="A347" s="476" t="s">
        <v>2335</v>
      </c>
      <c r="B347" s="477">
        <v>44000000</v>
      </c>
      <c r="C347" s="212" t="s">
        <v>2544</v>
      </c>
      <c r="D347" s="478">
        <v>342</v>
      </c>
      <c r="E347" s="478">
        <v>20215000012723</v>
      </c>
      <c r="F347" s="479">
        <v>44264</v>
      </c>
      <c r="G347" s="309" t="s">
        <v>2538</v>
      </c>
      <c r="H347" s="210" t="s">
        <v>2539</v>
      </c>
      <c r="I347" s="210" t="s">
        <v>228</v>
      </c>
      <c r="J347" s="407">
        <v>44000000</v>
      </c>
      <c r="K347" s="212" t="s">
        <v>288</v>
      </c>
      <c r="L347" s="212" t="s">
        <v>2634</v>
      </c>
      <c r="M347" s="212" t="s">
        <v>44</v>
      </c>
      <c r="N347" s="212" t="s">
        <v>45</v>
      </c>
      <c r="O347" s="212" t="s">
        <v>63</v>
      </c>
      <c r="P347" s="212" t="s">
        <v>674</v>
      </c>
      <c r="R347" s="212">
        <v>356</v>
      </c>
      <c r="S347" s="490">
        <v>44264</v>
      </c>
      <c r="T347" s="486" t="s">
        <v>3521</v>
      </c>
      <c r="U347" s="475">
        <f>44000000-12000000</f>
        <v>32000000</v>
      </c>
      <c r="V347" s="406">
        <v>12000000</v>
      </c>
      <c r="W347" s="362"/>
      <c r="X347" s="483" t="s">
        <v>3522</v>
      </c>
      <c r="Y347" s="484">
        <v>44299</v>
      </c>
      <c r="Z347" s="484">
        <v>44299</v>
      </c>
      <c r="AA347" s="484">
        <v>44543</v>
      </c>
      <c r="AB347" s="485" t="s">
        <v>2548</v>
      </c>
      <c r="AC347" s="483" t="s">
        <v>3523</v>
      </c>
      <c r="AD347" s="485" t="s">
        <v>3524</v>
      </c>
      <c r="AE347" s="486" t="s">
        <v>3525</v>
      </c>
      <c r="AF347" s="473">
        <v>32000000</v>
      </c>
      <c r="AL347" s="475">
        <v>2266667</v>
      </c>
      <c r="AM347" s="306">
        <v>4000000</v>
      </c>
    </row>
    <row r="348" spans="1:39" hidden="1" x14ac:dyDescent="0.35">
      <c r="A348" s="476" t="s">
        <v>1930</v>
      </c>
      <c r="B348" s="477">
        <v>34100000</v>
      </c>
      <c r="C348" s="212" t="s">
        <v>2544</v>
      </c>
      <c r="D348" s="478">
        <v>343</v>
      </c>
      <c r="E348" s="478">
        <v>20215000012753</v>
      </c>
      <c r="F348" s="479">
        <v>44264</v>
      </c>
      <c r="G348" s="309" t="s">
        <v>2538</v>
      </c>
      <c r="H348" s="210" t="s">
        <v>2539</v>
      </c>
      <c r="I348" s="210" t="s">
        <v>228</v>
      </c>
      <c r="J348" s="407">
        <v>34100000</v>
      </c>
      <c r="K348" s="212" t="s">
        <v>288</v>
      </c>
      <c r="L348" s="212" t="s">
        <v>2634</v>
      </c>
      <c r="M348" s="212" t="s">
        <v>44</v>
      </c>
      <c r="N348" s="212" t="s">
        <v>45</v>
      </c>
      <c r="O348" s="212" t="s">
        <v>63</v>
      </c>
      <c r="P348" s="212" t="s">
        <v>674</v>
      </c>
      <c r="R348" s="212">
        <v>357</v>
      </c>
      <c r="S348" s="490">
        <v>44264</v>
      </c>
      <c r="T348" s="486" t="s">
        <v>3526</v>
      </c>
      <c r="U348" s="475">
        <f>34100000-11150000</f>
        <v>22950000</v>
      </c>
      <c r="V348" s="406">
        <v>11150000</v>
      </c>
      <c r="W348" s="362"/>
      <c r="X348" s="483" t="s">
        <v>3527</v>
      </c>
      <c r="Y348" s="484">
        <v>44298</v>
      </c>
      <c r="Z348" s="484">
        <v>44298</v>
      </c>
      <c r="AA348" s="484">
        <v>44561</v>
      </c>
      <c r="AB348" s="485" t="s">
        <v>2548</v>
      </c>
      <c r="AC348" s="483" t="s">
        <v>3528</v>
      </c>
      <c r="AD348" s="485" t="s">
        <v>3529</v>
      </c>
      <c r="AE348" s="486" t="s">
        <v>3530</v>
      </c>
      <c r="AF348" s="473">
        <v>22950000</v>
      </c>
      <c r="AL348" s="475">
        <v>1710000</v>
      </c>
      <c r="AM348" s="306">
        <v>2700000</v>
      </c>
    </row>
    <row r="349" spans="1:39" hidden="1" x14ac:dyDescent="0.35">
      <c r="A349" s="476" t="s">
        <v>1932</v>
      </c>
      <c r="B349" s="477">
        <v>34100000</v>
      </c>
      <c r="C349" s="212" t="s">
        <v>2544</v>
      </c>
      <c r="D349" s="478">
        <v>344</v>
      </c>
      <c r="E349" s="478">
        <v>20215000012763</v>
      </c>
      <c r="F349" s="479">
        <v>44264</v>
      </c>
      <c r="G349" s="309" t="s">
        <v>2538</v>
      </c>
      <c r="H349" s="210" t="s">
        <v>2539</v>
      </c>
      <c r="I349" s="210" t="s">
        <v>228</v>
      </c>
      <c r="J349" s="407">
        <v>34100000</v>
      </c>
      <c r="K349" s="212" t="s">
        <v>288</v>
      </c>
      <c r="L349" s="212" t="s">
        <v>2634</v>
      </c>
      <c r="M349" s="212" t="s">
        <v>44</v>
      </c>
      <c r="N349" s="212" t="s">
        <v>45</v>
      </c>
      <c r="O349" s="212" t="s">
        <v>63</v>
      </c>
      <c r="P349" s="212" t="s">
        <v>674</v>
      </c>
      <c r="R349" s="212">
        <v>358</v>
      </c>
      <c r="S349" s="490">
        <v>44264</v>
      </c>
      <c r="T349" s="486" t="s">
        <v>3531</v>
      </c>
      <c r="U349" s="475">
        <f>34100000-3500000</f>
        <v>30600000</v>
      </c>
      <c r="V349" s="406">
        <v>3500000</v>
      </c>
      <c r="W349" s="362"/>
      <c r="X349" s="483" t="s">
        <v>3532</v>
      </c>
      <c r="Y349" s="484">
        <v>44298</v>
      </c>
      <c r="Z349" s="484">
        <v>44298</v>
      </c>
      <c r="AA349" s="484">
        <v>44561</v>
      </c>
      <c r="AB349" s="485" t="s">
        <v>2548</v>
      </c>
      <c r="AC349" s="483" t="s">
        <v>3533</v>
      </c>
      <c r="AD349" s="485" t="s">
        <v>3534</v>
      </c>
      <c r="AE349" s="486" t="s">
        <v>3535</v>
      </c>
      <c r="AF349" s="473">
        <v>30600000</v>
      </c>
      <c r="AL349" s="475">
        <v>2280000</v>
      </c>
      <c r="AM349" s="306">
        <v>3600000</v>
      </c>
    </row>
    <row r="350" spans="1:39" hidden="1" x14ac:dyDescent="0.35">
      <c r="A350" s="476" t="s">
        <v>1974</v>
      </c>
      <c r="B350" s="477">
        <v>34100000</v>
      </c>
      <c r="C350" s="212" t="s">
        <v>2544</v>
      </c>
      <c r="D350" s="478">
        <v>345</v>
      </c>
      <c r="E350" s="478">
        <v>20215000012773</v>
      </c>
      <c r="F350" s="479">
        <v>44264</v>
      </c>
      <c r="G350" s="309" t="s">
        <v>2538</v>
      </c>
      <c r="H350" s="210" t="s">
        <v>2539</v>
      </c>
      <c r="I350" s="210" t="s">
        <v>228</v>
      </c>
      <c r="J350" s="407">
        <v>34100000</v>
      </c>
      <c r="K350" s="212" t="s">
        <v>288</v>
      </c>
      <c r="L350" s="212" t="s">
        <v>2634</v>
      </c>
      <c r="M350" s="212" t="s">
        <v>44</v>
      </c>
      <c r="N350" s="212" t="s">
        <v>45</v>
      </c>
      <c r="O350" s="212" t="s">
        <v>63</v>
      </c>
      <c r="P350" s="212" t="s">
        <v>674</v>
      </c>
      <c r="R350" s="212">
        <v>359</v>
      </c>
      <c r="S350" s="490">
        <v>44264</v>
      </c>
      <c r="T350" s="486" t="s">
        <v>3536</v>
      </c>
      <c r="U350" s="475">
        <f>34100000-12500000</f>
        <v>21600000</v>
      </c>
      <c r="V350" s="406">
        <v>12500000</v>
      </c>
      <c r="W350" s="362"/>
      <c r="X350" s="483" t="s">
        <v>3537</v>
      </c>
      <c r="Y350" s="484">
        <v>44307</v>
      </c>
      <c r="Z350" s="484">
        <v>44307</v>
      </c>
      <c r="AA350" s="484">
        <v>44550</v>
      </c>
      <c r="AB350" s="485" t="s">
        <v>2548</v>
      </c>
      <c r="AC350" s="483" t="s">
        <v>3395</v>
      </c>
      <c r="AD350" s="485" t="s">
        <v>3538</v>
      </c>
      <c r="AE350" s="486" t="s">
        <v>3539</v>
      </c>
      <c r="AF350" s="473">
        <v>21600000</v>
      </c>
      <c r="AL350" s="475">
        <v>810000</v>
      </c>
      <c r="AM350" s="306">
        <v>2700000</v>
      </c>
    </row>
    <row r="351" spans="1:39" hidden="1" x14ac:dyDescent="0.35">
      <c r="A351" s="476" t="s">
        <v>1721</v>
      </c>
      <c r="B351" s="477">
        <v>34100000</v>
      </c>
      <c r="C351" s="212" t="s">
        <v>2544</v>
      </c>
      <c r="D351" s="478">
        <v>346</v>
      </c>
      <c r="E351" s="478">
        <v>20215000012843</v>
      </c>
      <c r="F351" s="479">
        <v>44264</v>
      </c>
      <c r="G351" s="309" t="s">
        <v>2538</v>
      </c>
      <c r="H351" s="210" t="s">
        <v>2539</v>
      </c>
      <c r="I351" s="210" t="s">
        <v>228</v>
      </c>
      <c r="J351" s="407">
        <v>34100000</v>
      </c>
      <c r="K351" s="212" t="s">
        <v>288</v>
      </c>
      <c r="L351" s="212" t="s">
        <v>2634</v>
      </c>
      <c r="M351" s="212" t="s">
        <v>44</v>
      </c>
      <c r="N351" s="212" t="s">
        <v>45</v>
      </c>
      <c r="O351" s="212" t="s">
        <v>63</v>
      </c>
      <c r="P351" s="212" t="s">
        <v>674</v>
      </c>
      <c r="R351" s="212">
        <v>363</v>
      </c>
      <c r="S351" s="490">
        <v>44264</v>
      </c>
      <c r="T351" s="486" t="s">
        <v>3540</v>
      </c>
      <c r="U351" s="475">
        <f>34100000-2100000</f>
        <v>32000000</v>
      </c>
      <c r="V351" s="406">
        <v>2100000</v>
      </c>
      <c r="W351" s="362"/>
      <c r="X351" s="483" t="s">
        <v>3541</v>
      </c>
      <c r="Y351" s="484">
        <v>44306</v>
      </c>
      <c r="Z351" s="484">
        <v>44306</v>
      </c>
      <c r="AA351" s="484">
        <v>44550</v>
      </c>
      <c r="AB351" s="485" t="s">
        <v>2548</v>
      </c>
      <c r="AC351" s="483" t="s">
        <v>3542</v>
      </c>
      <c r="AD351" s="485" t="s">
        <v>3543</v>
      </c>
      <c r="AE351" s="486" t="s">
        <v>3544</v>
      </c>
      <c r="AF351" s="473">
        <v>32000000</v>
      </c>
      <c r="AL351" s="475">
        <v>1466667</v>
      </c>
      <c r="AM351" s="306">
        <v>4000000</v>
      </c>
    </row>
    <row r="352" spans="1:39" hidden="1" x14ac:dyDescent="0.35">
      <c r="A352" s="476" t="s">
        <v>1730</v>
      </c>
      <c r="B352" s="477">
        <v>64000000</v>
      </c>
      <c r="C352" s="212" t="s">
        <v>2544</v>
      </c>
      <c r="D352" s="478">
        <v>347</v>
      </c>
      <c r="E352" s="478">
        <v>20213000013103</v>
      </c>
      <c r="F352" s="479">
        <v>44264</v>
      </c>
      <c r="G352" s="478" t="s">
        <v>2538</v>
      </c>
      <c r="H352" s="212" t="s">
        <v>2539</v>
      </c>
      <c r="I352" s="212" t="s">
        <v>432</v>
      </c>
      <c r="J352" s="475">
        <v>64000000</v>
      </c>
      <c r="K352" s="212" t="s">
        <v>342</v>
      </c>
      <c r="L352" s="212" t="s">
        <v>351</v>
      </c>
      <c r="M352" s="212" t="s">
        <v>44</v>
      </c>
      <c r="N352" s="212" t="s">
        <v>45</v>
      </c>
      <c r="O352" s="212" t="s">
        <v>63</v>
      </c>
      <c r="P352" s="212" t="s">
        <v>674</v>
      </c>
      <c r="R352" s="212">
        <v>366</v>
      </c>
      <c r="S352" s="490">
        <v>44264</v>
      </c>
      <c r="T352" s="486" t="s">
        <v>3545</v>
      </c>
      <c r="U352" s="475">
        <v>64000000</v>
      </c>
      <c r="V352" s="406"/>
      <c r="W352" s="362"/>
      <c r="X352" s="483" t="s">
        <v>3546</v>
      </c>
      <c r="Y352" s="484">
        <v>44285</v>
      </c>
      <c r="Z352" s="484">
        <v>44285</v>
      </c>
      <c r="AA352" s="484">
        <v>44530</v>
      </c>
      <c r="AB352" s="485" t="s">
        <v>2548</v>
      </c>
      <c r="AC352" s="483" t="s">
        <v>3547</v>
      </c>
      <c r="AD352" s="485" t="s">
        <v>3548</v>
      </c>
      <c r="AE352" s="486" t="s">
        <v>2727</v>
      </c>
      <c r="AF352" s="473">
        <v>64000000</v>
      </c>
      <c r="AK352" s="475">
        <v>266667</v>
      </c>
      <c r="AL352" s="475">
        <v>8000000</v>
      </c>
      <c r="AM352" s="306">
        <v>8000000</v>
      </c>
    </row>
    <row r="353" spans="1:50" ht="15" hidden="1" customHeight="1" x14ac:dyDescent="0.35">
      <c r="A353" s="476" t="s">
        <v>2478</v>
      </c>
      <c r="B353" s="477">
        <v>20000000</v>
      </c>
      <c r="C353" s="212" t="s">
        <v>2544</v>
      </c>
      <c r="D353" s="478">
        <v>348</v>
      </c>
      <c r="E353" s="309">
        <v>20214000008313</v>
      </c>
      <c r="F353" s="310">
        <v>44243</v>
      </c>
      <c r="G353" s="478" t="s">
        <v>2578</v>
      </c>
      <c r="H353" s="212" t="s">
        <v>2579</v>
      </c>
      <c r="I353" s="212" t="s">
        <v>47</v>
      </c>
      <c r="J353" s="475">
        <v>18000000</v>
      </c>
      <c r="K353" s="212" t="s">
        <v>37</v>
      </c>
      <c r="L353" s="212" t="s">
        <v>2580</v>
      </c>
      <c r="M353" s="212" t="s">
        <v>44</v>
      </c>
      <c r="N353" s="212" t="s">
        <v>45</v>
      </c>
      <c r="O353" s="212" t="s">
        <v>310</v>
      </c>
      <c r="P353" s="212" t="s">
        <v>43</v>
      </c>
      <c r="R353" s="212">
        <v>258</v>
      </c>
      <c r="S353" s="479">
        <v>44244</v>
      </c>
      <c r="T353" s="212" t="s">
        <v>3549</v>
      </c>
      <c r="U353" s="475">
        <v>18000000</v>
      </c>
      <c r="V353" s="406"/>
      <c r="W353" s="362"/>
      <c r="X353" s="483" t="s">
        <v>3550</v>
      </c>
      <c r="Y353" s="484">
        <v>44278</v>
      </c>
      <c r="Z353" s="484">
        <v>44278</v>
      </c>
      <c r="AA353" s="484">
        <v>44400</v>
      </c>
      <c r="AB353" s="485" t="s">
        <v>2548</v>
      </c>
      <c r="AC353" s="483" t="s">
        <v>3551</v>
      </c>
      <c r="AD353" s="485" t="s">
        <v>3552</v>
      </c>
      <c r="AE353" s="486" t="s">
        <v>3553</v>
      </c>
      <c r="AF353" s="473">
        <v>16352000</v>
      </c>
      <c r="AG353" s="474">
        <f t="shared" ref="AG353:AG416" si="6">+U353-AF353</f>
        <v>1648000</v>
      </c>
      <c r="AK353" s="475">
        <v>953867</v>
      </c>
      <c r="AL353" s="475">
        <v>4088000</v>
      </c>
      <c r="AM353" s="306">
        <v>4088000</v>
      </c>
    </row>
    <row r="354" spans="1:50" s="312" customFormat="1" ht="15" hidden="1" customHeight="1" x14ac:dyDescent="0.35">
      <c r="A354" s="361" t="s">
        <v>3554</v>
      </c>
      <c r="B354" s="417">
        <v>60000000</v>
      </c>
      <c r="C354" s="312" t="s">
        <v>3555</v>
      </c>
      <c r="D354" s="325">
        <v>349</v>
      </c>
      <c r="E354" s="325">
        <v>20215000013323</v>
      </c>
      <c r="F354" s="315">
        <v>44264</v>
      </c>
      <c r="G354" s="325" t="s">
        <v>2538</v>
      </c>
      <c r="H354" s="312" t="s">
        <v>2539</v>
      </c>
      <c r="I354" s="312" t="s">
        <v>228</v>
      </c>
      <c r="J354" s="406">
        <v>30000000</v>
      </c>
      <c r="K354" s="312" t="s">
        <v>223</v>
      </c>
      <c r="L354" s="312" t="s">
        <v>224</v>
      </c>
      <c r="M354" s="312" t="s">
        <v>44</v>
      </c>
      <c r="N354" s="312" t="s">
        <v>2834</v>
      </c>
      <c r="O354" s="312" t="s">
        <v>132</v>
      </c>
      <c r="P354" s="312" t="s">
        <v>674</v>
      </c>
      <c r="R354" s="312">
        <v>367</v>
      </c>
      <c r="S354" s="363">
        <v>44264</v>
      </c>
      <c r="T354" s="360" t="s">
        <v>3556</v>
      </c>
      <c r="U354" s="405">
        <f>30000000-30000000</f>
        <v>0</v>
      </c>
      <c r="V354" s="406">
        <v>30000000</v>
      </c>
      <c r="W354" s="362" t="s">
        <v>1428</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x14ac:dyDescent="0.35">
      <c r="A355" s="476" t="s">
        <v>1805</v>
      </c>
      <c r="B355" s="477">
        <v>80000000</v>
      </c>
      <c r="C355" s="212" t="s">
        <v>2544</v>
      </c>
      <c r="D355" s="309">
        <v>350</v>
      </c>
      <c r="E355" s="478">
        <v>20214000013573</v>
      </c>
      <c r="F355" s="310">
        <v>44265</v>
      </c>
      <c r="G355" s="478" t="s">
        <v>2578</v>
      </c>
      <c r="H355" s="212" t="s">
        <v>2579</v>
      </c>
      <c r="I355" s="212" t="s">
        <v>47</v>
      </c>
      <c r="J355" s="475">
        <v>48000000</v>
      </c>
      <c r="K355" s="212" t="s">
        <v>37</v>
      </c>
      <c r="L355" s="212" t="s">
        <v>2580</v>
      </c>
      <c r="M355" s="212" t="s">
        <v>44</v>
      </c>
      <c r="N355" s="212" t="s">
        <v>45</v>
      </c>
      <c r="O355" s="212" t="s">
        <v>310</v>
      </c>
      <c r="P355" s="212" t="s">
        <v>43</v>
      </c>
      <c r="Q355" s="212"/>
      <c r="R355" s="212">
        <v>375</v>
      </c>
      <c r="S355" s="490">
        <v>44265</v>
      </c>
      <c r="T355" s="486" t="s">
        <v>3557</v>
      </c>
      <c r="U355" s="475">
        <v>48000000</v>
      </c>
      <c r="V355" s="406"/>
      <c r="W355" s="362"/>
      <c r="X355" s="483" t="s">
        <v>3315</v>
      </c>
      <c r="Y355" s="484">
        <v>44278</v>
      </c>
      <c r="Z355" s="484">
        <v>44278</v>
      </c>
      <c r="AA355" s="484">
        <v>44462</v>
      </c>
      <c r="AB355" s="485" t="s">
        <v>2548</v>
      </c>
      <c r="AC355" s="483" t="s">
        <v>3558</v>
      </c>
      <c r="AD355" s="485" t="s">
        <v>3559</v>
      </c>
      <c r="AE355" s="486" t="s">
        <v>3560</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x14ac:dyDescent="0.35">
      <c r="A356" s="361" t="s">
        <v>3561</v>
      </c>
      <c r="B356" s="417">
        <v>35551026</v>
      </c>
      <c r="C356" s="312" t="s">
        <v>2660</v>
      </c>
      <c r="D356" s="325">
        <v>351</v>
      </c>
      <c r="E356" s="325">
        <v>20214000013493</v>
      </c>
      <c r="F356" s="315">
        <v>44265</v>
      </c>
      <c r="G356" s="325" t="s">
        <v>2578</v>
      </c>
      <c r="H356" s="312" t="s">
        <v>2579</v>
      </c>
      <c r="I356" s="312" t="s">
        <v>47</v>
      </c>
      <c r="J356" s="405">
        <v>23700000</v>
      </c>
      <c r="K356" s="312" t="s">
        <v>37</v>
      </c>
      <c r="L356" s="312" t="s">
        <v>2580</v>
      </c>
      <c r="M356" s="312" t="s">
        <v>44</v>
      </c>
      <c r="N356" s="312" t="s">
        <v>45</v>
      </c>
      <c r="O356" s="212" t="s">
        <v>310</v>
      </c>
      <c r="P356" s="312" t="s">
        <v>43</v>
      </c>
      <c r="R356" s="312">
        <v>371</v>
      </c>
      <c r="S356" s="363">
        <v>44265</v>
      </c>
      <c r="T356" s="360" t="s">
        <v>3562</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x14ac:dyDescent="0.35">
      <c r="A357" s="476" t="s">
        <v>2480</v>
      </c>
      <c r="B357" s="477">
        <v>27000000</v>
      </c>
      <c r="C357" s="212" t="s">
        <v>2544</v>
      </c>
      <c r="D357" s="478">
        <v>352</v>
      </c>
      <c r="E357" s="478">
        <v>20214000013513</v>
      </c>
      <c r="F357" s="310">
        <v>44265</v>
      </c>
      <c r="G357" s="478" t="s">
        <v>2578</v>
      </c>
      <c r="H357" s="212" t="s">
        <v>2579</v>
      </c>
      <c r="I357" s="212" t="s">
        <v>47</v>
      </c>
      <c r="J357" s="475">
        <v>18000000</v>
      </c>
      <c r="K357" s="212" t="s">
        <v>37</v>
      </c>
      <c r="L357" s="212" t="s">
        <v>2580</v>
      </c>
      <c r="M357" s="212" t="s">
        <v>44</v>
      </c>
      <c r="N357" s="212" t="s">
        <v>45</v>
      </c>
      <c r="O357" s="212" t="s">
        <v>310</v>
      </c>
      <c r="P357" s="212" t="s">
        <v>43</v>
      </c>
      <c r="R357" s="212">
        <v>372</v>
      </c>
      <c r="S357" s="490">
        <v>44265</v>
      </c>
      <c r="T357" s="486" t="s">
        <v>3563</v>
      </c>
      <c r="U357" s="475">
        <v>18000000</v>
      </c>
      <c r="V357" s="406"/>
      <c r="W357" s="362"/>
      <c r="X357" s="483" t="s">
        <v>3564</v>
      </c>
      <c r="Y357" s="484">
        <v>44299</v>
      </c>
      <c r="Z357" s="484">
        <v>44299</v>
      </c>
      <c r="AA357" s="484">
        <v>44482</v>
      </c>
      <c r="AB357" s="485" t="s">
        <v>2548</v>
      </c>
      <c r="AC357" s="483" t="s">
        <v>3565</v>
      </c>
      <c r="AD357" s="485" t="s">
        <v>3566</v>
      </c>
      <c r="AE357" s="486" t="s">
        <v>3567</v>
      </c>
      <c r="AF357" s="473">
        <v>18000000</v>
      </c>
      <c r="AG357" s="474">
        <f t="shared" si="6"/>
        <v>0</v>
      </c>
      <c r="AL357" s="475">
        <v>1800000</v>
      </c>
      <c r="AM357" s="306">
        <v>3000000</v>
      </c>
    </row>
    <row r="358" spans="1:50" ht="15" hidden="1" customHeight="1" x14ac:dyDescent="0.35">
      <c r="A358" s="476" t="s">
        <v>2474</v>
      </c>
      <c r="B358" s="477">
        <v>67500000</v>
      </c>
      <c r="C358" s="212" t="s">
        <v>2544</v>
      </c>
      <c r="D358" s="478">
        <v>353</v>
      </c>
      <c r="E358" s="478">
        <v>20214000013523</v>
      </c>
      <c r="F358" s="310">
        <v>44265</v>
      </c>
      <c r="G358" s="478" t="s">
        <v>2578</v>
      </c>
      <c r="H358" s="212" t="s">
        <v>2579</v>
      </c>
      <c r="I358" s="212" t="s">
        <v>47</v>
      </c>
      <c r="J358" s="475">
        <v>45000000</v>
      </c>
      <c r="K358" s="212" t="s">
        <v>37</v>
      </c>
      <c r="L358" s="212" t="s">
        <v>2580</v>
      </c>
      <c r="M358" s="212" t="s">
        <v>44</v>
      </c>
      <c r="N358" s="212" t="s">
        <v>45</v>
      </c>
      <c r="O358" s="212" t="s">
        <v>310</v>
      </c>
      <c r="P358" s="212" t="s">
        <v>43</v>
      </c>
      <c r="R358" s="212">
        <v>373</v>
      </c>
      <c r="S358" s="490">
        <v>44265</v>
      </c>
      <c r="T358" s="486" t="s">
        <v>3568</v>
      </c>
      <c r="U358" s="475">
        <v>45000000</v>
      </c>
      <c r="V358" s="406"/>
      <c r="W358" s="362"/>
      <c r="X358" s="308">
        <v>397</v>
      </c>
      <c r="Y358" s="484">
        <v>44295</v>
      </c>
      <c r="Z358" s="484">
        <v>44295</v>
      </c>
      <c r="AA358" s="484">
        <v>44478</v>
      </c>
      <c r="AB358" s="485" t="s">
        <v>2548</v>
      </c>
      <c r="AC358" s="483" t="s">
        <v>3569</v>
      </c>
      <c r="AD358" s="485" t="s">
        <v>3570</v>
      </c>
      <c r="AE358" s="486" t="s">
        <v>3571</v>
      </c>
      <c r="AF358" s="473">
        <v>45000000</v>
      </c>
      <c r="AG358" s="474">
        <f t="shared" si="6"/>
        <v>0</v>
      </c>
      <c r="AL358" s="475">
        <v>5500000</v>
      </c>
      <c r="AM358" s="306">
        <v>7500000</v>
      </c>
    </row>
    <row r="359" spans="1:50" ht="15" hidden="1" customHeight="1" x14ac:dyDescent="0.35">
      <c r="A359" s="476" t="s">
        <v>2136</v>
      </c>
      <c r="B359" s="477">
        <v>73039148</v>
      </c>
      <c r="C359" s="212" t="s">
        <v>2544</v>
      </c>
      <c r="D359" s="478">
        <v>354</v>
      </c>
      <c r="E359" s="478">
        <v>20214000013533</v>
      </c>
      <c r="F359" s="310">
        <v>44265</v>
      </c>
      <c r="G359" s="478" t="s">
        <v>2571</v>
      </c>
      <c r="H359" s="212" t="s">
        <v>2572</v>
      </c>
      <c r="I359" s="212" t="s">
        <v>117</v>
      </c>
      <c r="J359" s="475">
        <v>48000000</v>
      </c>
      <c r="K359" s="212" t="s">
        <v>112</v>
      </c>
      <c r="L359" s="212" t="s">
        <v>2573</v>
      </c>
      <c r="M359" s="212" t="s">
        <v>44</v>
      </c>
      <c r="N359" s="212" t="s">
        <v>45</v>
      </c>
      <c r="O359" s="212" t="s">
        <v>63</v>
      </c>
      <c r="P359" s="212" t="s">
        <v>43</v>
      </c>
      <c r="R359" s="212">
        <v>374</v>
      </c>
      <c r="S359" s="490">
        <v>44265</v>
      </c>
      <c r="T359" s="486" t="s">
        <v>3572</v>
      </c>
      <c r="U359" s="475">
        <v>48000000</v>
      </c>
      <c r="V359" s="406"/>
      <c r="W359" s="362"/>
      <c r="X359" s="483" t="s">
        <v>3451</v>
      </c>
      <c r="Y359" s="484">
        <v>44292</v>
      </c>
      <c r="Z359" s="484">
        <v>44292</v>
      </c>
      <c r="AA359" s="484">
        <v>44475</v>
      </c>
      <c r="AB359" s="485" t="s">
        <v>2548</v>
      </c>
      <c r="AC359" s="483" t="s">
        <v>3318</v>
      </c>
      <c r="AD359" s="485" t="s">
        <v>3573</v>
      </c>
      <c r="AE359" s="486" t="s">
        <v>3574</v>
      </c>
      <c r="AF359" s="473">
        <v>48000000</v>
      </c>
      <c r="AG359" s="474">
        <f t="shared" si="6"/>
        <v>0</v>
      </c>
      <c r="AL359" s="475">
        <v>6666666</v>
      </c>
      <c r="AM359" s="306">
        <v>8000000</v>
      </c>
    </row>
    <row r="360" spans="1:50" ht="15" hidden="1" customHeight="1" x14ac:dyDescent="0.35">
      <c r="A360" s="476" t="s">
        <v>3575</v>
      </c>
      <c r="B360" s="477">
        <v>8000000</v>
      </c>
      <c r="C360" s="212" t="s">
        <v>3576</v>
      </c>
      <c r="D360" s="478">
        <v>355</v>
      </c>
      <c r="E360" s="478">
        <v>20211300002603</v>
      </c>
      <c r="F360" s="479">
        <v>44221</v>
      </c>
      <c r="G360" s="478" t="s">
        <v>2545</v>
      </c>
      <c r="H360" s="212" t="s">
        <v>2546</v>
      </c>
      <c r="I360" s="212" t="s">
        <v>210</v>
      </c>
      <c r="J360" s="475">
        <v>7979521</v>
      </c>
      <c r="K360" s="212" t="s">
        <v>138</v>
      </c>
      <c r="L360" s="212" t="s">
        <v>139</v>
      </c>
      <c r="M360" s="212" t="s">
        <v>44</v>
      </c>
      <c r="N360" s="212" t="s">
        <v>45</v>
      </c>
      <c r="O360" s="212" t="s">
        <v>142</v>
      </c>
      <c r="P360" s="212" t="s">
        <v>43</v>
      </c>
      <c r="R360" s="212">
        <v>88</v>
      </c>
      <c r="S360" s="479">
        <v>44221</v>
      </c>
      <c r="T360" s="212" t="s">
        <v>3575</v>
      </c>
      <c r="U360" s="475">
        <v>7979521</v>
      </c>
      <c r="V360" s="406"/>
      <c r="W360" s="362"/>
      <c r="X360" s="308">
        <v>296</v>
      </c>
      <c r="Y360" s="484">
        <v>44278</v>
      </c>
      <c r="Z360" s="484">
        <v>44278</v>
      </c>
      <c r="AA360" s="484">
        <v>44462</v>
      </c>
      <c r="AB360" s="485" t="s">
        <v>2548</v>
      </c>
      <c r="AC360" s="211">
        <v>207</v>
      </c>
      <c r="AD360" s="492" t="s">
        <v>3577</v>
      </c>
      <c r="AE360" s="493" t="s">
        <v>3578</v>
      </c>
      <c r="AF360" s="473">
        <v>7977760</v>
      </c>
      <c r="AG360" s="474">
        <f t="shared" si="6"/>
        <v>1761</v>
      </c>
      <c r="AM360" s="306">
        <v>7977760</v>
      </c>
    </row>
    <row r="361" spans="1:50" ht="15" hidden="1" customHeight="1" x14ac:dyDescent="0.35">
      <c r="A361" s="476" t="s">
        <v>1814</v>
      </c>
      <c r="B361" s="477">
        <v>33000000</v>
      </c>
      <c r="C361" s="212" t="s">
        <v>2544</v>
      </c>
      <c r="D361" s="478">
        <v>356</v>
      </c>
      <c r="E361" s="478">
        <v>20215000002873</v>
      </c>
      <c r="F361" s="479">
        <v>44225</v>
      </c>
      <c r="G361" s="478" t="s">
        <v>2538</v>
      </c>
      <c r="H361" s="212" t="s">
        <v>2539</v>
      </c>
      <c r="I361" s="212" t="s">
        <v>228</v>
      </c>
      <c r="J361" s="475">
        <v>33000000</v>
      </c>
      <c r="K361" s="212" t="s">
        <v>223</v>
      </c>
      <c r="L361" s="212" t="s">
        <v>236</v>
      </c>
      <c r="M361" s="212" t="s">
        <v>44</v>
      </c>
      <c r="N361" s="212" t="s">
        <v>45</v>
      </c>
      <c r="O361" s="212" t="s">
        <v>63</v>
      </c>
      <c r="P361" s="212" t="s">
        <v>674</v>
      </c>
      <c r="R361" s="212">
        <v>128</v>
      </c>
      <c r="S361" s="479">
        <v>44225</v>
      </c>
      <c r="T361" s="212" t="s">
        <v>3579</v>
      </c>
      <c r="U361" s="475">
        <f>33000000-13200000</f>
        <v>19800000</v>
      </c>
      <c r="V361" s="406">
        <v>13200000</v>
      </c>
      <c r="W361" s="362"/>
      <c r="X361" s="483" t="s">
        <v>3580</v>
      </c>
      <c r="Y361" s="484">
        <v>44278</v>
      </c>
      <c r="Z361" s="484">
        <v>44278</v>
      </c>
      <c r="AA361" s="484">
        <v>44553</v>
      </c>
      <c r="AB361" s="485" t="s">
        <v>2548</v>
      </c>
      <c r="AC361" s="483" t="s">
        <v>3581</v>
      </c>
      <c r="AD361" s="485" t="s">
        <v>3582</v>
      </c>
      <c r="AE361" s="486" t="s">
        <v>3583</v>
      </c>
      <c r="AF361" s="473">
        <v>19800000</v>
      </c>
      <c r="AG361" s="474">
        <f t="shared" si="6"/>
        <v>0</v>
      </c>
      <c r="AL361" s="475">
        <v>2273333</v>
      </c>
      <c r="AM361" s="306">
        <v>2200000</v>
      </c>
    </row>
    <row r="362" spans="1:50" ht="15" hidden="1" customHeight="1" x14ac:dyDescent="0.35">
      <c r="A362" s="476" t="s">
        <v>2139</v>
      </c>
      <c r="B362" s="477">
        <v>35550000</v>
      </c>
      <c r="C362" s="212" t="s">
        <v>2544</v>
      </c>
      <c r="D362" s="478">
        <v>357</v>
      </c>
      <c r="E362" s="478">
        <v>20214000013583</v>
      </c>
      <c r="F362" s="310">
        <v>44265</v>
      </c>
      <c r="G362" s="478" t="s">
        <v>2571</v>
      </c>
      <c r="H362" s="212" t="s">
        <v>2572</v>
      </c>
      <c r="I362" s="212" t="s">
        <v>117</v>
      </c>
      <c r="J362" s="475">
        <v>23700000</v>
      </c>
      <c r="K362" s="212" t="s">
        <v>112</v>
      </c>
      <c r="L362" s="212" t="s">
        <v>2573</v>
      </c>
      <c r="M362" s="212" t="s">
        <v>44</v>
      </c>
      <c r="N362" s="212" t="s">
        <v>45</v>
      </c>
      <c r="O362" s="212" t="s">
        <v>63</v>
      </c>
      <c r="P362" s="212" t="s">
        <v>43</v>
      </c>
      <c r="R362" s="212">
        <v>376</v>
      </c>
      <c r="S362" s="490">
        <v>44265</v>
      </c>
      <c r="T362" s="486" t="s">
        <v>3584</v>
      </c>
      <c r="U362" s="475">
        <v>23700000</v>
      </c>
      <c r="V362" s="406"/>
      <c r="W362" s="362"/>
      <c r="X362" s="483" t="s">
        <v>3163</v>
      </c>
      <c r="Y362" s="484">
        <v>44286</v>
      </c>
      <c r="Z362" s="484">
        <v>44286</v>
      </c>
      <c r="AA362" s="484">
        <v>44469</v>
      </c>
      <c r="AB362" s="485" t="s">
        <v>2548</v>
      </c>
      <c r="AC362" s="483" t="s">
        <v>3585</v>
      </c>
      <c r="AD362" s="485" t="s">
        <v>3586</v>
      </c>
      <c r="AE362" s="486" t="s">
        <v>3587</v>
      </c>
      <c r="AF362" s="473">
        <v>23700000</v>
      </c>
      <c r="AG362" s="474">
        <f t="shared" si="6"/>
        <v>0</v>
      </c>
      <c r="AL362" s="475">
        <v>3423333</v>
      </c>
      <c r="AM362" s="306">
        <v>3950000</v>
      </c>
    </row>
    <row r="363" spans="1:50" ht="15" hidden="1" customHeight="1" x14ac:dyDescent="0.35">
      <c r="A363" s="476" t="s">
        <v>2482</v>
      </c>
      <c r="B363" s="477">
        <v>72000000</v>
      </c>
      <c r="C363" s="212" t="s">
        <v>2544</v>
      </c>
      <c r="D363" s="478">
        <v>358</v>
      </c>
      <c r="E363" s="478">
        <v>20214000013593</v>
      </c>
      <c r="F363" s="310">
        <v>44265</v>
      </c>
      <c r="G363" s="478" t="s">
        <v>2578</v>
      </c>
      <c r="H363" s="212" t="s">
        <v>2579</v>
      </c>
      <c r="I363" s="212" t="s">
        <v>47</v>
      </c>
      <c r="J363" s="475">
        <v>48000000</v>
      </c>
      <c r="K363" s="212" t="s">
        <v>37</v>
      </c>
      <c r="L363" s="212" t="s">
        <v>2580</v>
      </c>
      <c r="M363" s="212" t="s">
        <v>44</v>
      </c>
      <c r="N363" s="212" t="s">
        <v>45</v>
      </c>
      <c r="O363" s="212" t="s">
        <v>310</v>
      </c>
      <c r="P363" s="212" t="s">
        <v>43</v>
      </c>
      <c r="R363" s="212">
        <v>377</v>
      </c>
      <c r="S363" s="490">
        <v>44265</v>
      </c>
      <c r="T363" s="486" t="s">
        <v>3588</v>
      </c>
      <c r="U363" s="475">
        <v>48000000</v>
      </c>
      <c r="V363" s="406"/>
      <c r="W363" s="362"/>
      <c r="X363" s="483" t="s">
        <v>3589</v>
      </c>
      <c r="Y363" s="484">
        <v>44286</v>
      </c>
      <c r="Z363" s="484">
        <v>44286</v>
      </c>
      <c r="AA363" s="484">
        <v>44469</v>
      </c>
      <c r="AB363" s="485" t="s">
        <v>2548</v>
      </c>
      <c r="AC363" s="483" t="s">
        <v>3274</v>
      </c>
      <c r="AD363" s="485" t="s">
        <v>3590</v>
      </c>
      <c r="AE363" s="486" t="s">
        <v>3591</v>
      </c>
      <c r="AF363" s="473">
        <v>48000000</v>
      </c>
      <c r="AG363" s="474">
        <f t="shared" si="6"/>
        <v>0</v>
      </c>
      <c r="AL363" s="475">
        <v>6933333</v>
      </c>
      <c r="AM363" s="306">
        <v>8000000</v>
      </c>
    </row>
    <row r="364" spans="1:50" ht="15" hidden="1" customHeight="1" x14ac:dyDescent="0.35">
      <c r="A364" s="476" t="s">
        <v>3592</v>
      </c>
      <c r="B364" s="477">
        <v>27000000</v>
      </c>
      <c r="C364" s="212" t="s">
        <v>2544</v>
      </c>
      <c r="D364" s="478">
        <v>359</v>
      </c>
      <c r="E364" s="478">
        <v>20214000013603</v>
      </c>
      <c r="F364" s="310">
        <v>44265</v>
      </c>
      <c r="G364" s="478" t="s">
        <v>2571</v>
      </c>
      <c r="H364" s="212" t="s">
        <v>2572</v>
      </c>
      <c r="I364" s="212" t="s">
        <v>117</v>
      </c>
      <c r="J364" s="475">
        <v>18000000</v>
      </c>
      <c r="K364" s="212" t="s">
        <v>112</v>
      </c>
      <c r="L364" s="212" t="s">
        <v>2573</v>
      </c>
      <c r="M364" s="212" t="s">
        <v>44</v>
      </c>
      <c r="N364" s="212" t="s">
        <v>45</v>
      </c>
      <c r="O364" s="212" t="s">
        <v>63</v>
      </c>
      <c r="P364" s="212" t="s">
        <v>43</v>
      </c>
      <c r="R364" s="212">
        <v>378</v>
      </c>
      <c r="S364" s="490">
        <v>44265</v>
      </c>
      <c r="T364" s="486" t="s">
        <v>3593</v>
      </c>
      <c r="U364" s="475">
        <v>18000000</v>
      </c>
      <c r="V364" s="406"/>
      <c r="W364" s="362"/>
      <c r="X364" s="483" t="s">
        <v>3594</v>
      </c>
      <c r="Y364" s="484">
        <v>44286</v>
      </c>
      <c r="Z364" s="484">
        <v>44286</v>
      </c>
      <c r="AA364" s="484">
        <v>44469</v>
      </c>
      <c r="AB364" s="485" t="s">
        <v>2548</v>
      </c>
      <c r="AC364" s="483" t="s">
        <v>3279</v>
      </c>
      <c r="AD364" s="485" t="s">
        <v>3595</v>
      </c>
      <c r="AE364" s="486" t="s">
        <v>3596</v>
      </c>
      <c r="AF364" s="473">
        <v>18000000</v>
      </c>
      <c r="AG364" s="474">
        <f t="shared" si="6"/>
        <v>0</v>
      </c>
      <c r="AL364" s="475">
        <v>2600000</v>
      </c>
      <c r="AM364" s="306">
        <v>3000000</v>
      </c>
    </row>
    <row r="365" spans="1:50" ht="15" hidden="1" customHeight="1" x14ac:dyDescent="0.35">
      <c r="A365" s="476" t="s">
        <v>3597</v>
      </c>
      <c r="B365" s="477">
        <v>27000000</v>
      </c>
      <c r="C365" s="212" t="s">
        <v>2544</v>
      </c>
      <c r="D365" s="478">
        <v>360</v>
      </c>
      <c r="E365" s="478">
        <v>20214000013613</v>
      </c>
      <c r="F365" s="310">
        <v>44265</v>
      </c>
      <c r="G365" s="478" t="s">
        <v>2571</v>
      </c>
      <c r="H365" s="212" t="s">
        <v>2572</v>
      </c>
      <c r="I365" s="212" t="s">
        <v>117</v>
      </c>
      <c r="J365" s="475">
        <v>18000000</v>
      </c>
      <c r="K365" s="212" t="s">
        <v>112</v>
      </c>
      <c r="L365" s="212" t="s">
        <v>2573</v>
      </c>
      <c r="M365" s="212" t="s">
        <v>44</v>
      </c>
      <c r="N365" s="212" t="s">
        <v>45</v>
      </c>
      <c r="O365" s="212" t="s">
        <v>63</v>
      </c>
      <c r="P365" s="212" t="s">
        <v>43</v>
      </c>
      <c r="R365" s="212">
        <v>379</v>
      </c>
      <c r="S365" s="490">
        <v>44265</v>
      </c>
      <c r="T365" s="486" t="s">
        <v>3598</v>
      </c>
      <c r="U365" s="475">
        <v>18000000</v>
      </c>
      <c r="V365" s="406"/>
      <c r="W365" s="362"/>
      <c r="X365" s="211" t="s">
        <v>3599</v>
      </c>
      <c r="Y365" s="472">
        <v>44301</v>
      </c>
      <c r="Z365" s="472">
        <v>44301</v>
      </c>
      <c r="AA365" s="472">
        <v>44484</v>
      </c>
      <c r="AB365" s="2" t="s">
        <v>2548</v>
      </c>
      <c r="AC365" s="211" t="s">
        <v>3600</v>
      </c>
      <c r="AD365" s="2" t="s">
        <v>3601</v>
      </c>
      <c r="AE365" s="212" t="s">
        <v>3602</v>
      </c>
      <c r="AF365" s="473">
        <v>18000000</v>
      </c>
      <c r="AG365" s="474">
        <f t="shared" si="6"/>
        <v>0</v>
      </c>
      <c r="AL365" s="475">
        <v>1600000</v>
      </c>
      <c r="AM365" s="306">
        <v>3000000</v>
      </c>
    </row>
    <row r="366" spans="1:50" ht="15" hidden="1" customHeight="1" x14ac:dyDescent="0.35">
      <c r="A366" s="476" t="s">
        <v>2324</v>
      </c>
      <c r="B366" s="477">
        <v>54000000</v>
      </c>
      <c r="C366" s="212" t="s">
        <v>2544</v>
      </c>
      <c r="D366" s="478">
        <v>361</v>
      </c>
      <c r="E366" s="478">
        <v>20215000013343</v>
      </c>
      <c r="F366" s="479">
        <v>44264</v>
      </c>
      <c r="G366" s="478" t="s">
        <v>2538</v>
      </c>
      <c r="H366" s="212" t="s">
        <v>2539</v>
      </c>
      <c r="I366" s="212" t="s">
        <v>228</v>
      </c>
      <c r="J366" s="475">
        <v>32000000</v>
      </c>
      <c r="K366" s="212" t="s">
        <v>223</v>
      </c>
      <c r="L366" s="212" t="s">
        <v>2656</v>
      </c>
      <c r="M366" s="212" t="s">
        <v>44</v>
      </c>
      <c r="N366" s="212" t="s">
        <v>45</v>
      </c>
      <c r="O366" s="212" t="s">
        <v>63</v>
      </c>
      <c r="P366" s="212" t="s">
        <v>674</v>
      </c>
      <c r="R366" s="212">
        <v>368</v>
      </c>
      <c r="S366" s="490">
        <v>44264</v>
      </c>
      <c r="T366" s="486" t="s">
        <v>3603</v>
      </c>
      <c r="U366" s="475">
        <v>32000000</v>
      </c>
      <c r="V366" s="406"/>
      <c r="W366" s="362"/>
      <c r="X366" s="483" t="s">
        <v>3604</v>
      </c>
      <c r="Y366" s="484">
        <v>44279</v>
      </c>
      <c r="Z366" s="484">
        <v>44279</v>
      </c>
      <c r="AA366" s="484">
        <v>44524</v>
      </c>
      <c r="AB366" s="485" t="s">
        <v>2548</v>
      </c>
      <c r="AC366" s="483" t="s">
        <v>3605</v>
      </c>
      <c r="AD366" s="485" t="s">
        <v>3606</v>
      </c>
      <c r="AE366" s="486" t="s">
        <v>3607</v>
      </c>
      <c r="AF366" s="473">
        <v>32000000</v>
      </c>
      <c r="AG366" s="474">
        <f t="shared" si="6"/>
        <v>0</v>
      </c>
      <c r="AK366" s="475">
        <v>933333</v>
      </c>
      <c r="AL366" s="475">
        <v>4000000</v>
      </c>
      <c r="AM366" s="306">
        <v>4000000</v>
      </c>
    </row>
    <row r="367" spans="1:50" ht="15" hidden="1" customHeight="1" x14ac:dyDescent="0.35">
      <c r="A367" s="476" t="s">
        <v>2110</v>
      </c>
      <c r="B367" s="477">
        <v>28619969</v>
      </c>
      <c r="C367" s="212" t="s">
        <v>2544</v>
      </c>
      <c r="D367" s="478">
        <v>362</v>
      </c>
      <c r="E367" s="478">
        <v>20211300013943</v>
      </c>
      <c r="F367" s="310">
        <v>44265</v>
      </c>
      <c r="G367" s="478" t="s">
        <v>2545</v>
      </c>
      <c r="H367" s="212" t="s">
        <v>2546</v>
      </c>
      <c r="I367" s="212" t="s">
        <v>210</v>
      </c>
      <c r="J367" s="475">
        <v>16353468</v>
      </c>
      <c r="K367" s="212" t="s">
        <v>138</v>
      </c>
      <c r="L367" s="212" t="s">
        <v>139</v>
      </c>
      <c r="M367" s="212" t="s">
        <v>44</v>
      </c>
      <c r="N367" s="212" t="s">
        <v>45</v>
      </c>
      <c r="O367" s="212" t="s">
        <v>142</v>
      </c>
      <c r="P367" s="212" t="s">
        <v>43</v>
      </c>
      <c r="R367" s="212">
        <v>403</v>
      </c>
      <c r="S367" s="490">
        <v>44266</v>
      </c>
      <c r="T367" s="486" t="s">
        <v>3608</v>
      </c>
      <c r="U367" s="475">
        <v>16353468</v>
      </c>
      <c r="V367" s="406"/>
      <c r="W367" s="362"/>
      <c r="X367" s="483" t="s">
        <v>3609</v>
      </c>
      <c r="Y367" s="484">
        <v>44305</v>
      </c>
      <c r="Z367" s="484">
        <v>44305</v>
      </c>
      <c r="AA367" s="484">
        <v>44426</v>
      </c>
      <c r="AB367" s="485" t="s">
        <v>2548</v>
      </c>
      <c r="AC367" s="483" t="s">
        <v>3610</v>
      </c>
      <c r="AD367" s="485" t="s">
        <v>3611</v>
      </c>
      <c r="AE367" s="486" t="s">
        <v>2617</v>
      </c>
      <c r="AF367" s="473">
        <v>16353468</v>
      </c>
      <c r="AG367" s="474">
        <f t="shared" si="6"/>
        <v>0</v>
      </c>
      <c r="AM367" s="306">
        <v>5587435</v>
      </c>
    </row>
    <row r="368" spans="1:50" ht="15" hidden="1" customHeight="1" x14ac:dyDescent="0.35">
      <c r="A368" s="476" t="s">
        <v>1904</v>
      </c>
      <c r="B368" s="477">
        <v>29981358</v>
      </c>
      <c r="C368" s="212" t="s">
        <v>2544</v>
      </c>
      <c r="D368" s="478">
        <v>363</v>
      </c>
      <c r="E368" s="309">
        <v>20217000011343</v>
      </c>
      <c r="F368" s="479">
        <v>44256</v>
      </c>
      <c r="G368" s="478" t="s">
        <v>2545</v>
      </c>
      <c r="H368" s="212" t="s">
        <v>2546</v>
      </c>
      <c r="I368" s="212" t="s">
        <v>164</v>
      </c>
      <c r="J368" s="475">
        <v>16353468</v>
      </c>
      <c r="K368" s="212" t="s">
        <v>138</v>
      </c>
      <c r="L368" s="212" t="s">
        <v>139</v>
      </c>
      <c r="M368" s="212" t="s">
        <v>44</v>
      </c>
      <c r="N368" s="212" t="s">
        <v>45</v>
      </c>
      <c r="O368" s="212" t="s">
        <v>142</v>
      </c>
      <c r="P368" s="212" t="s">
        <v>43</v>
      </c>
      <c r="R368" s="212">
        <v>319</v>
      </c>
      <c r="S368" s="490">
        <v>44256</v>
      </c>
      <c r="T368" s="486" t="s">
        <v>3612</v>
      </c>
      <c r="U368" s="475">
        <v>16353468</v>
      </c>
      <c r="V368" s="406"/>
      <c r="W368" s="362"/>
      <c r="X368" s="483" t="s">
        <v>3613</v>
      </c>
      <c r="Y368" s="484">
        <v>44279</v>
      </c>
      <c r="Z368" s="484">
        <v>44279</v>
      </c>
      <c r="AA368" s="484">
        <v>44463</v>
      </c>
      <c r="AB368" s="485" t="s">
        <v>2548</v>
      </c>
      <c r="AC368" s="483" t="s">
        <v>3614</v>
      </c>
      <c r="AD368" s="485" t="s">
        <v>3615</v>
      </c>
      <c r="AE368" s="486" t="s">
        <v>2595</v>
      </c>
      <c r="AF368" s="473">
        <v>16353468</v>
      </c>
      <c r="AG368" s="474">
        <f t="shared" si="6"/>
        <v>0</v>
      </c>
      <c r="AL368" s="475">
        <v>3270693</v>
      </c>
      <c r="AM368" s="306">
        <v>2725578</v>
      </c>
    </row>
    <row r="369" spans="1:50" ht="15" hidden="1" customHeight="1" x14ac:dyDescent="0.35">
      <c r="A369" s="476" t="s">
        <v>1855</v>
      </c>
      <c r="B369" s="477">
        <v>43380000</v>
      </c>
      <c r="C369" s="212" t="s">
        <v>2544</v>
      </c>
      <c r="D369" s="478">
        <v>364</v>
      </c>
      <c r="E369" s="478">
        <v>20216000014473</v>
      </c>
      <c r="F369" s="479">
        <v>44267</v>
      </c>
      <c r="G369" s="478" t="s">
        <v>2545</v>
      </c>
      <c r="H369" s="212" t="s">
        <v>2546</v>
      </c>
      <c r="I369" s="212" t="s">
        <v>214</v>
      </c>
      <c r="J369" s="475">
        <v>43380000</v>
      </c>
      <c r="K369" s="212" t="s">
        <v>138</v>
      </c>
      <c r="L369" s="212" t="s">
        <v>139</v>
      </c>
      <c r="M369" s="212" t="s">
        <v>44</v>
      </c>
      <c r="N369" s="212" t="s">
        <v>45</v>
      </c>
      <c r="O369" s="212" t="s">
        <v>142</v>
      </c>
      <c r="P369" s="212" t="s">
        <v>43</v>
      </c>
      <c r="R369" s="212">
        <v>427</v>
      </c>
      <c r="S369" s="490">
        <v>44267</v>
      </c>
      <c r="T369" s="486" t="s">
        <v>3616</v>
      </c>
      <c r="U369" s="475">
        <v>43380000</v>
      </c>
      <c r="V369" s="406"/>
      <c r="W369" s="362"/>
      <c r="X369" s="483" t="s">
        <v>3518</v>
      </c>
      <c r="Y369" s="484">
        <v>44279</v>
      </c>
      <c r="Z369" s="484">
        <v>44279</v>
      </c>
      <c r="AA369" s="484">
        <v>44554</v>
      </c>
      <c r="AB369" s="485" t="s">
        <v>2548</v>
      </c>
      <c r="AC369" s="483" t="s">
        <v>3617</v>
      </c>
      <c r="AD369" s="485" t="s">
        <v>3618</v>
      </c>
      <c r="AE369" s="486" t="s">
        <v>3619</v>
      </c>
      <c r="AF369" s="473">
        <v>43380000</v>
      </c>
      <c r="AG369" s="474">
        <f t="shared" si="6"/>
        <v>0</v>
      </c>
      <c r="AK369" s="475">
        <v>964000</v>
      </c>
      <c r="AL369" s="475">
        <v>4820000</v>
      </c>
      <c r="AM369" s="306">
        <v>4820000</v>
      </c>
    </row>
    <row r="370" spans="1:50" ht="15" hidden="1" customHeight="1" x14ac:dyDescent="0.35">
      <c r="A370" s="476" t="s">
        <v>2113</v>
      </c>
      <c r="B370" s="477">
        <v>41337934</v>
      </c>
      <c r="C370" s="212" t="s">
        <v>2544</v>
      </c>
      <c r="D370" s="478">
        <v>365</v>
      </c>
      <c r="E370" s="478">
        <v>20211300013933</v>
      </c>
      <c r="F370" s="310">
        <v>44265</v>
      </c>
      <c r="G370" s="478" t="s">
        <v>2545</v>
      </c>
      <c r="H370" s="212" t="s">
        <v>2546</v>
      </c>
      <c r="I370" s="212" t="s">
        <v>210</v>
      </c>
      <c r="J370" s="475">
        <v>23621677</v>
      </c>
      <c r="K370" s="212" t="s">
        <v>138</v>
      </c>
      <c r="L370" s="212" t="s">
        <v>139</v>
      </c>
      <c r="M370" s="212" t="s">
        <v>44</v>
      </c>
      <c r="N370" s="212" t="s">
        <v>45</v>
      </c>
      <c r="O370" s="212" t="s">
        <v>142</v>
      </c>
      <c r="P370" s="212" t="s">
        <v>43</v>
      </c>
      <c r="R370" s="212">
        <v>402</v>
      </c>
      <c r="S370" s="490">
        <v>44266</v>
      </c>
      <c r="T370" s="486" t="s">
        <v>3620</v>
      </c>
      <c r="U370" s="475">
        <v>23621677</v>
      </c>
      <c r="V370" s="406"/>
      <c r="W370" s="362"/>
      <c r="X370" s="483" t="s">
        <v>3621</v>
      </c>
      <c r="Y370" s="484">
        <v>44294</v>
      </c>
      <c r="Z370" s="484">
        <v>44294</v>
      </c>
      <c r="AA370" s="484">
        <v>44416</v>
      </c>
      <c r="AB370" s="485" t="s">
        <v>2548</v>
      </c>
      <c r="AC370" s="483" t="s">
        <v>3622</v>
      </c>
      <c r="AD370" s="485" t="s">
        <v>3623</v>
      </c>
      <c r="AE370" s="486" t="s">
        <v>3624</v>
      </c>
      <c r="AF370" s="473">
        <v>23621676</v>
      </c>
      <c r="AG370" s="474">
        <f t="shared" si="6"/>
        <v>1</v>
      </c>
      <c r="AL370" s="475">
        <v>4527488</v>
      </c>
      <c r="AM370" s="306">
        <v>5905419</v>
      </c>
    </row>
    <row r="371" spans="1:50" ht="15" hidden="1" customHeight="1" x14ac:dyDescent="0.35">
      <c r="B371" s="477" t="s">
        <v>2694</v>
      </c>
      <c r="C371" s="212" t="s">
        <v>3625</v>
      </c>
      <c r="D371" s="478">
        <v>366</v>
      </c>
      <c r="E371" s="478">
        <v>20211300014103</v>
      </c>
      <c r="F371" s="310">
        <v>44265</v>
      </c>
      <c r="G371" s="478" t="s">
        <v>2545</v>
      </c>
      <c r="H371" s="212" t="s">
        <v>2546</v>
      </c>
      <c r="I371" s="212" t="s">
        <v>210</v>
      </c>
      <c r="J371" s="475">
        <v>11411438</v>
      </c>
      <c r="K371" s="212" t="s">
        <v>138</v>
      </c>
      <c r="L371" s="212" t="s">
        <v>139</v>
      </c>
      <c r="M371" s="212" t="s">
        <v>44</v>
      </c>
      <c r="N371" s="212" t="s">
        <v>45</v>
      </c>
      <c r="O371" s="212" t="s">
        <v>142</v>
      </c>
      <c r="P371" s="212" t="s">
        <v>43</v>
      </c>
      <c r="R371" s="212">
        <v>404</v>
      </c>
      <c r="S371" s="490">
        <v>44266</v>
      </c>
      <c r="T371" s="486" t="s">
        <v>3626</v>
      </c>
      <c r="U371" s="475">
        <v>11411438</v>
      </c>
      <c r="V371" s="406"/>
      <c r="W371" s="362"/>
      <c r="X371" s="483" t="s">
        <v>3627</v>
      </c>
      <c r="Y371" s="484">
        <v>44285</v>
      </c>
      <c r="Z371" s="484">
        <v>44287</v>
      </c>
      <c r="AA371" s="484">
        <v>44346</v>
      </c>
      <c r="AB371" s="485" t="s">
        <v>2548</v>
      </c>
      <c r="AC371" s="483" t="s">
        <v>3628</v>
      </c>
      <c r="AD371" s="485" t="s">
        <v>3629</v>
      </c>
      <c r="AE371" s="486" t="s">
        <v>3630</v>
      </c>
      <c r="AF371" s="473">
        <v>11411438</v>
      </c>
      <c r="AG371" s="474">
        <f t="shared" si="6"/>
        <v>0</v>
      </c>
      <c r="AM371" s="306">
        <v>4564574</v>
      </c>
    </row>
    <row r="372" spans="1:50" s="210" customFormat="1" ht="15" hidden="1" customHeight="1" x14ac:dyDescent="0.35">
      <c r="A372" s="476" t="s">
        <v>1852</v>
      </c>
      <c r="B372" s="477">
        <v>69750000</v>
      </c>
      <c r="C372" s="212" t="s">
        <v>2544</v>
      </c>
      <c r="D372" s="309">
        <v>367</v>
      </c>
      <c r="E372" s="309">
        <v>20216000013633</v>
      </c>
      <c r="F372" s="310">
        <v>44265</v>
      </c>
      <c r="G372" s="309" t="s">
        <v>2545</v>
      </c>
      <c r="H372" s="210" t="s">
        <v>2546</v>
      </c>
      <c r="I372" s="210" t="s">
        <v>214</v>
      </c>
      <c r="J372" s="407">
        <v>69750000</v>
      </c>
      <c r="K372" s="210" t="s">
        <v>138</v>
      </c>
      <c r="L372" s="210" t="s">
        <v>139</v>
      </c>
      <c r="M372" s="210" t="s">
        <v>44</v>
      </c>
      <c r="N372" s="210" t="s">
        <v>45</v>
      </c>
      <c r="O372" s="210" t="s">
        <v>142</v>
      </c>
      <c r="P372" s="210" t="s">
        <v>43</v>
      </c>
      <c r="R372" s="210">
        <v>381</v>
      </c>
      <c r="S372" s="320">
        <v>44266</v>
      </c>
      <c r="T372" s="321" t="s">
        <v>3631</v>
      </c>
      <c r="U372" s="475">
        <v>69750000</v>
      </c>
      <c r="V372" s="415"/>
      <c r="W372" s="401"/>
      <c r="X372" s="328" t="s">
        <v>3528</v>
      </c>
      <c r="Y372" s="359">
        <v>44280</v>
      </c>
      <c r="Z372" s="359">
        <v>44280</v>
      </c>
      <c r="AA372" s="359">
        <v>44555</v>
      </c>
      <c r="AB372" s="323" t="s">
        <v>2548</v>
      </c>
      <c r="AC372" s="328" t="s">
        <v>3632</v>
      </c>
      <c r="AD372" s="323" t="s">
        <v>3633</v>
      </c>
      <c r="AE372" s="321" t="s">
        <v>3634</v>
      </c>
      <c r="AF372" s="473">
        <v>69750000</v>
      </c>
      <c r="AG372" s="474">
        <f t="shared" si="6"/>
        <v>0</v>
      </c>
      <c r="AH372" s="407"/>
      <c r="AI372" s="407"/>
      <c r="AJ372" s="475"/>
      <c r="AK372" s="475">
        <v>1550000</v>
      </c>
      <c r="AL372" s="475">
        <v>7750000</v>
      </c>
      <c r="AM372" s="306">
        <v>7750000</v>
      </c>
    </row>
    <row r="373" spans="1:50" ht="15" hidden="1" customHeight="1" x14ac:dyDescent="0.35">
      <c r="A373" s="476" t="s">
        <v>1862</v>
      </c>
      <c r="B373" s="477">
        <v>63000000</v>
      </c>
      <c r="C373" s="212" t="s">
        <v>2544</v>
      </c>
      <c r="D373" s="478">
        <v>368</v>
      </c>
      <c r="E373" s="478">
        <v>20216000013673</v>
      </c>
      <c r="F373" s="310">
        <v>44265</v>
      </c>
      <c r="G373" s="478" t="s">
        <v>2545</v>
      </c>
      <c r="H373" s="212" t="s">
        <v>2546</v>
      </c>
      <c r="I373" s="212" t="s">
        <v>214</v>
      </c>
      <c r="J373" s="475">
        <v>63000000</v>
      </c>
      <c r="K373" s="212" t="s">
        <v>138</v>
      </c>
      <c r="L373" s="212" t="s">
        <v>139</v>
      </c>
      <c r="M373" s="212" t="s">
        <v>44</v>
      </c>
      <c r="N373" s="212" t="s">
        <v>45</v>
      </c>
      <c r="O373" s="212" t="s">
        <v>142</v>
      </c>
      <c r="P373" s="212" t="s">
        <v>43</v>
      </c>
      <c r="R373" s="212">
        <v>389</v>
      </c>
      <c r="S373" s="490">
        <v>44266</v>
      </c>
      <c r="T373" s="486" t="s">
        <v>3635</v>
      </c>
      <c r="U373" s="475">
        <v>63000000</v>
      </c>
      <c r="V373" s="406"/>
      <c r="W373" s="362"/>
      <c r="X373" s="483" t="s">
        <v>3533</v>
      </c>
      <c r="Y373" s="484">
        <v>44280</v>
      </c>
      <c r="Z373" s="484">
        <v>44280</v>
      </c>
      <c r="AA373" s="484">
        <v>44555</v>
      </c>
      <c r="AB373" s="485" t="s">
        <v>2548</v>
      </c>
      <c r="AC373" s="483" t="s">
        <v>3636</v>
      </c>
      <c r="AD373" s="485" t="s">
        <v>3637</v>
      </c>
      <c r="AE373" s="486" t="s">
        <v>3638</v>
      </c>
      <c r="AF373" s="473">
        <v>63000000</v>
      </c>
      <c r="AG373" s="474">
        <f t="shared" si="6"/>
        <v>0</v>
      </c>
      <c r="AK373" s="475">
        <v>1400000</v>
      </c>
      <c r="AL373" s="475">
        <v>7000000</v>
      </c>
      <c r="AM373" s="306">
        <v>7000000</v>
      </c>
    </row>
    <row r="374" spans="1:50" ht="15" hidden="1" customHeight="1" x14ac:dyDescent="0.35">
      <c r="A374" s="476" t="s">
        <v>2233</v>
      </c>
      <c r="B374" s="477">
        <v>55000000</v>
      </c>
      <c r="C374" s="212" t="s">
        <v>2544</v>
      </c>
      <c r="D374" s="478">
        <v>369</v>
      </c>
      <c r="E374" s="478">
        <v>20216000013803</v>
      </c>
      <c r="F374" s="310">
        <v>44265</v>
      </c>
      <c r="G374" s="478" t="s">
        <v>2545</v>
      </c>
      <c r="H374" s="212" t="s">
        <v>2546</v>
      </c>
      <c r="I374" s="212" t="s">
        <v>214</v>
      </c>
      <c r="J374" s="475">
        <v>45000000</v>
      </c>
      <c r="K374" s="212" t="s">
        <v>138</v>
      </c>
      <c r="L374" s="212" t="s">
        <v>139</v>
      </c>
      <c r="M374" s="212" t="s">
        <v>44</v>
      </c>
      <c r="N374" s="212" t="s">
        <v>45</v>
      </c>
      <c r="O374" s="212" t="s">
        <v>142</v>
      </c>
      <c r="P374" s="212" t="s">
        <v>43</v>
      </c>
      <c r="R374" s="212">
        <v>395</v>
      </c>
      <c r="S374" s="490">
        <v>44266</v>
      </c>
      <c r="T374" s="486" t="s">
        <v>3639</v>
      </c>
      <c r="U374" s="475">
        <v>45000000</v>
      </c>
      <c r="V374" s="406"/>
      <c r="W374" s="362"/>
      <c r="X374" s="483" t="s">
        <v>3640</v>
      </c>
      <c r="Y374" s="484">
        <v>44280</v>
      </c>
      <c r="Z374" s="484">
        <v>44280</v>
      </c>
      <c r="AA374" s="484">
        <v>44555</v>
      </c>
      <c r="AB374" s="485" t="s">
        <v>2548</v>
      </c>
      <c r="AC374" s="483" t="s">
        <v>3641</v>
      </c>
      <c r="AD374" s="485" t="s">
        <v>3642</v>
      </c>
      <c r="AE374" s="486" t="s">
        <v>3643</v>
      </c>
      <c r="AF374" s="473">
        <v>45000000</v>
      </c>
      <c r="AG374" s="474">
        <f t="shared" si="6"/>
        <v>0</v>
      </c>
      <c r="AM374" s="212"/>
    </row>
    <row r="375" spans="1:50" s="329" customFormat="1" ht="15" hidden="1" customHeight="1" x14ac:dyDescent="0.35">
      <c r="A375" s="476" t="s">
        <v>2272</v>
      </c>
      <c r="B375" s="477">
        <v>81767340</v>
      </c>
      <c r="C375" s="212" t="s">
        <v>2544</v>
      </c>
      <c r="D375" s="309">
        <v>370</v>
      </c>
      <c r="E375" s="478">
        <v>20217000014643</v>
      </c>
      <c r="F375" s="479">
        <v>44274</v>
      </c>
      <c r="G375" s="478" t="s">
        <v>2545</v>
      </c>
      <c r="H375" s="212" t="s">
        <v>2546</v>
      </c>
      <c r="I375" s="212" t="s">
        <v>164</v>
      </c>
      <c r="J375" s="475">
        <v>73590606</v>
      </c>
      <c r="K375" s="212" t="s">
        <v>138</v>
      </c>
      <c r="L375" s="212" t="s">
        <v>139</v>
      </c>
      <c r="M375" s="212" t="s">
        <v>44</v>
      </c>
      <c r="N375" s="212" t="s">
        <v>45</v>
      </c>
      <c r="O375" s="212" t="s">
        <v>142</v>
      </c>
      <c r="P375" s="212" t="s">
        <v>43</v>
      </c>
      <c r="Q375" s="212"/>
      <c r="R375" s="486">
        <v>466</v>
      </c>
      <c r="S375" s="490">
        <v>44274</v>
      </c>
      <c r="T375" s="486" t="s">
        <v>3644</v>
      </c>
      <c r="U375" s="475">
        <v>73590606</v>
      </c>
      <c r="V375" s="406"/>
      <c r="W375" s="362"/>
      <c r="X375" s="483" t="s">
        <v>2996</v>
      </c>
      <c r="Y375" s="484">
        <v>44280</v>
      </c>
      <c r="Z375" s="484">
        <v>44280</v>
      </c>
      <c r="AA375" s="484">
        <v>44555</v>
      </c>
      <c r="AB375" s="485" t="s">
        <v>2548</v>
      </c>
      <c r="AC375" s="483" t="s">
        <v>3645</v>
      </c>
      <c r="AD375" s="485" t="s">
        <v>3646</v>
      </c>
      <c r="AE375" s="486" t="s">
        <v>3647</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x14ac:dyDescent="0.35">
      <c r="A376" s="476" t="s">
        <v>1853</v>
      </c>
      <c r="B376" s="477">
        <v>69750000</v>
      </c>
      <c r="C376" s="212" t="s">
        <v>2544</v>
      </c>
      <c r="D376" s="309">
        <v>371</v>
      </c>
      <c r="E376" s="309">
        <v>20216000013643</v>
      </c>
      <c r="F376" s="310">
        <v>44265</v>
      </c>
      <c r="G376" s="309" t="s">
        <v>2545</v>
      </c>
      <c r="H376" s="210" t="s">
        <v>2546</v>
      </c>
      <c r="I376" s="210" t="s">
        <v>214</v>
      </c>
      <c r="J376" s="407">
        <v>69750000</v>
      </c>
      <c r="K376" s="210" t="s">
        <v>138</v>
      </c>
      <c r="L376" s="210" t="s">
        <v>139</v>
      </c>
      <c r="M376" s="210" t="s">
        <v>44</v>
      </c>
      <c r="N376" s="210" t="s">
        <v>45</v>
      </c>
      <c r="O376" s="210" t="s">
        <v>142</v>
      </c>
      <c r="P376" s="210" t="s">
        <v>43</v>
      </c>
      <c r="R376" s="210">
        <v>382</v>
      </c>
      <c r="S376" s="320">
        <v>44266</v>
      </c>
      <c r="T376" s="493" t="s">
        <v>3648</v>
      </c>
      <c r="U376" s="475">
        <v>69750000</v>
      </c>
      <c r="V376" s="415"/>
      <c r="W376" s="401"/>
      <c r="X376" s="319">
        <v>356</v>
      </c>
      <c r="Y376" s="491">
        <v>44285</v>
      </c>
      <c r="Z376" s="491">
        <v>44256</v>
      </c>
      <c r="AA376" s="491">
        <v>44286</v>
      </c>
      <c r="AB376" s="485" t="s">
        <v>2548</v>
      </c>
      <c r="AC376" s="322">
        <v>259</v>
      </c>
      <c r="AD376" s="492" t="s">
        <v>3649</v>
      </c>
      <c r="AE376" s="493" t="s">
        <v>3650</v>
      </c>
      <c r="AF376" s="473">
        <v>69750000</v>
      </c>
      <c r="AG376" s="474">
        <f t="shared" si="6"/>
        <v>0</v>
      </c>
      <c r="AH376" s="407"/>
      <c r="AI376" s="407"/>
      <c r="AJ376" s="475"/>
      <c r="AK376" s="475"/>
      <c r="AL376" s="475">
        <v>7750000</v>
      </c>
      <c r="AM376" s="306">
        <v>7750000</v>
      </c>
    </row>
    <row r="377" spans="1:50" ht="15" hidden="1" customHeight="1" x14ac:dyDescent="0.35">
      <c r="A377" s="476" t="s">
        <v>1854</v>
      </c>
      <c r="B377" s="477">
        <v>69750000</v>
      </c>
      <c r="C377" s="212" t="s">
        <v>2544</v>
      </c>
      <c r="D377" s="478">
        <v>372</v>
      </c>
      <c r="E377" s="478">
        <v>20216000013653</v>
      </c>
      <c r="F377" s="310">
        <v>44265</v>
      </c>
      <c r="G377" s="478" t="s">
        <v>2545</v>
      </c>
      <c r="H377" s="212" t="s">
        <v>2546</v>
      </c>
      <c r="I377" s="212" t="s">
        <v>214</v>
      </c>
      <c r="J377" s="475">
        <v>69750000</v>
      </c>
      <c r="K377" s="212" t="s">
        <v>138</v>
      </c>
      <c r="L377" s="212" t="s">
        <v>139</v>
      </c>
      <c r="M377" s="212" t="s">
        <v>44</v>
      </c>
      <c r="N377" s="212" t="s">
        <v>45</v>
      </c>
      <c r="O377" s="212" t="s">
        <v>142</v>
      </c>
      <c r="P377" s="212" t="s">
        <v>43</v>
      </c>
      <c r="R377" s="212">
        <v>383</v>
      </c>
      <c r="S377" s="490">
        <v>44266</v>
      </c>
      <c r="T377" s="486" t="s">
        <v>3651</v>
      </c>
      <c r="U377" s="475">
        <v>69750000</v>
      </c>
      <c r="V377" s="406"/>
      <c r="W377" s="362"/>
      <c r="X377" s="483" t="s">
        <v>3652</v>
      </c>
      <c r="Y377" s="484">
        <v>44286</v>
      </c>
      <c r="Z377" s="484">
        <v>44286</v>
      </c>
      <c r="AA377" s="484">
        <v>44561</v>
      </c>
      <c r="AB377" s="485" t="s">
        <v>2548</v>
      </c>
      <c r="AC377" s="483" t="s">
        <v>3653</v>
      </c>
      <c r="AD377" s="485" t="s">
        <v>3654</v>
      </c>
      <c r="AE377" s="486" t="s">
        <v>3655</v>
      </c>
      <c r="AF377" s="473">
        <v>69750000</v>
      </c>
      <c r="AG377" s="474">
        <f t="shared" si="6"/>
        <v>0</v>
      </c>
      <c r="AL377" s="475">
        <v>7750000</v>
      </c>
      <c r="AM377" s="306">
        <v>7750000</v>
      </c>
    </row>
    <row r="378" spans="1:50" ht="15" hidden="1" customHeight="1" x14ac:dyDescent="0.35">
      <c r="A378" s="476" t="s">
        <v>1856</v>
      </c>
      <c r="B378" s="477">
        <v>69750000</v>
      </c>
      <c r="C378" s="212" t="s">
        <v>2544</v>
      </c>
      <c r="D378" s="478">
        <v>373</v>
      </c>
      <c r="E378" s="478">
        <v>20216000013663</v>
      </c>
      <c r="F378" s="310">
        <v>44265</v>
      </c>
      <c r="G378" s="478" t="s">
        <v>2545</v>
      </c>
      <c r="H378" s="212" t="s">
        <v>2546</v>
      </c>
      <c r="I378" s="212" t="s">
        <v>214</v>
      </c>
      <c r="J378" s="475">
        <v>69750000</v>
      </c>
      <c r="K378" s="212" t="s">
        <v>138</v>
      </c>
      <c r="L378" s="212" t="s">
        <v>139</v>
      </c>
      <c r="M378" s="212" t="s">
        <v>44</v>
      </c>
      <c r="N378" s="212" t="s">
        <v>45</v>
      </c>
      <c r="O378" s="212" t="s">
        <v>142</v>
      </c>
      <c r="P378" s="212" t="s">
        <v>43</v>
      </c>
      <c r="R378" s="212">
        <v>388</v>
      </c>
      <c r="S378" s="490">
        <v>44266</v>
      </c>
      <c r="T378" s="486" t="s">
        <v>3656</v>
      </c>
      <c r="U378" s="475">
        <v>69750000</v>
      </c>
      <c r="V378" s="406"/>
      <c r="W378" s="362"/>
      <c r="X378" s="483" t="s">
        <v>3657</v>
      </c>
      <c r="Y378" s="484">
        <v>44340</v>
      </c>
      <c r="Z378" s="484">
        <v>44340</v>
      </c>
      <c r="AA378" s="484">
        <v>44553</v>
      </c>
      <c r="AB378" s="486" t="s">
        <v>2548</v>
      </c>
      <c r="AC378" s="483" t="s">
        <v>3517</v>
      </c>
      <c r="AD378" s="486" t="s">
        <v>3658</v>
      </c>
      <c r="AE378" s="486" t="s">
        <v>3659</v>
      </c>
      <c r="AF378" s="473">
        <v>54250000</v>
      </c>
      <c r="AG378" s="474">
        <f t="shared" si="6"/>
        <v>15500000</v>
      </c>
      <c r="AM378" s="212"/>
    </row>
    <row r="379" spans="1:50" ht="15" hidden="1" customHeight="1" x14ac:dyDescent="0.35">
      <c r="A379" s="466" t="s">
        <v>1916</v>
      </c>
      <c r="B379" s="467">
        <v>32706936</v>
      </c>
      <c r="C379" s="212" t="s">
        <v>2544</v>
      </c>
      <c r="D379" s="469">
        <v>374</v>
      </c>
      <c r="E379" s="469">
        <v>20217000015253</v>
      </c>
      <c r="F379" s="470">
        <v>44271</v>
      </c>
      <c r="G379" s="469" t="s">
        <v>2545</v>
      </c>
      <c r="H379" s="468" t="s">
        <v>2546</v>
      </c>
      <c r="I379" s="468" t="s">
        <v>164</v>
      </c>
      <c r="J379" s="471">
        <v>13809592</v>
      </c>
      <c r="K379" s="468" t="s">
        <v>138</v>
      </c>
      <c r="L379" s="468" t="s">
        <v>139</v>
      </c>
      <c r="M379" s="468" t="s">
        <v>44</v>
      </c>
      <c r="N379" s="468" t="s">
        <v>45</v>
      </c>
      <c r="O379" s="468" t="s">
        <v>142</v>
      </c>
      <c r="P379" s="468" t="s">
        <v>43</v>
      </c>
      <c r="Q379" s="468"/>
      <c r="R379" s="529">
        <v>446</v>
      </c>
      <c r="S379" s="528">
        <v>44272</v>
      </c>
      <c r="T379" s="529" t="s">
        <v>3660</v>
      </c>
      <c r="U379" s="471">
        <v>13809592</v>
      </c>
      <c r="V379" s="414"/>
      <c r="W379" s="379"/>
      <c r="X379" s="483" t="s">
        <v>3661</v>
      </c>
      <c r="Y379" s="484">
        <v>44280</v>
      </c>
      <c r="Z379" s="484">
        <v>44280</v>
      </c>
      <c r="AA379" s="484">
        <v>44402</v>
      </c>
      <c r="AB379" s="485" t="s">
        <v>2548</v>
      </c>
      <c r="AC379" s="483" t="s">
        <v>3662</v>
      </c>
      <c r="AD379" s="485" t="s">
        <v>3663</v>
      </c>
      <c r="AE379" s="486" t="s">
        <v>3664</v>
      </c>
      <c r="AF379" s="473">
        <v>13809592</v>
      </c>
      <c r="AG379" s="474">
        <f t="shared" si="6"/>
        <v>0</v>
      </c>
      <c r="AI379" s="471"/>
      <c r="AJ379" s="471"/>
      <c r="AK379" s="471"/>
      <c r="AL379" s="471">
        <v>4027798</v>
      </c>
      <c r="AM379" s="306">
        <v>3452398</v>
      </c>
    </row>
    <row r="380" spans="1:50" ht="15" hidden="1" customHeight="1" x14ac:dyDescent="0.35">
      <c r="A380" s="476" t="s">
        <v>2366</v>
      </c>
      <c r="B380" s="477">
        <v>26100000</v>
      </c>
      <c r="C380" s="212" t="s">
        <v>2544</v>
      </c>
      <c r="D380" s="478">
        <v>375</v>
      </c>
      <c r="E380" s="478">
        <v>20216000013693</v>
      </c>
      <c r="F380" s="310">
        <v>44265</v>
      </c>
      <c r="G380" s="478" t="s">
        <v>2545</v>
      </c>
      <c r="H380" s="212" t="s">
        <v>2546</v>
      </c>
      <c r="I380" s="212" t="s">
        <v>214</v>
      </c>
      <c r="J380" s="475">
        <v>26100000</v>
      </c>
      <c r="K380" s="212" t="s">
        <v>138</v>
      </c>
      <c r="L380" s="212" t="s">
        <v>139</v>
      </c>
      <c r="M380" s="212" t="s">
        <v>44</v>
      </c>
      <c r="N380" s="212" t="s">
        <v>45</v>
      </c>
      <c r="O380" s="212" t="s">
        <v>142</v>
      </c>
      <c r="P380" s="212" t="s">
        <v>43</v>
      </c>
      <c r="R380" s="212">
        <v>390</v>
      </c>
      <c r="S380" s="490">
        <v>44266</v>
      </c>
      <c r="T380" s="486" t="s">
        <v>3665</v>
      </c>
      <c r="U380" s="475">
        <v>26100000</v>
      </c>
      <c r="V380" s="406"/>
      <c r="W380" s="362"/>
      <c r="X380" s="483" t="s">
        <v>3666</v>
      </c>
      <c r="Y380" s="484">
        <v>44295</v>
      </c>
      <c r="Z380" s="484">
        <v>44295</v>
      </c>
      <c r="AA380" s="484">
        <v>44550</v>
      </c>
      <c r="AB380" s="485" t="s">
        <v>2548</v>
      </c>
      <c r="AC380" s="483" t="s">
        <v>3463</v>
      </c>
      <c r="AD380" s="485" t="s">
        <v>3667</v>
      </c>
      <c r="AE380" s="486" t="s">
        <v>3668</v>
      </c>
      <c r="AF380" s="473">
        <v>23167413</v>
      </c>
      <c r="AG380" s="474">
        <f t="shared" si="6"/>
        <v>2932587</v>
      </c>
      <c r="AL380" s="475">
        <v>1998757</v>
      </c>
      <c r="AM380" s="306">
        <v>2725578</v>
      </c>
    </row>
    <row r="381" spans="1:50" ht="15" hidden="1" customHeight="1" x14ac:dyDescent="0.35">
      <c r="A381" s="476" t="s">
        <v>1865</v>
      </c>
      <c r="B381" s="477">
        <v>55800000</v>
      </c>
      <c r="C381" s="212" t="s">
        <v>2544</v>
      </c>
      <c r="D381" s="478">
        <v>376</v>
      </c>
      <c r="E381" s="478">
        <v>20216000013703</v>
      </c>
      <c r="F381" s="310">
        <v>44265</v>
      </c>
      <c r="G381" s="478" t="s">
        <v>2545</v>
      </c>
      <c r="H381" s="212" t="s">
        <v>2546</v>
      </c>
      <c r="I381" s="212" t="s">
        <v>214</v>
      </c>
      <c r="J381" s="475">
        <v>55800000</v>
      </c>
      <c r="K381" s="212" t="s">
        <v>138</v>
      </c>
      <c r="L381" s="212" t="s">
        <v>139</v>
      </c>
      <c r="M381" s="212" t="s">
        <v>44</v>
      </c>
      <c r="N381" s="212" t="s">
        <v>45</v>
      </c>
      <c r="O381" s="212" t="s">
        <v>142</v>
      </c>
      <c r="P381" s="212" t="s">
        <v>43</v>
      </c>
      <c r="R381" s="212">
        <v>391</v>
      </c>
      <c r="S381" s="490">
        <v>44266</v>
      </c>
      <c r="T381" s="486" t="s">
        <v>3669</v>
      </c>
      <c r="U381" s="475">
        <v>55800000</v>
      </c>
      <c r="V381" s="406"/>
      <c r="W381" s="362"/>
      <c r="X381" s="211" t="s">
        <v>3670</v>
      </c>
      <c r="Y381" s="472">
        <v>44300</v>
      </c>
      <c r="Z381" s="472">
        <v>44300</v>
      </c>
      <c r="AA381" s="472">
        <v>44561</v>
      </c>
      <c r="AB381" s="2" t="s">
        <v>2548</v>
      </c>
      <c r="AC381" s="211" t="s">
        <v>3671</v>
      </c>
      <c r="AD381" s="2" t="s">
        <v>3672</v>
      </c>
      <c r="AE381" s="212" t="s">
        <v>3673</v>
      </c>
      <c r="AF381" s="473">
        <v>42466000</v>
      </c>
      <c r="AG381" s="474">
        <f t="shared" si="6"/>
        <v>13334000</v>
      </c>
      <c r="AL381" s="475">
        <v>2831067</v>
      </c>
      <c r="AM381" s="306">
        <v>4996000</v>
      </c>
    </row>
    <row r="382" spans="1:50" ht="15" hidden="1" customHeight="1" x14ac:dyDescent="0.35">
      <c r="A382" s="476" t="s">
        <v>1866</v>
      </c>
      <c r="B382" s="477">
        <v>60300000</v>
      </c>
      <c r="C382" s="212" t="s">
        <v>2544</v>
      </c>
      <c r="D382" s="478">
        <v>377</v>
      </c>
      <c r="E382" s="478">
        <v>20216000013713</v>
      </c>
      <c r="F382" s="310">
        <v>44265</v>
      </c>
      <c r="G382" s="478" t="s">
        <v>2545</v>
      </c>
      <c r="H382" s="212" t="s">
        <v>2546</v>
      </c>
      <c r="I382" s="212" t="s">
        <v>214</v>
      </c>
      <c r="J382" s="475">
        <v>60300000</v>
      </c>
      <c r="K382" s="212" t="s">
        <v>138</v>
      </c>
      <c r="L382" s="212" t="s">
        <v>139</v>
      </c>
      <c r="M382" s="212" t="s">
        <v>44</v>
      </c>
      <c r="N382" s="212" t="s">
        <v>45</v>
      </c>
      <c r="O382" s="212" t="s">
        <v>142</v>
      </c>
      <c r="P382" s="212" t="s">
        <v>43</v>
      </c>
      <c r="R382" s="212">
        <v>384</v>
      </c>
      <c r="S382" s="490">
        <v>44266</v>
      </c>
      <c r="T382" s="486" t="s">
        <v>3674</v>
      </c>
      <c r="U382" s="475">
        <v>60300000</v>
      </c>
      <c r="V382" s="406"/>
      <c r="W382" s="362"/>
      <c r="X382" s="483" t="s">
        <v>3675</v>
      </c>
      <c r="Y382" s="484">
        <v>44299</v>
      </c>
      <c r="Z382" s="484">
        <v>44299</v>
      </c>
      <c r="AA382" s="484">
        <v>44561</v>
      </c>
      <c r="AB382" s="485" t="s">
        <v>2548</v>
      </c>
      <c r="AC382" s="483" t="s">
        <v>3676</v>
      </c>
      <c r="AD382" s="485" t="s">
        <v>3677</v>
      </c>
      <c r="AE382" s="486" t="s">
        <v>3678</v>
      </c>
      <c r="AF382" s="473">
        <v>58045650</v>
      </c>
      <c r="AG382" s="474">
        <f t="shared" si="6"/>
        <v>2254350</v>
      </c>
      <c r="AL382" s="475">
        <v>4097340</v>
      </c>
      <c r="AM382" s="306">
        <v>6828900</v>
      </c>
    </row>
    <row r="383" spans="1:50" ht="15" hidden="1" customHeight="1" x14ac:dyDescent="0.35">
      <c r="A383" s="476" t="s">
        <v>2067</v>
      </c>
      <c r="B383" s="477">
        <v>40700000</v>
      </c>
      <c r="C383" s="212" t="s">
        <v>2544</v>
      </c>
      <c r="D383" s="478">
        <v>378</v>
      </c>
      <c r="E383" s="478">
        <v>20215000002843</v>
      </c>
      <c r="F383" s="479">
        <v>44225</v>
      </c>
      <c r="G383" s="478" t="s">
        <v>2538</v>
      </c>
      <c r="H383" s="212" t="s">
        <v>2539</v>
      </c>
      <c r="I383" s="212" t="s">
        <v>228</v>
      </c>
      <c r="J383" s="475">
        <v>40700000</v>
      </c>
      <c r="K383" s="212" t="s">
        <v>223</v>
      </c>
      <c r="L383" s="212" t="s">
        <v>236</v>
      </c>
      <c r="M383" s="212" t="s">
        <v>44</v>
      </c>
      <c r="N383" s="212" t="s">
        <v>45</v>
      </c>
      <c r="O383" s="212" t="s">
        <v>63</v>
      </c>
      <c r="P383" s="212" t="s">
        <v>674</v>
      </c>
      <c r="R383" s="212">
        <v>126</v>
      </c>
      <c r="S383" s="479">
        <v>44225</v>
      </c>
      <c r="T383" s="212" t="s">
        <v>3679</v>
      </c>
      <c r="U383" s="475">
        <f>40700000-13700000</f>
        <v>27000000</v>
      </c>
      <c r="V383" s="406">
        <v>13700000</v>
      </c>
      <c r="W383" s="362"/>
      <c r="X383" s="483" t="s">
        <v>3680</v>
      </c>
      <c r="Y383" s="484">
        <v>44280</v>
      </c>
      <c r="Z383" s="484">
        <v>44280</v>
      </c>
      <c r="AA383" s="484">
        <v>44555</v>
      </c>
      <c r="AB383" s="485" t="s">
        <v>2548</v>
      </c>
      <c r="AC383" s="483" t="s">
        <v>3681</v>
      </c>
      <c r="AD383" s="485" t="s">
        <v>3682</v>
      </c>
      <c r="AE383" s="486" t="s">
        <v>3683</v>
      </c>
      <c r="AF383" s="473">
        <v>27000000</v>
      </c>
      <c r="AG383" s="474">
        <f t="shared" si="6"/>
        <v>0</v>
      </c>
      <c r="AL383" s="475">
        <v>3600000</v>
      </c>
      <c r="AM383" s="306">
        <v>3000000</v>
      </c>
    </row>
    <row r="384" spans="1:50" ht="15" hidden="1" customHeight="1" x14ac:dyDescent="0.35">
      <c r="A384" s="476" t="s">
        <v>2230</v>
      </c>
      <c r="B384" s="477">
        <v>36000000</v>
      </c>
      <c r="C384" s="212" t="s">
        <v>2544</v>
      </c>
      <c r="D384" s="478">
        <v>379</v>
      </c>
      <c r="E384" s="478">
        <v>20216000013753</v>
      </c>
      <c r="F384" s="310">
        <v>44265</v>
      </c>
      <c r="G384" s="478" t="s">
        <v>2545</v>
      </c>
      <c r="H384" s="212" t="s">
        <v>2546</v>
      </c>
      <c r="I384" s="212" t="s">
        <v>214</v>
      </c>
      <c r="J384" s="475">
        <v>36000000</v>
      </c>
      <c r="K384" s="212" t="s">
        <v>138</v>
      </c>
      <c r="L384" s="212" t="s">
        <v>139</v>
      </c>
      <c r="M384" s="212" t="s">
        <v>44</v>
      </c>
      <c r="N384" s="212" t="s">
        <v>45</v>
      </c>
      <c r="O384" s="212" t="s">
        <v>142</v>
      </c>
      <c r="P384" s="212" t="s">
        <v>43</v>
      </c>
      <c r="R384" s="212">
        <v>387</v>
      </c>
      <c r="S384" s="490">
        <v>44266</v>
      </c>
      <c r="T384" s="486" t="s">
        <v>3684</v>
      </c>
      <c r="U384" s="475">
        <v>36000000</v>
      </c>
      <c r="V384" s="406"/>
      <c r="W384" s="362"/>
      <c r="X384" s="483" t="s">
        <v>3685</v>
      </c>
      <c r="Y384" s="484">
        <v>44286</v>
      </c>
      <c r="Z384" s="484">
        <v>44286</v>
      </c>
      <c r="AA384" s="484">
        <v>44555</v>
      </c>
      <c r="AB384" s="485" t="s">
        <v>2548</v>
      </c>
      <c r="AC384" s="483" t="s">
        <v>3284</v>
      </c>
      <c r="AD384" s="485" t="s">
        <v>3686</v>
      </c>
      <c r="AE384" s="486" t="s">
        <v>3687</v>
      </c>
      <c r="AF384" s="473">
        <v>35333333</v>
      </c>
      <c r="AG384" s="474">
        <f t="shared" si="6"/>
        <v>666667</v>
      </c>
      <c r="AL384" s="475">
        <v>3466667</v>
      </c>
      <c r="AM384" s="306">
        <v>4000000</v>
      </c>
    </row>
    <row r="385" spans="1:39" hidden="1" x14ac:dyDescent="0.35">
      <c r="A385" s="476" t="s">
        <v>2333</v>
      </c>
      <c r="B385" s="477">
        <v>36000000</v>
      </c>
      <c r="C385" s="212" t="s">
        <v>2544</v>
      </c>
      <c r="D385" s="478">
        <v>380</v>
      </c>
      <c r="E385" s="478">
        <v>20215000012063</v>
      </c>
      <c r="F385" s="479">
        <v>44264</v>
      </c>
      <c r="G385" s="478" t="s">
        <v>2538</v>
      </c>
      <c r="H385" s="212" t="s">
        <v>2539</v>
      </c>
      <c r="I385" s="212" t="s">
        <v>228</v>
      </c>
      <c r="J385" s="475">
        <v>36000000</v>
      </c>
      <c r="K385" s="212" t="s">
        <v>223</v>
      </c>
      <c r="L385" s="212" t="s">
        <v>2656</v>
      </c>
      <c r="M385" s="212" t="s">
        <v>44</v>
      </c>
      <c r="N385" s="212" t="s">
        <v>45</v>
      </c>
      <c r="O385" s="212" t="s">
        <v>63</v>
      </c>
      <c r="P385" s="212" t="s">
        <v>674</v>
      </c>
      <c r="R385" s="212">
        <v>350</v>
      </c>
      <c r="S385" s="490">
        <v>44264</v>
      </c>
      <c r="T385" s="486" t="s">
        <v>3688</v>
      </c>
      <c r="U385" s="475">
        <f>36000000-9000000</f>
        <v>27000000</v>
      </c>
      <c r="V385" s="406">
        <v>9000000</v>
      </c>
      <c r="W385" s="362"/>
      <c r="X385" s="483" t="s">
        <v>3460</v>
      </c>
      <c r="Y385" s="484">
        <v>44280</v>
      </c>
      <c r="Z385" s="484">
        <v>44280</v>
      </c>
      <c r="AA385" s="484">
        <v>44555</v>
      </c>
      <c r="AB385" s="485" t="s">
        <v>2548</v>
      </c>
      <c r="AC385" s="483" t="s">
        <v>3689</v>
      </c>
      <c r="AD385" s="485" t="s">
        <v>3690</v>
      </c>
      <c r="AE385" s="486" t="s">
        <v>3691</v>
      </c>
      <c r="AF385" s="473">
        <v>27000000</v>
      </c>
      <c r="AG385" s="474">
        <f t="shared" si="6"/>
        <v>0</v>
      </c>
      <c r="AL385" s="475">
        <v>3600000</v>
      </c>
      <c r="AM385" s="306">
        <v>3000000</v>
      </c>
    </row>
    <row r="386" spans="1:39" hidden="1" x14ac:dyDescent="0.35">
      <c r="A386" s="476" t="s">
        <v>2232</v>
      </c>
      <c r="B386" s="477">
        <v>45000000</v>
      </c>
      <c r="C386" s="212" t="s">
        <v>2544</v>
      </c>
      <c r="D386" s="478">
        <v>381</v>
      </c>
      <c r="E386" s="478">
        <v>20216000013773</v>
      </c>
      <c r="F386" s="310">
        <v>44265</v>
      </c>
      <c r="G386" s="478" t="s">
        <v>2545</v>
      </c>
      <c r="H386" s="212" t="s">
        <v>2546</v>
      </c>
      <c r="I386" s="212" t="s">
        <v>214</v>
      </c>
      <c r="J386" s="475">
        <v>45000000</v>
      </c>
      <c r="K386" s="212" t="s">
        <v>138</v>
      </c>
      <c r="L386" s="212" t="s">
        <v>139</v>
      </c>
      <c r="M386" s="212" t="s">
        <v>44</v>
      </c>
      <c r="N386" s="212" t="s">
        <v>45</v>
      </c>
      <c r="O386" s="212" t="s">
        <v>142</v>
      </c>
      <c r="P386" s="212" t="s">
        <v>43</v>
      </c>
      <c r="R386" s="212">
        <v>393</v>
      </c>
      <c r="S386" s="490">
        <v>44266</v>
      </c>
      <c r="T386" s="486" t="s">
        <v>3692</v>
      </c>
      <c r="U386" s="475">
        <v>45000000</v>
      </c>
      <c r="V386" s="406"/>
      <c r="W386" s="362"/>
      <c r="X386" s="483" t="s">
        <v>3445</v>
      </c>
      <c r="Y386" s="484">
        <v>44294</v>
      </c>
      <c r="Z386" s="484">
        <v>44294</v>
      </c>
      <c r="AA386" s="484">
        <v>44550</v>
      </c>
      <c r="AB386" s="485" t="s">
        <v>2548</v>
      </c>
      <c r="AC386" s="483" t="s">
        <v>3440</v>
      </c>
      <c r="AD386" s="485" t="s">
        <v>3693</v>
      </c>
      <c r="AE386" s="486" t="s">
        <v>3694</v>
      </c>
      <c r="AF386" s="473">
        <v>42473590</v>
      </c>
      <c r="AG386" s="474">
        <f t="shared" si="6"/>
        <v>2526410</v>
      </c>
      <c r="AL386" s="475">
        <v>3830951</v>
      </c>
      <c r="AM386" s="306">
        <v>4996893</v>
      </c>
    </row>
    <row r="387" spans="1:39" hidden="1" x14ac:dyDescent="0.35">
      <c r="A387" s="476" t="s">
        <v>1727</v>
      </c>
      <c r="B387" s="477">
        <v>69600000</v>
      </c>
      <c r="C387" s="212" t="s">
        <v>2544</v>
      </c>
      <c r="D387" s="478">
        <v>382</v>
      </c>
      <c r="E387" s="478">
        <v>20213000014923</v>
      </c>
      <c r="F387" s="479">
        <v>44272</v>
      </c>
      <c r="G387" s="478" t="s">
        <v>2538</v>
      </c>
      <c r="H387" s="212" t="s">
        <v>2539</v>
      </c>
      <c r="I387" s="212" t="s">
        <v>432</v>
      </c>
      <c r="J387" s="475">
        <v>62400000</v>
      </c>
      <c r="K387" s="212" t="s">
        <v>342</v>
      </c>
      <c r="L387" s="212" t="s">
        <v>351</v>
      </c>
      <c r="M387" s="212" t="s">
        <v>44</v>
      </c>
      <c r="N387" s="212" t="s">
        <v>45</v>
      </c>
      <c r="O387" s="212" t="s">
        <v>63</v>
      </c>
      <c r="P387" s="212" t="s">
        <v>674</v>
      </c>
      <c r="R387" s="486">
        <v>451</v>
      </c>
      <c r="S387" s="490">
        <v>44272</v>
      </c>
      <c r="T387" s="486" t="s">
        <v>3695</v>
      </c>
      <c r="U387" s="475">
        <v>62400000</v>
      </c>
      <c r="V387" s="406"/>
      <c r="W387" s="362"/>
      <c r="X387" s="483" t="s">
        <v>3493</v>
      </c>
      <c r="Y387" s="484">
        <v>44280</v>
      </c>
      <c r="Z387" s="484">
        <v>44280</v>
      </c>
      <c r="AA387" s="484">
        <v>44464</v>
      </c>
      <c r="AB387" s="485" t="s">
        <v>2548</v>
      </c>
      <c r="AC387" s="483" t="s">
        <v>3696</v>
      </c>
      <c r="AD387" s="485" t="s">
        <v>3697</v>
      </c>
      <c r="AE387" s="486" t="s">
        <v>2691</v>
      </c>
      <c r="AF387" s="473">
        <v>62400000</v>
      </c>
      <c r="AG387" s="474">
        <f t="shared" si="6"/>
        <v>0</v>
      </c>
      <c r="AK387" s="475">
        <v>1733333</v>
      </c>
      <c r="AL387" s="475">
        <v>10400000</v>
      </c>
      <c r="AM387" s="306">
        <v>10400000</v>
      </c>
    </row>
    <row r="388" spans="1:39" hidden="1" x14ac:dyDescent="0.35">
      <c r="A388" s="476" t="s">
        <v>2234</v>
      </c>
      <c r="B388" s="477">
        <v>36000000</v>
      </c>
      <c r="C388" s="212" t="s">
        <v>2544</v>
      </c>
      <c r="D388" s="478">
        <v>383</v>
      </c>
      <c r="E388" s="478">
        <v>20216000013783</v>
      </c>
      <c r="F388" s="310">
        <v>44265</v>
      </c>
      <c r="G388" s="478" t="s">
        <v>2545</v>
      </c>
      <c r="H388" s="212" t="s">
        <v>2546</v>
      </c>
      <c r="I388" s="212" t="s">
        <v>214</v>
      </c>
      <c r="J388" s="475">
        <v>36000000</v>
      </c>
      <c r="K388" s="212" t="s">
        <v>138</v>
      </c>
      <c r="L388" s="212" t="s">
        <v>139</v>
      </c>
      <c r="M388" s="212" t="s">
        <v>44</v>
      </c>
      <c r="N388" s="212" t="s">
        <v>45</v>
      </c>
      <c r="O388" s="212" t="s">
        <v>142</v>
      </c>
      <c r="P388" s="212" t="s">
        <v>43</v>
      </c>
      <c r="R388" s="212">
        <v>394</v>
      </c>
      <c r="S388" s="490">
        <v>44266</v>
      </c>
      <c r="T388" s="486" t="s">
        <v>3698</v>
      </c>
      <c r="U388" s="475">
        <v>36000000</v>
      </c>
      <c r="V388" s="406"/>
      <c r="W388" s="362"/>
      <c r="X388" s="308">
        <v>302</v>
      </c>
      <c r="Y388" s="491">
        <v>44279</v>
      </c>
      <c r="Z388" s="491">
        <v>44256</v>
      </c>
      <c r="AA388" s="491">
        <v>44286</v>
      </c>
      <c r="AB388" s="485" t="s">
        <v>2548</v>
      </c>
      <c r="AC388" s="211">
        <v>213</v>
      </c>
      <c r="AD388" s="492" t="s">
        <v>3699</v>
      </c>
      <c r="AE388" s="493" t="s">
        <v>3700</v>
      </c>
      <c r="AF388" s="473">
        <v>36000000</v>
      </c>
      <c r="AG388" s="474">
        <f t="shared" si="6"/>
        <v>0</v>
      </c>
      <c r="AK388" s="475">
        <v>933333</v>
      </c>
      <c r="AL388" s="475">
        <v>4000000</v>
      </c>
      <c r="AM388" s="306">
        <v>4000000</v>
      </c>
    </row>
    <row r="389" spans="1:39" hidden="1" x14ac:dyDescent="0.35">
      <c r="A389" s="476" t="s">
        <v>2238</v>
      </c>
      <c r="B389" s="477">
        <v>24300000</v>
      </c>
      <c r="C389" s="212" t="s">
        <v>2544</v>
      </c>
      <c r="D389" s="478">
        <v>384</v>
      </c>
      <c r="E389" s="478">
        <v>20216000013823</v>
      </c>
      <c r="F389" s="310">
        <v>44265</v>
      </c>
      <c r="G389" s="478" t="s">
        <v>2545</v>
      </c>
      <c r="H389" s="212" t="s">
        <v>2546</v>
      </c>
      <c r="I389" s="212" t="s">
        <v>214</v>
      </c>
      <c r="J389" s="475">
        <v>24300000</v>
      </c>
      <c r="K389" s="212" t="s">
        <v>138</v>
      </c>
      <c r="L389" s="212" t="s">
        <v>139</v>
      </c>
      <c r="M389" s="212" t="s">
        <v>44</v>
      </c>
      <c r="N389" s="212" t="s">
        <v>45</v>
      </c>
      <c r="O389" s="212" t="s">
        <v>142</v>
      </c>
      <c r="P389" s="212" t="s">
        <v>43</v>
      </c>
      <c r="R389" s="212">
        <v>396</v>
      </c>
      <c r="S389" s="490">
        <v>44266</v>
      </c>
      <c r="T389" s="486" t="s">
        <v>3701</v>
      </c>
      <c r="U389" s="475">
        <v>24300000</v>
      </c>
      <c r="V389" s="406"/>
      <c r="W389" s="362"/>
      <c r="X389" s="483" t="s">
        <v>3702</v>
      </c>
      <c r="Y389" s="484">
        <v>44285</v>
      </c>
      <c r="Z389" s="484">
        <v>44285</v>
      </c>
      <c r="AA389" s="484">
        <v>44560</v>
      </c>
      <c r="AB389" s="485" t="s">
        <v>2548</v>
      </c>
      <c r="AC389" s="483" t="s">
        <v>3703</v>
      </c>
      <c r="AD389" s="485" t="s">
        <v>3704</v>
      </c>
      <c r="AE389" s="486" t="s">
        <v>3705</v>
      </c>
      <c r="AF389" s="473">
        <v>24300000</v>
      </c>
      <c r="AG389" s="474">
        <f t="shared" si="6"/>
        <v>0</v>
      </c>
      <c r="AL389" s="475">
        <v>2790000</v>
      </c>
      <c r="AM389" s="306">
        <v>2700000</v>
      </c>
    </row>
    <row r="390" spans="1:39" hidden="1" x14ac:dyDescent="0.35">
      <c r="A390" s="476" t="s">
        <v>2242</v>
      </c>
      <c r="B390" s="477">
        <v>46350000</v>
      </c>
      <c r="C390" s="212" t="s">
        <v>2544</v>
      </c>
      <c r="D390" s="478">
        <v>385</v>
      </c>
      <c r="E390" s="478">
        <v>20216000013843</v>
      </c>
      <c r="F390" s="310">
        <v>44265</v>
      </c>
      <c r="G390" s="478" t="s">
        <v>2545</v>
      </c>
      <c r="H390" s="212" t="s">
        <v>2546</v>
      </c>
      <c r="I390" s="212" t="s">
        <v>214</v>
      </c>
      <c r="J390" s="475">
        <v>46350000</v>
      </c>
      <c r="K390" s="212" t="s">
        <v>138</v>
      </c>
      <c r="L390" s="212" t="s">
        <v>139</v>
      </c>
      <c r="M390" s="212" t="s">
        <v>44</v>
      </c>
      <c r="N390" s="212" t="s">
        <v>45</v>
      </c>
      <c r="O390" s="212" t="s">
        <v>142</v>
      </c>
      <c r="P390" s="212" t="s">
        <v>43</v>
      </c>
      <c r="R390" s="212">
        <v>397</v>
      </c>
      <c r="S390" s="490">
        <v>44266</v>
      </c>
      <c r="T390" s="486" t="s">
        <v>3706</v>
      </c>
      <c r="U390" s="475">
        <v>46350000</v>
      </c>
      <c r="V390" s="406"/>
      <c r="W390" s="362"/>
      <c r="X390" s="483" t="s">
        <v>3707</v>
      </c>
      <c r="Y390" s="484">
        <v>44285</v>
      </c>
      <c r="Z390" s="484">
        <v>44285</v>
      </c>
      <c r="AA390" s="484">
        <v>44560</v>
      </c>
      <c r="AB390" s="485" t="s">
        <v>2548</v>
      </c>
      <c r="AC390" s="483" t="s">
        <v>3708</v>
      </c>
      <c r="AD390" s="485" t="s">
        <v>3709</v>
      </c>
      <c r="AE390" s="486" t="s">
        <v>3710</v>
      </c>
      <c r="AF390" s="473">
        <v>46350000</v>
      </c>
      <c r="AG390" s="474">
        <f t="shared" si="6"/>
        <v>0</v>
      </c>
      <c r="AM390" s="306">
        <f>6351667+4120000</f>
        <v>10471667</v>
      </c>
    </row>
    <row r="391" spans="1:39" hidden="1" x14ac:dyDescent="0.35">
      <c r="A391" s="476" t="s">
        <v>2243</v>
      </c>
      <c r="B391" s="477">
        <v>64800000</v>
      </c>
      <c r="C391" s="212" t="s">
        <v>2544</v>
      </c>
      <c r="D391" s="478">
        <v>386</v>
      </c>
      <c r="E391" s="478">
        <v>20216000013853</v>
      </c>
      <c r="F391" s="310">
        <v>44265</v>
      </c>
      <c r="G391" s="478" t="s">
        <v>2545</v>
      </c>
      <c r="H391" s="212" t="s">
        <v>2546</v>
      </c>
      <c r="I391" s="212" t="s">
        <v>214</v>
      </c>
      <c r="J391" s="475">
        <v>64800000</v>
      </c>
      <c r="K391" s="212" t="s">
        <v>138</v>
      </c>
      <c r="L391" s="212" t="s">
        <v>139</v>
      </c>
      <c r="M391" s="212" t="s">
        <v>44</v>
      </c>
      <c r="N391" s="212" t="s">
        <v>45</v>
      </c>
      <c r="O391" s="212" t="s">
        <v>142</v>
      </c>
      <c r="P391" s="212" t="s">
        <v>43</v>
      </c>
      <c r="R391" s="212">
        <v>398</v>
      </c>
      <c r="S391" s="490">
        <v>44266</v>
      </c>
      <c r="T391" s="486" t="s">
        <v>3711</v>
      </c>
      <c r="U391" s="475">
        <v>64800000</v>
      </c>
      <c r="V391" s="406"/>
      <c r="W391" s="362"/>
      <c r="X391" s="530" t="s">
        <v>3712</v>
      </c>
      <c r="Y391" s="491">
        <v>44278</v>
      </c>
      <c r="Z391" s="491">
        <v>44256</v>
      </c>
      <c r="AA391" s="491">
        <v>44286</v>
      </c>
      <c r="AB391" s="485" t="s">
        <v>2548</v>
      </c>
      <c r="AC391" s="211" t="s">
        <v>3713</v>
      </c>
      <c r="AD391" s="492" t="s">
        <v>3714</v>
      </c>
      <c r="AE391" s="493" t="s">
        <v>3715</v>
      </c>
      <c r="AF391" s="473">
        <v>64800000</v>
      </c>
      <c r="AG391" s="474">
        <f t="shared" si="6"/>
        <v>0</v>
      </c>
      <c r="AL391" s="475">
        <v>8880000</v>
      </c>
      <c r="AM391" s="306">
        <v>7200000</v>
      </c>
    </row>
    <row r="392" spans="1:39" hidden="1" x14ac:dyDescent="0.35">
      <c r="A392" s="476" t="s">
        <v>2245</v>
      </c>
      <c r="B392" s="477">
        <v>36000000</v>
      </c>
      <c r="C392" s="212" t="s">
        <v>2544</v>
      </c>
      <c r="D392" s="478">
        <v>387</v>
      </c>
      <c r="E392" s="478">
        <v>20216000013883</v>
      </c>
      <c r="F392" s="310">
        <v>44265</v>
      </c>
      <c r="G392" s="478" t="s">
        <v>2545</v>
      </c>
      <c r="H392" s="212" t="s">
        <v>2546</v>
      </c>
      <c r="I392" s="212" t="s">
        <v>214</v>
      </c>
      <c r="J392" s="475">
        <v>36000000</v>
      </c>
      <c r="K392" s="212" t="s">
        <v>138</v>
      </c>
      <c r="L392" s="212" t="s">
        <v>139</v>
      </c>
      <c r="M392" s="212" t="s">
        <v>44</v>
      </c>
      <c r="N392" s="212" t="s">
        <v>45</v>
      </c>
      <c r="O392" s="212" t="s">
        <v>142</v>
      </c>
      <c r="P392" s="212" t="s">
        <v>43</v>
      </c>
      <c r="R392" s="212">
        <v>399</v>
      </c>
      <c r="S392" s="490">
        <v>44266</v>
      </c>
      <c r="T392" s="486" t="s">
        <v>3716</v>
      </c>
      <c r="U392" s="475">
        <v>36000000</v>
      </c>
      <c r="V392" s="406"/>
      <c r="W392" s="362"/>
      <c r="X392" s="483" t="s">
        <v>3717</v>
      </c>
      <c r="Y392" s="484">
        <v>44292</v>
      </c>
      <c r="Z392" s="484">
        <v>44292</v>
      </c>
      <c r="AA392" s="484">
        <v>44561</v>
      </c>
      <c r="AB392" s="485" t="s">
        <v>2548</v>
      </c>
      <c r="AC392" s="483" t="s">
        <v>3379</v>
      </c>
      <c r="AD392" s="485" t="s">
        <v>3718</v>
      </c>
      <c r="AE392" s="486" t="s">
        <v>3719</v>
      </c>
      <c r="AF392" s="473">
        <v>35333333</v>
      </c>
      <c r="AG392" s="474">
        <f t="shared" si="6"/>
        <v>666667</v>
      </c>
      <c r="AL392" s="475">
        <v>3333333</v>
      </c>
      <c r="AM392" s="306">
        <v>4000000</v>
      </c>
    </row>
    <row r="393" spans="1:39" hidden="1" x14ac:dyDescent="0.35">
      <c r="B393" s="501" t="s">
        <v>2914</v>
      </c>
      <c r="C393" s="212" t="s">
        <v>3720</v>
      </c>
      <c r="D393" s="478">
        <v>388</v>
      </c>
      <c r="E393" s="478">
        <v>20217000014063</v>
      </c>
      <c r="F393" s="479">
        <v>44267</v>
      </c>
      <c r="G393" s="478" t="s">
        <v>2545</v>
      </c>
      <c r="H393" s="212" t="s">
        <v>2546</v>
      </c>
      <c r="I393" s="212" t="s">
        <v>164</v>
      </c>
      <c r="J393" s="475">
        <v>10533636</v>
      </c>
      <c r="K393" s="212" t="s">
        <v>138</v>
      </c>
      <c r="L393" s="212" t="s">
        <v>139</v>
      </c>
      <c r="M393" s="212" t="s">
        <v>44</v>
      </c>
      <c r="N393" s="212" t="s">
        <v>45</v>
      </c>
      <c r="O393" s="212" t="s">
        <v>142</v>
      </c>
      <c r="P393" s="212" t="s">
        <v>43</v>
      </c>
      <c r="R393" s="212">
        <v>423</v>
      </c>
      <c r="S393" s="490">
        <v>44267</v>
      </c>
      <c r="T393" s="486" t="s">
        <v>3721</v>
      </c>
      <c r="U393" s="475">
        <v>10533636</v>
      </c>
      <c r="V393" s="406"/>
      <c r="W393" s="362"/>
      <c r="X393" s="483" t="s">
        <v>3722</v>
      </c>
      <c r="Y393" s="484">
        <v>44285</v>
      </c>
      <c r="Z393" s="484">
        <v>44286</v>
      </c>
      <c r="AA393" s="484">
        <v>44331</v>
      </c>
      <c r="AB393" s="485" t="s">
        <v>2548</v>
      </c>
      <c r="AC393" s="483" t="s">
        <v>3723</v>
      </c>
      <c r="AD393" s="485" t="s">
        <v>3724</v>
      </c>
      <c r="AE393" s="486" t="s">
        <v>3725</v>
      </c>
      <c r="AF393" s="473">
        <v>10533636</v>
      </c>
      <c r="AG393" s="474">
        <f t="shared" si="6"/>
        <v>0</v>
      </c>
      <c r="AK393" s="475">
        <v>7022424</v>
      </c>
      <c r="AL393" s="475">
        <v>234081</v>
      </c>
      <c r="AM393" s="306">
        <v>3277131</v>
      </c>
    </row>
    <row r="394" spans="1:39" hidden="1" x14ac:dyDescent="0.35">
      <c r="A394" s="476" t="s">
        <v>2305</v>
      </c>
      <c r="B394" s="477">
        <v>22725578</v>
      </c>
      <c r="C394" s="212" t="s">
        <v>2544</v>
      </c>
      <c r="D394" s="478">
        <v>389</v>
      </c>
      <c r="E394" s="478">
        <v>20217000014443</v>
      </c>
      <c r="F394" s="479">
        <v>44267</v>
      </c>
      <c r="G394" s="478" t="s">
        <v>2545</v>
      </c>
      <c r="H394" s="212" t="s">
        <v>2546</v>
      </c>
      <c r="I394" s="212" t="s">
        <v>164</v>
      </c>
      <c r="J394" s="475">
        <v>7268208</v>
      </c>
      <c r="K394" s="212" t="s">
        <v>138</v>
      </c>
      <c r="L394" s="212" t="s">
        <v>139</v>
      </c>
      <c r="M394" s="212" t="s">
        <v>44</v>
      </c>
      <c r="N394" s="212" t="s">
        <v>45</v>
      </c>
      <c r="O394" s="212" t="s">
        <v>142</v>
      </c>
      <c r="P394" s="212" t="s">
        <v>43</v>
      </c>
      <c r="R394" s="212">
        <v>425</v>
      </c>
      <c r="S394" s="490">
        <v>44267</v>
      </c>
      <c r="T394" s="486" t="s">
        <v>3726</v>
      </c>
      <c r="U394" s="475">
        <v>7268208</v>
      </c>
      <c r="V394" s="406"/>
      <c r="W394" s="362"/>
      <c r="X394" s="483" t="s">
        <v>3727</v>
      </c>
      <c r="Y394" s="484">
        <v>44285</v>
      </c>
      <c r="Z394" s="484">
        <v>44285</v>
      </c>
      <c r="AA394" s="484">
        <v>44407</v>
      </c>
      <c r="AB394" s="485" t="s">
        <v>2548</v>
      </c>
      <c r="AC394" s="483" t="s">
        <v>3728</v>
      </c>
      <c r="AD394" s="485" t="s">
        <v>3729</v>
      </c>
      <c r="AE394" s="486" t="s">
        <v>2960</v>
      </c>
      <c r="AF394" s="473">
        <v>7268208</v>
      </c>
      <c r="AG394" s="474">
        <f t="shared" si="6"/>
        <v>0</v>
      </c>
      <c r="AL394" s="475">
        <v>1817052</v>
      </c>
      <c r="AM394" s="306">
        <v>1817052</v>
      </c>
    </row>
    <row r="395" spans="1:39" hidden="1" x14ac:dyDescent="0.35">
      <c r="A395" s="476" t="s">
        <v>2485</v>
      </c>
      <c r="B395" s="477">
        <v>90000000</v>
      </c>
      <c r="C395" s="212" t="s">
        <v>2544</v>
      </c>
      <c r="D395" s="478">
        <v>390</v>
      </c>
      <c r="E395" s="478">
        <v>20213000014583</v>
      </c>
      <c r="F395" s="479">
        <v>44272</v>
      </c>
      <c r="G395" s="478" t="s">
        <v>2538</v>
      </c>
      <c r="H395" s="212" t="s">
        <v>2539</v>
      </c>
      <c r="I395" s="212" t="s">
        <v>432</v>
      </c>
      <c r="J395" s="475">
        <v>81000000</v>
      </c>
      <c r="K395" s="212" t="s">
        <v>342</v>
      </c>
      <c r="L395" s="212" t="s">
        <v>351</v>
      </c>
      <c r="M395" s="212" t="s">
        <v>44</v>
      </c>
      <c r="N395" s="212" t="s">
        <v>45</v>
      </c>
      <c r="O395" s="212" t="s">
        <v>63</v>
      </c>
      <c r="P395" s="212" t="s">
        <v>674</v>
      </c>
      <c r="R395" s="486">
        <v>447</v>
      </c>
      <c r="S395" s="490">
        <v>44272</v>
      </c>
      <c r="T395" s="486" t="s">
        <v>3730</v>
      </c>
      <c r="U395" s="475">
        <v>81000000</v>
      </c>
      <c r="V395" s="406"/>
      <c r="W395" s="362"/>
      <c r="X395" s="483" t="s">
        <v>3676</v>
      </c>
      <c r="Y395" s="484">
        <v>44280</v>
      </c>
      <c r="Z395" s="484">
        <v>44280</v>
      </c>
      <c r="AA395" s="484">
        <v>44555</v>
      </c>
      <c r="AB395" s="485" t="s">
        <v>2548</v>
      </c>
      <c r="AC395" s="483" t="s">
        <v>3731</v>
      </c>
      <c r="AD395" s="485" t="s">
        <v>3732</v>
      </c>
      <c r="AE395" s="486" t="s">
        <v>3733</v>
      </c>
      <c r="AF395" s="473">
        <v>81000000</v>
      </c>
      <c r="AG395" s="474">
        <f t="shared" si="6"/>
        <v>0</v>
      </c>
      <c r="AL395" s="475">
        <v>10500000</v>
      </c>
      <c r="AM395" s="212"/>
    </row>
    <row r="396" spans="1:39" hidden="1" x14ac:dyDescent="0.35">
      <c r="A396" s="476" t="s">
        <v>1860</v>
      </c>
      <c r="B396" s="477">
        <v>53100000</v>
      </c>
      <c r="C396" s="212" t="s">
        <v>2544</v>
      </c>
      <c r="D396" s="478">
        <v>391</v>
      </c>
      <c r="E396" s="478">
        <v>20216000014463</v>
      </c>
      <c r="F396" s="479">
        <v>44267</v>
      </c>
      <c r="G396" s="478" t="s">
        <v>2545</v>
      </c>
      <c r="H396" s="212" t="s">
        <v>2546</v>
      </c>
      <c r="I396" s="212" t="s">
        <v>214</v>
      </c>
      <c r="J396" s="475">
        <v>53100000</v>
      </c>
      <c r="K396" s="212" t="s">
        <v>138</v>
      </c>
      <c r="L396" s="212" t="s">
        <v>139</v>
      </c>
      <c r="M396" s="212" t="s">
        <v>44</v>
      </c>
      <c r="N396" s="212" t="s">
        <v>45</v>
      </c>
      <c r="O396" s="212" t="s">
        <v>142</v>
      </c>
      <c r="P396" s="212" t="s">
        <v>43</v>
      </c>
      <c r="R396" s="212">
        <v>426</v>
      </c>
      <c r="S396" s="490">
        <v>44267</v>
      </c>
      <c r="T396" s="486" t="s">
        <v>3734</v>
      </c>
      <c r="U396" s="475">
        <v>53100000</v>
      </c>
      <c r="V396" s="406"/>
      <c r="W396" s="362"/>
      <c r="X396" s="483" t="s">
        <v>3735</v>
      </c>
      <c r="Y396" s="484">
        <v>44295</v>
      </c>
      <c r="Z396" s="484">
        <v>44295</v>
      </c>
      <c r="AA396" s="484">
        <v>44550</v>
      </c>
      <c r="AB396" s="485" t="s">
        <v>2548</v>
      </c>
      <c r="AC396" s="483" t="s">
        <v>3472</v>
      </c>
      <c r="AD396" s="485" t="s">
        <v>3736</v>
      </c>
      <c r="AE396" s="486" t="s">
        <v>3737</v>
      </c>
      <c r="AF396" s="473">
        <v>50150000</v>
      </c>
      <c r="AG396" s="474">
        <f t="shared" si="6"/>
        <v>2950000</v>
      </c>
      <c r="AL396" s="475">
        <v>4326667</v>
      </c>
      <c r="AM396" s="306">
        <v>5900000</v>
      </c>
    </row>
    <row r="397" spans="1:39" hidden="1" x14ac:dyDescent="0.35">
      <c r="B397" s="501" t="s">
        <v>2914</v>
      </c>
      <c r="C397" s="212" t="s">
        <v>3738</v>
      </c>
      <c r="D397" s="478">
        <v>392</v>
      </c>
      <c r="E397" s="478">
        <v>20217000014533</v>
      </c>
      <c r="F397" s="479">
        <v>44267</v>
      </c>
      <c r="G397" s="478" t="s">
        <v>2545</v>
      </c>
      <c r="H397" s="212" t="s">
        <v>2546</v>
      </c>
      <c r="I397" s="212" t="s">
        <v>164</v>
      </c>
      <c r="J397" s="475">
        <v>7800000</v>
      </c>
      <c r="K397" s="212" t="s">
        <v>138</v>
      </c>
      <c r="L397" s="212" t="s">
        <v>139</v>
      </c>
      <c r="M397" s="212" t="s">
        <v>44</v>
      </c>
      <c r="N397" s="212" t="s">
        <v>45</v>
      </c>
      <c r="O397" s="212" t="s">
        <v>142</v>
      </c>
      <c r="P397" s="212" t="s">
        <v>43</v>
      </c>
      <c r="R397" s="212">
        <v>428</v>
      </c>
      <c r="S397" s="490">
        <v>44267</v>
      </c>
      <c r="T397" s="486" t="s">
        <v>3739</v>
      </c>
      <c r="U397" s="475">
        <v>7800000</v>
      </c>
      <c r="V397" s="406"/>
      <c r="W397" s="362"/>
      <c r="X397" s="483" t="s">
        <v>3740</v>
      </c>
      <c r="Y397" s="484">
        <v>44285</v>
      </c>
      <c r="Z397" s="484">
        <v>44288</v>
      </c>
      <c r="AA397" s="484">
        <v>44347</v>
      </c>
      <c r="AB397" s="485" t="s">
        <v>2548</v>
      </c>
      <c r="AC397" s="483" t="s">
        <v>3741</v>
      </c>
      <c r="AD397" s="485" t="s">
        <v>3742</v>
      </c>
      <c r="AE397" s="486" t="s">
        <v>3743</v>
      </c>
      <c r="AF397" s="473">
        <v>7800000</v>
      </c>
      <c r="AG397" s="474">
        <f t="shared" si="6"/>
        <v>0</v>
      </c>
      <c r="AM397" s="306">
        <v>3900000</v>
      </c>
    </row>
    <row r="398" spans="1:39" s="312" customFormat="1" hidden="1" x14ac:dyDescent="0.35">
      <c r="A398" s="476"/>
      <c r="B398" s="501" t="s">
        <v>2581</v>
      </c>
      <c r="C398" s="312" t="s">
        <v>3744</v>
      </c>
      <c r="D398" s="325">
        <v>393</v>
      </c>
      <c r="E398" s="325">
        <v>20217000014543</v>
      </c>
      <c r="F398" s="315">
        <v>44267</v>
      </c>
      <c r="G398" s="325" t="s">
        <v>2545</v>
      </c>
      <c r="H398" s="312" t="s">
        <v>2546</v>
      </c>
      <c r="I398" s="312" t="s">
        <v>164</v>
      </c>
      <c r="J398" s="405"/>
      <c r="K398" s="312" t="s">
        <v>138</v>
      </c>
      <c r="L398" s="312" t="s">
        <v>139</v>
      </c>
      <c r="M398" s="312" t="s">
        <v>44</v>
      </c>
      <c r="N398" s="312" t="s">
        <v>45</v>
      </c>
      <c r="O398" s="312" t="s">
        <v>142</v>
      </c>
      <c r="P398" s="312" t="s">
        <v>43</v>
      </c>
      <c r="Q398" s="312" t="s">
        <v>3198</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x14ac:dyDescent="0.35">
      <c r="A399" s="476" t="s">
        <v>2100</v>
      </c>
      <c r="B399" s="477">
        <v>54000000</v>
      </c>
      <c r="C399" s="212" t="s">
        <v>2544</v>
      </c>
      <c r="D399" s="478">
        <v>394</v>
      </c>
      <c r="E399" s="478">
        <v>20211200014573</v>
      </c>
      <c r="F399" s="310">
        <v>44267</v>
      </c>
      <c r="G399" s="309" t="s">
        <v>2545</v>
      </c>
      <c r="H399" s="210" t="s">
        <v>2546</v>
      </c>
      <c r="I399" s="212" t="s">
        <v>143</v>
      </c>
      <c r="J399" s="407">
        <v>54000000</v>
      </c>
      <c r="K399" s="210" t="s">
        <v>138</v>
      </c>
      <c r="L399" s="210" t="s">
        <v>139</v>
      </c>
      <c r="M399" s="210" t="s">
        <v>44</v>
      </c>
      <c r="N399" s="210" t="s">
        <v>45</v>
      </c>
      <c r="O399" s="210" t="s">
        <v>142</v>
      </c>
      <c r="P399" s="210" t="s">
        <v>43</v>
      </c>
      <c r="R399" s="212">
        <v>429</v>
      </c>
      <c r="S399" s="490">
        <v>44267</v>
      </c>
      <c r="T399" s="486" t="s">
        <v>3745</v>
      </c>
      <c r="U399" s="475">
        <v>54000000</v>
      </c>
      <c r="V399" s="406"/>
      <c r="W399" s="362"/>
      <c r="X399" s="483" t="s">
        <v>3746</v>
      </c>
      <c r="Y399" s="484">
        <v>44286</v>
      </c>
      <c r="Z399" s="484">
        <v>44286</v>
      </c>
      <c r="AA399" s="484">
        <v>44555</v>
      </c>
      <c r="AB399" s="485" t="s">
        <v>2548</v>
      </c>
      <c r="AC399" s="483" t="s">
        <v>3747</v>
      </c>
      <c r="AD399" s="485" t="s">
        <v>3748</v>
      </c>
      <c r="AE399" s="486" t="s">
        <v>3749</v>
      </c>
      <c r="AF399" s="473">
        <v>53200000</v>
      </c>
      <c r="AG399" s="474">
        <f t="shared" si="6"/>
        <v>800000</v>
      </c>
      <c r="AL399" s="475">
        <v>6200000</v>
      </c>
      <c r="AM399" s="306">
        <v>6000000</v>
      </c>
    </row>
    <row r="400" spans="1:39" s="312" customFormat="1" hidden="1" x14ac:dyDescent="0.35">
      <c r="A400" s="361" t="s">
        <v>3750</v>
      </c>
      <c r="B400" s="417">
        <v>44972037</v>
      </c>
      <c r="C400" s="312" t="s">
        <v>2660</v>
      </c>
      <c r="D400" s="325">
        <v>395</v>
      </c>
      <c r="E400" s="325">
        <v>20216000014153</v>
      </c>
      <c r="F400" s="315">
        <v>44267</v>
      </c>
      <c r="G400" s="325" t="s">
        <v>2545</v>
      </c>
      <c r="H400" s="312" t="s">
        <v>2546</v>
      </c>
      <c r="I400" s="312" t="s">
        <v>214</v>
      </c>
      <c r="J400" s="405">
        <v>44972037</v>
      </c>
      <c r="K400" s="312" t="s">
        <v>138</v>
      </c>
      <c r="L400" s="312" t="s">
        <v>139</v>
      </c>
      <c r="M400" s="312" t="s">
        <v>44</v>
      </c>
      <c r="N400" s="312" t="s">
        <v>45</v>
      </c>
      <c r="O400" s="312" t="s">
        <v>142</v>
      </c>
      <c r="P400" s="312" t="s">
        <v>43</v>
      </c>
      <c r="R400" s="312">
        <v>424</v>
      </c>
      <c r="S400" s="363">
        <v>44267</v>
      </c>
      <c r="T400" s="360" t="s">
        <v>3751</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x14ac:dyDescent="0.35">
      <c r="B401" s="501" t="s">
        <v>2581</v>
      </c>
      <c r="C401" s="212" t="s">
        <v>3752</v>
      </c>
      <c r="D401" s="478">
        <v>396</v>
      </c>
      <c r="E401" s="478">
        <v>20217000014653</v>
      </c>
      <c r="F401" s="479">
        <v>44267</v>
      </c>
      <c r="G401" s="478" t="s">
        <v>2545</v>
      </c>
      <c r="H401" s="212" t="s">
        <v>2546</v>
      </c>
      <c r="I401" s="212" t="s">
        <v>214</v>
      </c>
      <c r="J401" s="475">
        <v>6320181</v>
      </c>
      <c r="K401" s="212" t="s">
        <v>138</v>
      </c>
      <c r="L401" s="212" t="s">
        <v>139</v>
      </c>
      <c r="M401" s="212" t="s">
        <v>44</v>
      </c>
      <c r="N401" s="212" t="s">
        <v>45</v>
      </c>
      <c r="O401" s="212" t="s">
        <v>142</v>
      </c>
      <c r="P401" s="212" t="s">
        <v>43</v>
      </c>
      <c r="R401" s="212">
        <v>430</v>
      </c>
      <c r="S401" s="490">
        <v>44267</v>
      </c>
      <c r="T401" s="486" t="s">
        <v>3753</v>
      </c>
      <c r="U401" s="475">
        <v>6320181</v>
      </c>
      <c r="V401" s="406"/>
      <c r="W401" s="362"/>
      <c r="X401" s="483" t="s">
        <v>3754</v>
      </c>
      <c r="Y401" s="484">
        <v>44285</v>
      </c>
      <c r="Z401" s="484">
        <v>44285</v>
      </c>
      <c r="AA401" s="484">
        <v>44338</v>
      </c>
      <c r="AB401" s="485" t="s">
        <v>2548</v>
      </c>
      <c r="AC401" s="483" t="s">
        <v>3755</v>
      </c>
      <c r="AD401" s="485" t="s">
        <v>3756</v>
      </c>
      <c r="AE401" s="486" t="s">
        <v>3757</v>
      </c>
      <c r="AF401" s="473">
        <v>6320181</v>
      </c>
      <c r="AG401" s="474">
        <f t="shared" si="6"/>
        <v>0</v>
      </c>
      <c r="AK401" s="475">
        <v>117040</v>
      </c>
      <c r="AL401" s="475">
        <v>3511212</v>
      </c>
      <c r="AM401" s="306">
        <v>2574889</v>
      </c>
    </row>
    <row r="402" spans="1:39" hidden="1" x14ac:dyDescent="0.35">
      <c r="A402" s="476" t="s">
        <v>2102</v>
      </c>
      <c r="B402" s="477">
        <v>58500000</v>
      </c>
      <c r="C402" s="212" t="s">
        <v>2544</v>
      </c>
      <c r="D402" s="478">
        <v>397</v>
      </c>
      <c r="E402" s="478">
        <v>20211200014703</v>
      </c>
      <c r="F402" s="479">
        <v>44270</v>
      </c>
      <c r="G402" s="309" t="s">
        <v>2545</v>
      </c>
      <c r="H402" s="210" t="s">
        <v>2546</v>
      </c>
      <c r="I402" s="212" t="s">
        <v>143</v>
      </c>
      <c r="J402" s="407">
        <v>56000000</v>
      </c>
      <c r="K402" s="210" t="s">
        <v>138</v>
      </c>
      <c r="L402" s="210" t="s">
        <v>139</v>
      </c>
      <c r="M402" s="210" t="s">
        <v>44</v>
      </c>
      <c r="N402" s="210" t="s">
        <v>45</v>
      </c>
      <c r="O402" s="210" t="s">
        <v>142</v>
      </c>
      <c r="P402" s="210" t="s">
        <v>43</v>
      </c>
      <c r="R402" s="486">
        <v>434</v>
      </c>
      <c r="S402" s="490">
        <v>44271</v>
      </c>
      <c r="T402" s="486" t="s">
        <v>3758</v>
      </c>
      <c r="U402" s="475">
        <v>56000000</v>
      </c>
      <c r="V402" s="406"/>
      <c r="W402" s="362"/>
      <c r="X402" s="483" t="s">
        <v>3759</v>
      </c>
      <c r="Y402" s="484">
        <v>44286</v>
      </c>
      <c r="Z402" s="484">
        <v>44286</v>
      </c>
      <c r="AA402" s="484">
        <v>44530</v>
      </c>
      <c r="AB402" s="485" t="s">
        <v>2548</v>
      </c>
      <c r="AC402" s="483" t="s">
        <v>3760</v>
      </c>
      <c r="AD402" s="485" t="s">
        <v>3761</v>
      </c>
      <c r="AE402" s="486" t="s">
        <v>3762</v>
      </c>
      <c r="AF402" s="473">
        <v>56000000</v>
      </c>
      <c r="AG402" s="474">
        <f t="shared" si="6"/>
        <v>0</v>
      </c>
      <c r="AL402" s="475">
        <v>7000000</v>
      </c>
      <c r="AM402" s="306">
        <v>7000000</v>
      </c>
    </row>
    <row r="403" spans="1:39" hidden="1" x14ac:dyDescent="0.35">
      <c r="A403" s="476" t="s">
        <v>2096</v>
      </c>
      <c r="B403" s="477">
        <v>12000000</v>
      </c>
      <c r="C403" s="212" t="s">
        <v>2544</v>
      </c>
      <c r="D403" s="478">
        <v>398</v>
      </c>
      <c r="E403" s="478">
        <v>20211200014793</v>
      </c>
      <c r="F403" s="479">
        <v>44270</v>
      </c>
      <c r="G403" s="309" t="s">
        <v>2545</v>
      </c>
      <c r="H403" s="210" t="s">
        <v>2546</v>
      </c>
      <c r="I403" s="212" t="s">
        <v>143</v>
      </c>
      <c r="J403" s="407">
        <v>12000000</v>
      </c>
      <c r="K403" s="210" t="s">
        <v>138</v>
      </c>
      <c r="L403" s="210" t="s">
        <v>139</v>
      </c>
      <c r="M403" s="210" t="s">
        <v>44</v>
      </c>
      <c r="N403" s="210" t="s">
        <v>45</v>
      </c>
      <c r="O403" s="210" t="s">
        <v>142</v>
      </c>
      <c r="P403" s="210" t="s">
        <v>43</v>
      </c>
      <c r="R403" s="486">
        <v>435</v>
      </c>
      <c r="S403" s="490">
        <v>44271</v>
      </c>
      <c r="T403" s="486" t="s">
        <v>3763</v>
      </c>
      <c r="U403" s="475">
        <v>12000000</v>
      </c>
      <c r="V403" s="406"/>
      <c r="W403" s="362"/>
      <c r="X403" s="483" t="s">
        <v>3764</v>
      </c>
      <c r="Y403" s="484">
        <v>44285</v>
      </c>
      <c r="Z403" s="484">
        <v>44285</v>
      </c>
      <c r="AA403" s="484">
        <v>44407</v>
      </c>
      <c r="AB403" s="485" t="s">
        <v>2548</v>
      </c>
      <c r="AC403" s="483" t="s">
        <v>3765</v>
      </c>
      <c r="AD403" s="485" t="s">
        <v>3766</v>
      </c>
      <c r="AE403" s="486" t="s">
        <v>3767</v>
      </c>
      <c r="AF403" s="473">
        <v>12000000</v>
      </c>
      <c r="AG403" s="474">
        <f t="shared" si="6"/>
        <v>0</v>
      </c>
      <c r="AM403" s="306">
        <f>3000000+3000000</f>
        <v>6000000</v>
      </c>
    </row>
    <row r="404" spans="1:39" hidden="1" x14ac:dyDescent="0.35">
      <c r="B404" s="501" t="s">
        <v>2581</v>
      </c>
      <c r="C404" s="212" t="s">
        <v>3744</v>
      </c>
      <c r="D404" s="478">
        <v>399</v>
      </c>
      <c r="E404" s="478">
        <v>20217000014543</v>
      </c>
      <c r="F404" s="479">
        <v>44270</v>
      </c>
      <c r="G404" s="478" t="s">
        <v>2545</v>
      </c>
      <c r="H404" s="212" t="s">
        <v>2546</v>
      </c>
      <c r="I404" s="212" t="s">
        <v>164</v>
      </c>
      <c r="J404" s="475">
        <v>5478400</v>
      </c>
      <c r="K404" s="212" t="s">
        <v>138</v>
      </c>
      <c r="L404" s="212" t="s">
        <v>139</v>
      </c>
      <c r="M404" s="212" t="s">
        <v>44</v>
      </c>
      <c r="N404" s="212" t="s">
        <v>45</v>
      </c>
      <c r="O404" s="212" t="s">
        <v>142</v>
      </c>
      <c r="P404" s="212" t="s">
        <v>43</v>
      </c>
      <c r="R404" s="486">
        <v>433</v>
      </c>
      <c r="S404" s="490">
        <v>44271</v>
      </c>
      <c r="T404" s="486" t="s">
        <v>3768</v>
      </c>
      <c r="U404" s="475">
        <v>5478400</v>
      </c>
      <c r="V404" s="406"/>
      <c r="W404" s="362"/>
      <c r="X404" s="483" t="s">
        <v>3769</v>
      </c>
      <c r="Y404" s="484">
        <v>44285</v>
      </c>
      <c r="Z404" s="484">
        <v>44287</v>
      </c>
      <c r="AA404" s="484">
        <v>44339</v>
      </c>
      <c r="AB404" s="485" t="s">
        <v>2548</v>
      </c>
      <c r="AC404" s="483" t="s">
        <v>3770</v>
      </c>
      <c r="AD404" s="485" t="s">
        <v>3771</v>
      </c>
      <c r="AE404" s="486" t="s">
        <v>3772</v>
      </c>
      <c r="AF404" s="473">
        <v>5427200</v>
      </c>
      <c r="AG404" s="474">
        <f t="shared" si="6"/>
        <v>51200</v>
      </c>
      <c r="AL404" s="475">
        <v>3072000</v>
      </c>
      <c r="AM404" s="212"/>
    </row>
    <row r="405" spans="1:39" hidden="1" x14ac:dyDescent="0.35">
      <c r="B405" s="501" t="s">
        <v>2581</v>
      </c>
      <c r="C405" s="212" t="s">
        <v>3773</v>
      </c>
      <c r="D405" s="478">
        <v>400</v>
      </c>
      <c r="E405" s="478">
        <v>20217000014983</v>
      </c>
      <c r="F405" s="479">
        <v>44270</v>
      </c>
      <c r="G405" s="478" t="s">
        <v>2545</v>
      </c>
      <c r="H405" s="212" t="s">
        <v>2546</v>
      </c>
      <c r="I405" s="212" t="s">
        <v>164</v>
      </c>
      <c r="J405" s="475">
        <v>7241874</v>
      </c>
      <c r="K405" s="212" t="s">
        <v>138</v>
      </c>
      <c r="L405" s="212" t="s">
        <v>139</v>
      </c>
      <c r="M405" s="212" t="s">
        <v>44</v>
      </c>
      <c r="N405" s="212" t="s">
        <v>45</v>
      </c>
      <c r="O405" s="212" t="s">
        <v>142</v>
      </c>
      <c r="P405" s="212" t="s">
        <v>43</v>
      </c>
      <c r="R405" s="486">
        <v>436</v>
      </c>
      <c r="S405" s="490">
        <v>44271</v>
      </c>
      <c r="T405" s="486" t="s">
        <v>3774</v>
      </c>
      <c r="U405" s="475">
        <v>7241874</v>
      </c>
      <c r="V405" s="406"/>
      <c r="W405" s="362"/>
      <c r="X405" s="483" t="s">
        <v>3775</v>
      </c>
      <c r="Y405" s="484">
        <v>44285</v>
      </c>
      <c r="Z405" s="484">
        <v>44285</v>
      </c>
      <c r="AA405" s="484">
        <v>44341</v>
      </c>
      <c r="AB405" s="485" t="s">
        <v>2548</v>
      </c>
      <c r="AC405" s="483" t="s">
        <v>3776</v>
      </c>
      <c r="AD405" s="485" t="s">
        <v>3777</v>
      </c>
      <c r="AE405" s="486" t="s">
        <v>3778</v>
      </c>
      <c r="AF405" s="473">
        <v>7241874</v>
      </c>
      <c r="AG405" s="474">
        <f t="shared" si="6"/>
        <v>0</v>
      </c>
      <c r="AL405" s="475">
        <v>4061785</v>
      </c>
      <c r="AM405" s="306">
        <v>20000</v>
      </c>
    </row>
    <row r="406" spans="1:39" hidden="1" x14ac:dyDescent="0.35">
      <c r="A406" s="476" t="s">
        <v>2310</v>
      </c>
      <c r="B406" s="477">
        <v>65413872</v>
      </c>
      <c r="C406" s="212" t="s">
        <v>2544</v>
      </c>
      <c r="D406" s="478">
        <v>401</v>
      </c>
      <c r="E406" s="478">
        <v>20217000014993</v>
      </c>
      <c r="F406" s="479">
        <v>44270</v>
      </c>
      <c r="G406" s="478" t="s">
        <v>2545</v>
      </c>
      <c r="H406" s="212" t="s">
        <v>2546</v>
      </c>
      <c r="I406" s="212" t="s">
        <v>164</v>
      </c>
      <c r="J406" s="475">
        <v>54600000</v>
      </c>
      <c r="K406" s="212" t="s">
        <v>138</v>
      </c>
      <c r="L406" s="212" t="s">
        <v>139</v>
      </c>
      <c r="M406" s="212" t="s">
        <v>44</v>
      </c>
      <c r="N406" s="212" t="s">
        <v>45</v>
      </c>
      <c r="O406" s="212" t="s">
        <v>142</v>
      </c>
      <c r="P406" s="212" t="s">
        <v>43</v>
      </c>
      <c r="R406" s="486">
        <v>437</v>
      </c>
      <c r="S406" s="490">
        <v>44271</v>
      </c>
      <c r="T406" s="486" t="s">
        <v>3779</v>
      </c>
      <c r="U406" s="475">
        <v>54600000</v>
      </c>
      <c r="V406" s="406"/>
      <c r="W406" s="362"/>
      <c r="X406" s="211" t="s">
        <v>3780</v>
      </c>
      <c r="Y406" s="472">
        <v>44301</v>
      </c>
      <c r="Z406" s="472">
        <v>44301</v>
      </c>
      <c r="AA406" s="472">
        <v>44515</v>
      </c>
      <c r="AB406" s="2" t="s">
        <v>2548</v>
      </c>
      <c r="AC406" s="211" t="s">
        <v>3310</v>
      </c>
      <c r="AD406" s="2" t="s">
        <v>3781</v>
      </c>
      <c r="AE406" s="212" t="s">
        <v>2713</v>
      </c>
      <c r="AF406" s="473">
        <v>54600000</v>
      </c>
      <c r="AG406" s="474">
        <f t="shared" si="6"/>
        <v>0</v>
      </c>
      <c r="AL406" s="475">
        <v>4160000</v>
      </c>
      <c r="AM406" s="306">
        <v>7800000</v>
      </c>
    </row>
    <row r="407" spans="1:39" hidden="1" x14ac:dyDescent="0.35">
      <c r="B407" s="501" t="s">
        <v>2581</v>
      </c>
      <c r="C407" s="212" t="s">
        <v>3782</v>
      </c>
      <c r="D407" s="478">
        <v>402</v>
      </c>
      <c r="E407" s="478">
        <v>20217000015093</v>
      </c>
      <c r="F407" s="479">
        <v>44271</v>
      </c>
      <c r="G407" s="478" t="s">
        <v>2545</v>
      </c>
      <c r="H407" s="212" t="s">
        <v>2546</v>
      </c>
      <c r="I407" s="212" t="s">
        <v>164</v>
      </c>
      <c r="J407" s="475">
        <v>6086100</v>
      </c>
      <c r="K407" s="212" t="s">
        <v>138</v>
      </c>
      <c r="L407" s="212" t="s">
        <v>139</v>
      </c>
      <c r="M407" s="212" t="s">
        <v>44</v>
      </c>
      <c r="N407" s="212" t="s">
        <v>45</v>
      </c>
      <c r="O407" s="212" t="s">
        <v>142</v>
      </c>
      <c r="P407" s="212" t="s">
        <v>43</v>
      </c>
      <c r="R407" s="486">
        <v>445</v>
      </c>
      <c r="S407" s="490">
        <v>44272</v>
      </c>
      <c r="T407" s="486" t="s">
        <v>3783</v>
      </c>
      <c r="U407" s="475">
        <v>6086100</v>
      </c>
      <c r="V407" s="406"/>
      <c r="W407" s="362"/>
      <c r="X407" s="483" t="s">
        <v>3502</v>
      </c>
      <c r="Y407" s="484">
        <v>44285</v>
      </c>
      <c r="Z407" s="484">
        <v>44291</v>
      </c>
      <c r="AA407" s="484">
        <v>44342</v>
      </c>
      <c r="AB407" s="485" t="s">
        <v>2548</v>
      </c>
      <c r="AC407" s="483" t="s">
        <v>3784</v>
      </c>
      <c r="AD407" s="485" t="s">
        <v>3785</v>
      </c>
      <c r="AE407" s="486" t="s">
        <v>3786</v>
      </c>
      <c r="AF407" s="473">
        <v>6086100</v>
      </c>
      <c r="AG407" s="474">
        <f t="shared" si="6"/>
        <v>0</v>
      </c>
      <c r="AL407" s="475">
        <v>3511212</v>
      </c>
      <c r="AM407" s="306">
        <v>2574888</v>
      </c>
    </row>
    <row r="408" spans="1:39" hidden="1" x14ac:dyDescent="0.35">
      <c r="A408" s="476" t="s">
        <v>2185</v>
      </c>
      <c r="B408" s="477">
        <v>29981361</v>
      </c>
      <c r="C408" s="212" t="s">
        <v>2544</v>
      </c>
      <c r="D408" s="478">
        <v>403</v>
      </c>
      <c r="E408" s="478">
        <v>20211300013893</v>
      </c>
      <c r="F408" s="310">
        <v>44265</v>
      </c>
      <c r="G408" s="478" t="s">
        <v>2545</v>
      </c>
      <c r="H408" s="212" t="s">
        <v>2546</v>
      </c>
      <c r="I408" s="212" t="s">
        <v>210</v>
      </c>
      <c r="J408" s="475">
        <v>19987572</v>
      </c>
      <c r="K408" s="212" t="s">
        <v>138</v>
      </c>
      <c r="L408" s="212" t="s">
        <v>139</v>
      </c>
      <c r="M408" s="212" t="s">
        <v>44</v>
      </c>
      <c r="N408" s="212" t="s">
        <v>45</v>
      </c>
      <c r="O408" s="212" t="s">
        <v>142</v>
      </c>
      <c r="P408" s="212" t="s">
        <v>43</v>
      </c>
      <c r="R408" s="212">
        <v>400</v>
      </c>
      <c r="S408" s="490">
        <v>44266</v>
      </c>
      <c r="T408" s="486" t="s">
        <v>3787</v>
      </c>
      <c r="U408" s="475">
        <v>19987572</v>
      </c>
      <c r="V408" s="406"/>
      <c r="W408" s="362"/>
      <c r="X408" s="483" t="s">
        <v>3788</v>
      </c>
      <c r="Y408" s="484">
        <v>44280</v>
      </c>
      <c r="Z408" s="484">
        <v>44280</v>
      </c>
      <c r="AA408" s="484">
        <v>44402</v>
      </c>
      <c r="AB408" s="485" t="s">
        <v>2548</v>
      </c>
      <c r="AC408" s="483" t="s">
        <v>3789</v>
      </c>
      <c r="AD408" s="485" t="s">
        <v>3790</v>
      </c>
      <c r="AE408" s="486" t="s">
        <v>3791</v>
      </c>
      <c r="AF408" s="473">
        <v>19987572</v>
      </c>
      <c r="AG408" s="474">
        <f t="shared" si="6"/>
        <v>0</v>
      </c>
      <c r="AM408" s="306">
        <v>5829708</v>
      </c>
    </row>
    <row r="409" spans="1:39" hidden="1" x14ac:dyDescent="0.35">
      <c r="A409" s="476" t="s">
        <v>2315</v>
      </c>
      <c r="B409" s="477">
        <v>44311860</v>
      </c>
      <c r="C409" s="212" t="s">
        <v>2544</v>
      </c>
      <c r="D409" s="478">
        <v>404</v>
      </c>
      <c r="E409" s="478">
        <v>20212000014733</v>
      </c>
      <c r="F409" s="479">
        <v>44271</v>
      </c>
      <c r="G409" s="478" t="s">
        <v>2538</v>
      </c>
      <c r="H409" s="212" t="s">
        <v>2539</v>
      </c>
      <c r="I409" s="212" t="s">
        <v>391</v>
      </c>
      <c r="J409" s="475">
        <v>44311860</v>
      </c>
      <c r="K409" s="210" t="s">
        <v>2609</v>
      </c>
      <c r="L409" s="212" t="s">
        <v>2610</v>
      </c>
      <c r="M409" s="212" t="s">
        <v>44</v>
      </c>
      <c r="N409" s="212" t="s">
        <v>45</v>
      </c>
      <c r="O409" s="212" t="s">
        <v>63</v>
      </c>
      <c r="P409" s="212" t="s">
        <v>674</v>
      </c>
      <c r="R409" s="486">
        <v>439</v>
      </c>
      <c r="S409" s="490">
        <v>44272</v>
      </c>
      <c r="T409" s="486" t="s">
        <v>3792</v>
      </c>
      <c r="U409" s="475">
        <f>44311860-2461770</f>
        <v>41850090</v>
      </c>
      <c r="V409" s="411">
        <v>2461770</v>
      </c>
      <c r="W409" s="397"/>
      <c r="X409" s="483" t="s">
        <v>3793</v>
      </c>
      <c r="Y409" s="484">
        <v>44292</v>
      </c>
      <c r="Z409" s="484">
        <v>44292</v>
      </c>
      <c r="AA409" s="484">
        <v>44550</v>
      </c>
      <c r="AB409" s="485" t="s">
        <v>2548</v>
      </c>
      <c r="AC409" s="483" t="s">
        <v>3385</v>
      </c>
      <c r="AD409" s="485" t="s">
        <v>3794</v>
      </c>
      <c r="AE409" s="486" t="s">
        <v>3795</v>
      </c>
      <c r="AF409" s="473">
        <v>41850090</v>
      </c>
      <c r="AG409" s="474">
        <f t="shared" si="6"/>
        <v>0</v>
      </c>
      <c r="AL409" s="475">
        <v>4102950</v>
      </c>
      <c r="AM409" s="306">
        <v>4923540</v>
      </c>
    </row>
    <row r="410" spans="1:39" hidden="1" x14ac:dyDescent="0.35">
      <c r="A410" s="476" t="s">
        <v>2297</v>
      </c>
      <c r="B410" s="477">
        <v>36720000</v>
      </c>
      <c r="C410" s="212" t="s">
        <v>2544</v>
      </c>
      <c r="D410" s="478">
        <v>405</v>
      </c>
      <c r="E410" s="478">
        <v>20212000014743</v>
      </c>
      <c r="F410" s="479">
        <v>44271</v>
      </c>
      <c r="G410" s="478" t="s">
        <v>2538</v>
      </c>
      <c r="H410" s="212" t="s">
        <v>2539</v>
      </c>
      <c r="I410" s="212" t="s">
        <v>391</v>
      </c>
      <c r="J410" s="475">
        <v>34850000</v>
      </c>
      <c r="K410" s="210" t="s">
        <v>2609</v>
      </c>
      <c r="L410" s="212" t="s">
        <v>2610</v>
      </c>
      <c r="M410" s="212" t="s">
        <v>44</v>
      </c>
      <c r="N410" s="212" t="s">
        <v>45</v>
      </c>
      <c r="O410" s="212" t="s">
        <v>63</v>
      </c>
      <c r="P410" s="212" t="s">
        <v>674</v>
      </c>
      <c r="R410" s="486">
        <v>440</v>
      </c>
      <c r="S410" s="490">
        <v>44272</v>
      </c>
      <c r="T410" s="486" t="s">
        <v>3796</v>
      </c>
      <c r="U410" s="475">
        <v>34850000</v>
      </c>
      <c r="V410" s="406"/>
      <c r="W410" s="362"/>
      <c r="X410" s="483" t="s">
        <v>3797</v>
      </c>
      <c r="Y410" s="484">
        <v>44298</v>
      </c>
      <c r="Z410" s="484">
        <v>44298</v>
      </c>
      <c r="AA410" s="484">
        <v>44561</v>
      </c>
      <c r="AB410" s="485" t="s">
        <v>2548</v>
      </c>
      <c r="AC410" s="483" t="s">
        <v>3604</v>
      </c>
      <c r="AD410" s="485" t="s">
        <v>3798</v>
      </c>
      <c r="AE410" s="486" t="s">
        <v>3799</v>
      </c>
      <c r="AF410" s="473">
        <v>34850000</v>
      </c>
      <c r="AG410" s="474">
        <f t="shared" si="6"/>
        <v>0</v>
      </c>
      <c r="AL410" s="475">
        <v>2596666</v>
      </c>
      <c r="AM410" s="306">
        <v>4100000</v>
      </c>
    </row>
    <row r="411" spans="1:39" hidden="1" x14ac:dyDescent="0.35">
      <c r="A411" s="476" t="s">
        <v>2298</v>
      </c>
      <c r="B411" s="477">
        <v>51754800</v>
      </c>
      <c r="C411" s="212" t="s">
        <v>2544</v>
      </c>
      <c r="D411" s="478">
        <v>406</v>
      </c>
      <c r="E411" s="478">
        <v>20212000014753</v>
      </c>
      <c r="F411" s="479">
        <v>44271</v>
      </c>
      <c r="G411" s="478" t="s">
        <v>2538</v>
      </c>
      <c r="H411" s="212" t="s">
        <v>2539</v>
      </c>
      <c r="I411" s="212" t="s">
        <v>391</v>
      </c>
      <c r="J411" s="475">
        <v>39474000</v>
      </c>
      <c r="K411" s="210" t="s">
        <v>2609</v>
      </c>
      <c r="L411" s="212" t="s">
        <v>2610</v>
      </c>
      <c r="M411" s="212" t="s">
        <v>44</v>
      </c>
      <c r="N411" s="212" t="s">
        <v>45</v>
      </c>
      <c r="O411" s="212" t="s">
        <v>63</v>
      </c>
      <c r="P411" s="212" t="s">
        <v>674</v>
      </c>
      <c r="R411" s="486">
        <v>441</v>
      </c>
      <c r="S411" s="490">
        <v>44272</v>
      </c>
      <c r="T411" s="486" t="s">
        <v>3800</v>
      </c>
      <c r="U411" s="475">
        <v>39474000</v>
      </c>
      <c r="V411" s="406"/>
      <c r="W411" s="362"/>
      <c r="X411" s="483" t="s">
        <v>3243</v>
      </c>
      <c r="Y411" s="484">
        <v>44285</v>
      </c>
      <c r="Z411" s="484">
        <v>44285</v>
      </c>
      <c r="AA411" s="484">
        <v>44560</v>
      </c>
      <c r="AB411" s="485" t="s">
        <v>2548</v>
      </c>
      <c r="AC411" s="483" t="s">
        <v>3801</v>
      </c>
      <c r="AD411" s="485" t="s">
        <v>3802</v>
      </c>
      <c r="AE411" s="486" t="s">
        <v>3803</v>
      </c>
      <c r="AF411" s="473">
        <v>39474000</v>
      </c>
      <c r="AG411" s="474">
        <f t="shared" si="6"/>
        <v>0</v>
      </c>
      <c r="AL411" s="475">
        <v>4532200</v>
      </c>
      <c r="AM411" s="306">
        <v>4386000</v>
      </c>
    </row>
    <row r="412" spans="1:39" hidden="1" x14ac:dyDescent="0.35">
      <c r="A412" s="476" t="s">
        <v>2299</v>
      </c>
      <c r="B412" s="477">
        <v>48144000</v>
      </c>
      <c r="C412" s="212" t="s">
        <v>2544</v>
      </c>
      <c r="D412" s="478">
        <v>407</v>
      </c>
      <c r="E412" s="478">
        <v>20212000014763</v>
      </c>
      <c r="F412" s="479">
        <v>44271</v>
      </c>
      <c r="G412" s="478" t="s">
        <v>2538</v>
      </c>
      <c r="H412" s="212" t="s">
        <v>2539</v>
      </c>
      <c r="I412" s="212" t="s">
        <v>391</v>
      </c>
      <c r="J412" s="475">
        <v>36900000</v>
      </c>
      <c r="K412" s="210" t="s">
        <v>2609</v>
      </c>
      <c r="L412" s="212" t="s">
        <v>2610</v>
      </c>
      <c r="M412" s="212" t="s">
        <v>44</v>
      </c>
      <c r="N412" s="212" t="s">
        <v>45</v>
      </c>
      <c r="O412" s="212" t="s">
        <v>63</v>
      </c>
      <c r="P412" s="212" t="s">
        <v>674</v>
      </c>
      <c r="R412" s="486">
        <v>442</v>
      </c>
      <c r="S412" s="490">
        <v>44272</v>
      </c>
      <c r="T412" s="486" t="s">
        <v>3804</v>
      </c>
      <c r="U412" s="475">
        <v>36900000</v>
      </c>
      <c r="V412" s="406"/>
      <c r="W412" s="362"/>
      <c r="X412" s="483" t="s">
        <v>3805</v>
      </c>
      <c r="Y412" s="484">
        <v>44305</v>
      </c>
      <c r="Z412" s="484">
        <v>44305</v>
      </c>
      <c r="AA412" s="484">
        <v>44548</v>
      </c>
      <c r="AB412" s="485" t="s">
        <v>2548</v>
      </c>
      <c r="AC412" s="483" t="s">
        <v>3806</v>
      </c>
      <c r="AD412" s="485" t="s">
        <v>3807</v>
      </c>
      <c r="AE412" s="486" t="s">
        <v>3808</v>
      </c>
      <c r="AF412" s="473">
        <v>32800000</v>
      </c>
      <c r="AG412" s="474">
        <f t="shared" si="6"/>
        <v>4100000</v>
      </c>
      <c r="AL412" s="475">
        <v>1503333</v>
      </c>
      <c r="AM412" s="306">
        <v>4100000</v>
      </c>
    </row>
    <row r="413" spans="1:39" hidden="1" x14ac:dyDescent="0.35">
      <c r="A413" s="476" t="s">
        <v>1792</v>
      </c>
      <c r="B413" s="477">
        <v>57888060</v>
      </c>
      <c r="C413" s="212" t="s">
        <v>2544</v>
      </c>
      <c r="D413" s="478">
        <v>408</v>
      </c>
      <c r="E413" s="478">
        <v>20212000014773</v>
      </c>
      <c r="F413" s="479">
        <v>44271</v>
      </c>
      <c r="G413" s="478" t="s">
        <v>2538</v>
      </c>
      <c r="H413" s="212" t="s">
        <v>2539</v>
      </c>
      <c r="I413" s="212" t="s">
        <v>391</v>
      </c>
      <c r="J413" s="475">
        <v>54846000</v>
      </c>
      <c r="K413" s="210" t="s">
        <v>2609</v>
      </c>
      <c r="L413" s="212" t="s">
        <v>2610</v>
      </c>
      <c r="M413" s="212" t="s">
        <v>44</v>
      </c>
      <c r="N413" s="212" t="s">
        <v>45</v>
      </c>
      <c r="O413" s="212" t="s">
        <v>63</v>
      </c>
      <c r="P413" s="212" t="s">
        <v>674</v>
      </c>
      <c r="R413" s="486">
        <v>443</v>
      </c>
      <c r="S413" s="490">
        <v>44272</v>
      </c>
      <c r="T413" s="486" t="s">
        <v>3809</v>
      </c>
      <c r="U413" s="475">
        <v>54846000</v>
      </c>
      <c r="V413" s="406"/>
      <c r="W413" s="362"/>
      <c r="AG413" s="474">
        <f t="shared" si="6"/>
        <v>54846000</v>
      </c>
      <c r="AM413" s="212"/>
    </row>
    <row r="414" spans="1:39" hidden="1" x14ac:dyDescent="0.35">
      <c r="A414" s="476" t="s">
        <v>2420</v>
      </c>
      <c r="B414" s="477">
        <v>63000000</v>
      </c>
      <c r="C414" s="212" t="s">
        <v>2544</v>
      </c>
      <c r="D414" s="478">
        <v>409</v>
      </c>
      <c r="E414" s="478">
        <v>20213000014933</v>
      </c>
      <c r="F414" s="479">
        <v>44271</v>
      </c>
      <c r="G414" s="478" t="s">
        <v>2538</v>
      </c>
      <c r="H414" s="212" t="s">
        <v>2539</v>
      </c>
      <c r="I414" s="212" t="s">
        <v>432</v>
      </c>
      <c r="J414" s="475">
        <v>42000000</v>
      </c>
      <c r="K414" s="212" t="s">
        <v>342</v>
      </c>
      <c r="L414" s="212" t="s">
        <v>351</v>
      </c>
      <c r="M414" s="212" t="s">
        <v>44</v>
      </c>
      <c r="N414" s="212" t="s">
        <v>45</v>
      </c>
      <c r="O414" s="212" t="s">
        <v>63</v>
      </c>
      <c r="P414" s="212" t="s">
        <v>674</v>
      </c>
      <c r="R414" s="486">
        <v>444</v>
      </c>
      <c r="S414" s="490">
        <v>44272</v>
      </c>
      <c r="T414" s="486" t="s">
        <v>3810</v>
      </c>
      <c r="U414" s="475">
        <v>42000000</v>
      </c>
      <c r="V414" s="406"/>
      <c r="W414" s="362"/>
      <c r="X414" s="483" t="s">
        <v>3811</v>
      </c>
      <c r="Y414" s="484">
        <v>44305</v>
      </c>
      <c r="Z414" s="484">
        <v>44305</v>
      </c>
      <c r="AA414" s="484">
        <v>44487</v>
      </c>
      <c r="AB414" s="485" t="s">
        <v>2548</v>
      </c>
      <c r="AC414" s="483" t="s">
        <v>3812</v>
      </c>
      <c r="AD414" s="485" t="s">
        <v>3813</v>
      </c>
      <c r="AE414" s="486" t="s">
        <v>3814</v>
      </c>
      <c r="AF414" s="473">
        <v>42000000</v>
      </c>
      <c r="AG414" s="474">
        <f t="shared" si="6"/>
        <v>0</v>
      </c>
      <c r="AL414" s="475">
        <v>2333333</v>
      </c>
      <c r="AM414" s="306">
        <v>7000000</v>
      </c>
    </row>
    <row r="415" spans="1:39" hidden="1" x14ac:dyDescent="0.35">
      <c r="A415" s="476" t="s">
        <v>2116</v>
      </c>
      <c r="B415" s="477">
        <v>24530202</v>
      </c>
      <c r="C415" s="212" t="s">
        <v>2544</v>
      </c>
      <c r="D415" s="478">
        <v>410</v>
      </c>
      <c r="E415" s="478">
        <v>20211300013903</v>
      </c>
      <c r="F415" s="310">
        <v>44265</v>
      </c>
      <c r="G415" s="478" t="s">
        <v>2545</v>
      </c>
      <c r="H415" s="212" t="s">
        <v>2546</v>
      </c>
      <c r="I415" s="212" t="s">
        <v>210</v>
      </c>
      <c r="J415" s="475">
        <v>16353468</v>
      </c>
      <c r="K415" s="212" t="s">
        <v>138</v>
      </c>
      <c r="L415" s="212" t="s">
        <v>139</v>
      </c>
      <c r="M415" s="212" t="s">
        <v>44</v>
      </c>
      <c r="N415" s="212" t="s">
        <v>45</v>
      </c>
      <c r="O415" s="212" t="s">
        <v>142</v>
      </c>
      <c r="P415" s="212" t="s">
        <v>43</v>
      </c>
      <c r="R415" s="212">
        <v>401</v>
      </c>
      <c r="S415" s="490">
        <v>44266</v>
      </c>
      <c r="T415" s="486" t="s">
        <v>3815</v>
      </c>
      <c r="U415" s="475">
        <v>16353468</v>
      </c>
      <c r="V415" s="406"/>
      <c r="W415" s="362"/>
      <c r="X415" s="483" t="s">
        <v>3816</v>
      </c>
      <c r="Y415" s="484">
        <v>44280</v>
      </c>
      <c r="Z415" s="484">
        <v>44280</v>
      </c>
      <c r="AA415" s="484">
        <v>44402</v>
      </c>
      <c r="AB415" s="485" t="s">
        <v>2548</v>
      </c>
      <c r="AC415" s="483" t="s">
        <v>3817</v>
      </c>
      <c r="AD415" s="485" t="s">
        <v>3818</v>
      </c>
      <c r="AE415" s="486" t="s">
        <v>3819</v>
      </c>
      <c r="AF415" s="473">
        <v>16353468</v>
      </c>
      <c r="AG415" s="474">
        <f t="shared" si="6"/>
        <v>0</v>
      </c>
      <c r="AL415" s="475">
        <v>4769761</v>
      </c>
      <c r="AM415" s="306">
        <v>4088367</v>
      </c>
    </row>
    <row r="416" spans="1:39" hidden="1" x14ac:dyDescent="0.35">
      <c r="A416" s="476" t="s">
        <v>2231</v>
      </c>
      <c r="B416" s="477">
        <v>31706748</v>
      </c>
      <c r="C416" s="212" t="s">
        <v>2544</v>
      </c>
      <c r="D416" s="478">
        <v>411</v>
      </c>
      <c r="E416" s="478">
        <v>20216000013763</v>
      </c>
      <c r="F416" s="310">
        <v>44265</v>
      </c>
      <c r="G416" s="478" t="s">
        <v>2545</v>
      </c>
      <c r="H416" s="212" t="s">
        <v>2546</v>
      </c>
      <c r="I416" s="212" t="s">
        <v>214</v>
      </c>
      <c r="J416" s="475">
        <v>31706748</v>
      </c>
      <c r="K416" s="212" t="s">
        <v>138</v>
      </c>
      <c r="L416" s="212" t="s">
        <v>139</v>
      </c>
      <c r="M416" s="212" t="s">
        <v>44</v>
      </c>
      <c r="N416" s="212" t="s">
        <v>45</v>
      </c>
      <c r="O416" s="212" t="s">
        <v>142</v>
      </c>
      <c r="P416" s="212" t="s">
        <v>43</v>
      </c>
      <c r="R416" s="212">
        <v>392</v>
      </c>
      <c r="S416" s="490">
        <v>44266</v>
      </c>
      <c r="T416" s="486" t="s">
        <v>3820</v>
      </c>
      <c r="U416" s="475">
        <v>31706748</v>
      </c>
      <c r="V416" s="406"/>
      <c r="W416" s="362"/>
      <c r="X416" s="483" t="s">
        <v>3565</v>
      </c>
      <c r="Y416" s="484">
        <v>44280</v>
      </c>
      <c r="Z416" s="484">
        <v>44280</v>
      </c>
      <c r="AA416" s="484">
        <v>44555</v>
      </c>
      <c r="AB416" s="485" t="s">
        <v>2548</v>
      </c>
      <c r="AC416" s="483" t="s">
        <v>3821</v>
      </c>
      <c r="AD416" s="485" t="s">
        <v>3822</v>
      </c>
      <c r="AE416" s="486" t="s">
        <v>3823</v>
      </c>
      <c r="AF416" s="473">
        <v>31706748</v>
      </c>
      <c r="AG416" s="474">
        <f t="shared" si="6"/>
        <v>0</v>
      </c>
      <c r="AL416" s="475">
        <v>3640404</v>
      </c>
      <c r="AM416" s="306">
        <v>3522972</v>
      </c>
    </row>
    <row r="417" spans="1:39" hidden="1" x14ac:dyDescent="0.35">
      <c r="A417" s="476" t="s">
        <v>2363</v>
      </c>
      <c r="B417" s="477">
        <v>42000000</v>
      </c>
      <c r="C417" s="212" t="s">
        <v>2544</v>
      </c>
      <c r="D417" s="478">
        <v>412</v>
      </c>
      <c r="E417" s="478">
        <v>20213000014943</v>
      </c>
      <c r="F417" s="479">
        <v>44272</v>
      </c>
      <c r="G417" s="478" t="s">
        <v>2538</v>
      </c>
      <c r="H417" s="212" t="s">
        <v>2539</v>
      </c>
      <c r="I417" s="212" t="s">
        <v>432</v>
      </c>
      <c r="J417" s="475">
        <v>37500000</v>
      </c>
      <c r="K417" s="212" t="s">
        <v>342</v>
      </c>
      <c r="L417" s="212" t="s">
        <v>351</v>
      </c>
      <c r="M417" s="212" t="s">
        <v>44</v>
      </c>
      <c r="N417" s="212" t="s">
        <v>45</v>
      </c>
      <c r="O417" s="212" t="s">
        <v>63</v>
      </c>
      <c r="P417" s="212" t="s">
        <v>674</v>
      </c>
      <c r="R417" s="486">
        <v>452</v>
      </c>
      <c r="S417" s="490">
        <v>44272</v>
      </c>
      <c r="T417" s="486" t="s">
        <v>3824</v>
      </c>
      <c r="U417" s="475">
        <v>37500000</v>
      </c>
      <c r="V417" s="406"/>
      <c r="W417" s="362"/>
      <c r="X417" s="211" t="s">
        <v>3825</v>
      </c>
      <c r="Y417" s="472">
        <v>44300</v>
      </c>
      <c r="Z417" s="472">
        <v>44300</v>
      </c>
      <c r="AA417" s="472">
        <v>44453</v>
      </c>
      <c r="AB417" s="2" t="s">
        <v>2548</v>
      </c>
      <c r="AC417" s="211" t="s">
        <v>3775</v>
      </c>
      <c r="AD417" s="2" t="s">
        <v>3826</v>
      </c>
      <c r="AE417" s="212" t="s">
        <v>3827</v>
      </c>
      <c r="AF417" s="473">
        <v>37500000</v>
      </c>
      <c r="AG417" s="474">
        <f t="shared" ref="AG417:AG480" si="7">+U417-AF417</f>
        <v>0</v>
      </c>
      <c r="AL417" s="475">
        <v>4250000</v>
      </c>
      <c r="AM417" s="306">
        <v>7500000</v>
      </c>
    </row>
    <row r="418" spans="1:39" hidden="1" x14ac:dyDescent="0.35">
      <c r="A418" s="476" t="s">
        <v>1903</v>
      </c>
      <c r="B418" s="477">
        <v>29981358</v>
      </c>
      <c r="C418" s="212" t="s">
        <v>2544</v>
      </c>
      <c r="D418" s="478">
        <v>413</v>
      </c>
      <c r="E418" s="309">
        <v>20217000011163</v>
      </c>
      <c r="F418" s="479">
        <v>44256</v>
      </c>
      <c r="G418" s="478" t="s">
        <v>2545</v>
      </c>
      <c r="H418" s="212" t="s">
        <v>2546</v>
      </c>
      <c r="I418" s="212" t="s">
        <v>164</v>
      </c>
      <c r="J418" s="475">
        <v>17000000</v>
      </c>
      <c r="K418" s="212" t="s">
        <v>138</v>
      </c>
      <c r="L418" s="212" t="s">
        <v>139</v>
      </c>
      <c r="M418" s="212" t="s">
        <v>44</v>
      </c>
      <c r="N418" s="212" t="s">
        <v>45</v>
      </c>
      <c r="O418" s="212" t="s">
        <v>142</v>
      </c>
      <c r="P418" s="212" t="s">
        <v>43</v>
      </c>
      <c r="R418" s="212">
        <v>317</v>
      </c>
      <c r="S418" s="490">
        <v>44256</v>
      </c>
      <c r="T418" s="486" t="s">
        <v>3828</v>
      </c>
      <c r="U418" s="475">
        <v>17000000</v>
      </c>
      <c r="V418" s="406"/>
      <c r="W418" s="362"/>
      <c r="X418" s="483" t="s">
        <v>3829</v>
      </c>
      <c r="Y418" s="484">
        <v>44281</v>
      </c>
      <c r="Z418" s="484">
        <v>44281</v>
      </c>
      <c r="AA418" s="484">
        <v>44465</v>
      </c>
      <c r="AB418" s="485" t="s">
        <v>2548</v>
      </c>
      <c r="AC418" s="483" t="s">
        <v>3830</v>
      </c>
      <c r="AD418" s="485" t="s">
        <v>3831</v>
      </c>
      <c r="AE418" s="486" t="s">
        <v>2597</v>
      </c>
      <c r="AF418" s="473">
        <v>16353468</v>
      </c>
      <c r="AG418" s="474">
        <f t="shared" si="7"/>
        <v>646532</v>
      </c>
      <c r="AL418" s="475">
        <v>2907283</v>
      </c>
      <c r="AM418" s="306">
        <v>2725578</v>
      </c>
    </row>
    <row r="419" spans="1:39" hidden="1" x14ac:dyDescent="0.35">
      <c r="A419" s="476" t="s">
        <v>2415</v>
      </c>
      <c r="B419" s="477">
        <v>72000000</v>
      </c>
      <c r="C419" s="212" t="s">
        <v>2544</v>
      </c>
      <c r="D419" s="478">
        <v>414</v>
      </c>
      <c r="E419" s="478">
        <v>20213000014593</v>
      </c>
      <c r="F419" s="479">
        <v>44272</v>
      </c>
      <c r="G419" s="478" t="s">
        <v>2538</v>
      </c>
      <c r="H419" s="212" t="s">
        <v>2539</v>
      </c>
      <c r="I419" s="212" t="s">
        <v>432</v>
      </c>
      <c r="J419" s="475">
        <v>72000000</v>
      </c>
      <c r="K419" s="212" t="s">
        <v>342</v>
      </c>
      <c r="L419" s="212" t="s">
        <v>351</v>
      </c>
      <c r="M419" s="212" t="s">
        <v>44</v>
      </c>
      <c r="N419" s="212" t="s">
        <v>45</v>
      </c>
      <c r="O419" s="212" t="s">
        <v>63</v>
      </c>
      <c r="P419" s="212" t="s">
        <v>674</v>
      </c>
      <c r="R419" s="486">
        <v>448</v>
      </c>
      <c r="S419" s="490">
        <v>44272</v>
      </c>
      <c r="T419" s="486" t="s">
        <v>3832</v>
      </c>
      <c r="U419" s="475">
        <v>72000000</v>
      </c>
      <c r="V419" s="406"/>
      <c r="W419" s="362"/>
      <c r="X419" s="483" t="s">
        <v>3833</v>
      </c>
      <c r="Y419" s="484">
        <v>44299</v>
      </c>
      <c r="Z419" s="484">
        <v>44299</v>
      </c>
      <c r="AA419" s="484">
        <v>44543</v>
      </c>
      <c r="AB419" s="485" t="s">
        <v>2548</v>
      </c>
      <c r="AC419" s="483" t="s">
        <v>3834</v>
      </c>
      <c r="AD419" s="485" t="s">
        <v>3835</v>
      </c>
      <c r="AE419" s="486" t="s">
        <v>2729</v>
      </c>
      <c r="AF419" s="473">
        <v>72000000</v>
      </c>
      <c r="AG419" s="474">
        <f t="shared" si="7"/>
        <v>0</v>
      </c>
      <c r="AL419" s="475">
        <v>5400000</v>
      </c>
      <c r="AM419" s="306">
        <v>9000000</v>
      </c>
    </row>
    <row r="420" spans="1:39" hidden="1" x14ac:dyDescent="0.35">
      <c r="A420" s="476" t="s">
        <v>2355</v>
      </c>
      <c r="B420" s="477">
        <v>56000000</v>
      </c>
      <c r="C420" s="212" t="s">
        <v>2544</v>
      </c>
      <c r="D420" s="478">
        <v>415</v>
      </c>
      <c r="E420" s="478">
        <v>20213000014603</v>
      </c>
      <c r="F420" s="479">
        <v>44272</v>
      </c>
      <c r="G420" s="478" t="s">
        <v>2538</v>
      </c>
      <c r="H420" s="212" t="s">
        <v>2539</v>
      </c>
      <c r="I420" s="212" t="s">
        <v>432</v>
      </c>
      <c r="J420" s="475">
        <v>56000000</v>
      </c>
      <c r="K420" s="212" t="s">
        <v>342</v>
      </c>
      <c r="L420" s="212" t="s">
        <v>351</v>
      </c>
      <c r="M420" s="212" t="s">
        <v>44</v>
      </c>
      <c r="N420" s="212" t="s">
        <v>45</v>
      </c>
      <c r="O420" s="212" t="s">
        <v>63</v>
      </c>
      <c r="P420" s="212" t="s">
        <v>674</v>
      </c>
      <c r="R420" s="486">
        <v>449</v>
      </c>
      <c r="S420" s="490">
        <v>44272</v>
      </c>
      <c r="T420" s="486" t="s">
        <v>3836</v>
      </c>
      <c r="U420" s="475">
        <v>56000000</v>
      </c>
      <c r="V420" s="406"/>
      <c r="W420" s="362"/>
      <c r="X420" s="483" t="s">
        <v>3348</v>
      </c>
      <c r="Y420" s="484">
        <v>44285</v>
      </c>
      <c r="Z420" s="484">
        <v>44285</v>
      </c>
      <c r="AA420" s="484">
        <v>44530</v>
      </c>
      <c r="AB420" s="485" t="s">
        <v>2548</v>
      </c>
      <c r="AC420" s="483" t="s">
        <v>3837</v>
      </c>
      <c r="AD420" s="485" t="s">
        <v>3838</v>
      </c>
      <c r="AE420" s="486" t="s">
        <v>3839</v>
      </c>
      <c r="AF420" s="473">
        <v>56000000</v>
      </c>
      <c r="AG420" s="474">
        <f t="shared" si="7"/>
        <v>0</v>
      </c>
      <c r="AL420" s="475">
        <v>7233333</v>
      </c>
      <c r="AM420" s="306">
        <v>7000000</v>
      </c>
    </row>
    <row r="421" spans="1:39" hidden="1" x14ac:dyDescent="0.35">
      <c r="A421" s="476" t="s">
        <v>2358</v>
      </c>
      <c r="B421" s="477">
        <v>25200000</v>
      </c>
      <c r="C421" s="212" t="s">
        <v>2544</v>
      </c>
      <c r="D421" s="478">
        <v>416</v>
      </c>
      <c r="E421" s="478">
        <v>20213000014613</v>
      </c>
      <c r="F421" s="479">
        <v>44272</v>
      </c>
      <c r="G421" s="478" t="s">
        <v>2538</v>
      </c>
      <c r="H421" s="212" t="s">
        <v>2539</v>
      </c>
      <c r="I421" s="212" t="s">
        <v>432</v>
      </c>
      <c r="J421" s="475">
        <v>24530206</v>
      </c>
      <c r="K421" s="212" t="s">
        <v>342</v>
      </c>
      <c r="L421" s="212" t="s">
        <v>351</v>
      </c>
      <c r="M421" s="212" t="s">
        <v>44</v>
      </c>
      <c r="N421" s="212" t="s">
        <v>45</v>
      </c>
      <c r="O421" s="212" t="s">
        <v>63</v>
      </c>
      <c r="P421" s="212" t="s">
        <v>674</v>
      </c>
      <c r="R421" s="486">
        <v>450</v>
      </c>
      <c r="S421" s="490">
        <v>44272</v>
      </c>
      <c r="T421" s="486" t="s">
        <v>3840</v>
      </c>
      <c r="U421" s="475">
        <f>24530206-4</f>
        <v>24530202</v>
      </c>
      <c r="V421" s="406">
        <v>4</v>
      </c>
      <c r="W421" s="362"/>
      <c r="X421" s="211" t="s">
        <v>3841</v>
      </c>
      <c r="Y421" s="472">
        <v>44300</v>
      </c>
      <c r="Z421" s="472">
        <v>44300</v>
      </c>
      <c r="AA421" s="472">
        <v>44483</v>
      </c>
      <c r="AB421" s="2" t="s">
        <v>2548</v>
      </c>
      <c r="AC421" s="211" t="s">
        <v>3842</v>
      </c>
      <c r="AD421" s="2" t="s">
        <v>3843</v>
      </c>
      <c r="AE421" s="212" t="s">
        <v>3844</v>
      </c>
      <c r="AF421" s="473">
        <v>24530202</v>
      </c>
      <c r="AG421" s="474">
        <f t="shared" si="7"/>
        <v>0</v>
      </c>
      <c r="AL421" s="475">
        <v>2180462</v>
      </c>
      <c r="AM421" s="306">
        <v>4088367</v>
      </c>
    </row>
    <row r="422" spans="1:39" hidden="1" x14ac:dyDescent="0.35">
      <c r="A422" s="476" t="s">
        <v>2313</v>
      </c>
      <c r="B422" s="477">
        <v>34978251</v>
      </c>
      <c r="C422" s="212" t="s">
        <v>2544</v>
      </c>
      <c r="D422" s="478">
        <v>417</v>
      </c>
      <c r="E422" s="478">
        <v>20217000015403</v>
      </c>
      <c r="F422" s="479">
        <v>44272</v>
      </c>
      <c r="G422" s="478" t="s">
        <v>2545</v>
      </c>
      <c r="H422" s="212" t="s">
        <v>2546</v>
      </c>
      <c r="I422" s="212" t="s">
        <v>164</v>
      </c>
      <c r="J422" s="475">
        <v>12719364</v>
      </c>
      <c r="K422" s="212" t="s">
        <v>138</v>
      </c>
      <c r="L422" s="212" t="s">
        <v>139</v>
      </c>
      <c r="M422" s="212" t="s">
        <v>44</v>
      </c>
      <c r="N422" s="212" t="s">
        <v>45</v>
      </c>
      <c r="O422" s="212" t="s">
        <v>142</v>
      </c>
      <c r="P422" s="212" t="s">
        <v>43</v>
      </c>
      <c r="R422" s="486">
        <v>453</v>
      </c>
      <c r="S422" s="490">
        <v>44272</v>
      </c>
      <c r="T422" s="486" t="s">
        <v>3845</v>
      </c>
      <c r="U422" s="475">
        <v>12719364</v>
      </c>
      <c r="V422" s="406"/>
      <c r="W422" s="362"/>
      <c r="X422" s="483" t="s">
        <v>3846</v>
      </c>
      <c r="Y422" s="484">
        <v>44307</v>
      </c>
      <c r="Z422" s="484">
        <v>44307</v>
      </c>
      <c r="AA422" s="484">
        <v>44428</v>
      </c>
      <c r="AB422" s="485" t="s">
        <v>2548</v>
      </c>
      <c r="AC422" s="483" t="s">
        <v>3847</v>
      </c>
      <c r="AD422" s="485" t="s">
        <v>3848</v>
      </c>
      <c r="AE422" s="486" t="s">
        <v>2721</v>
      </c>
      <c r="AF422" s="473">
        <v>12719364</v>
      </c>
      <c r="AG422" s="474">
        <f t="shared" si="7"/>
        <v>0</v>
      </c>
      <c r="AL422" s="475">
        <v>1059947</v>
      </c>
      <c r="AM422" s="306">
        <v>3179841</v>
      </c>
    </row>
    <row r="423" spans="1:39" hidden="1" x14ac:dyDescent="0.35">
      <c r="A423" s="476" t="s">
        <v>1913</v>
      </c>
      <c r="B423" s="477">
        <v>53148771</v>
      </c>
      <c r="C423" s="212" t="s">
        <v>2544</v>
      </c>
      <c r="D423" s="478">
        <v>418</v>
      </c>
      <c r="E423" s="478">
        <v>20217000015423</v>
      </c>
      <c r="F423" s="479">
        <v>44272</v>
      </c>
      <c r="G423" s="478" t="s">
        <v>2545</v>
      </c>
      <c r="H423" s="212" t="s">
        <v>2546</v>
      </c>
      <c r="I423" s="212" t="s">
        <v>164</v>
      </c>
      <c r="J423" s="475">
        <v>41337933</v>
      </c>
      <c r="K423" s="212" t="s">
        <v>138</v>
      </c>
      <c r="L423" s="212" t="s">
        <v>139</v>
      </c>
      <c r="M423" s="212" t="s">
        <v>44</v>
      </c>
      <c r="N423" s="212" t="s">
        <v>45</v>
      </c>
      <c r="O423" s="212" t="s">
        <v>142</v>
      </c>
      <c r="P423" s="212" t="s">
        <v>43</v>
      </c>
      <c r="R423" s="486">
        <v>454</v>
      </c>
      <c r="S423" s="490">
        <v>44272</v>
      </c>
      <c r="T423" s="486" t="s">
        <v>3849</v>
      </c>
      <c r="U423" s="475">
        <v>41337933</v>
      </c>
      <c r="V423" s="406"/>
      <c r="W423" s="362"/>
      <c r="X423" s="483" t="s">
        <v>3850</v>
      </c>
      <c r="Y423" s="484">
        <v>44306</v>
      </c>
      <c r="Z423" s="484">
        <v>44306</v>
      </c>
      <c r="AA423" s="484">
        <v>44519</v>
      </c>
      <c r="AB423" s="485" t="s">
        <v>2548</v>
      </c>
      <c r="AC423" s="483" t="s">
        <v>3627</v>
      </c>
      <c r="AD423" s="485" t="s">
        <v>3851</v>
      </c>
      <c r="AE423" s="486" t="s">
        <v>3852</v>
      </c>
      <c r="AF423" s="473">
        <v>41337933</v>
      </c>
      <c r="AG423" s="474">
        <f t="shared" si="7"/>
        <v>0</v>
      </c>
      <c r="AL423" s="475">
        <v>1968473</v>
      </c>
      <c r="AM423" s="306">
        <v>5905419</v>
      </c>
    </row>
    <row r="424" spans="1:39" hidden="1" x14ac:dyDescent="0.35">
      <c r="A424" s="476" t="s">
        <v>1906</v>
      </c>
      <c r="B424" s="477">
        <v>34978251</v>
      </c>
      <c r="C424" s="212" t="s">
        <v>2544</v>
      </c>
      <c r="D424" s="478">
        <v>419</v>
      </c>
      <c r="E424" s="478">
        <v>20217000015353</v>
      </c>
      <c r="F424" s="479">
        <v>44273</v>
      </c>
      <c r="G424" s="478" t="s">
        <v>2545</v>
      </c>
      <c r="H424" s="212" t="s">
        <v>2546</v>
      </c>
      <c r="I424" s="212" t="s">
        <v>164</v>
      </c>
      <c r="J424" s="475">
        <v>12719364</v>
      </c>
      <c r="K424" s="212" t="s">
        <v>138</v>
      </c>
      <c r="L424" s="212" t="s">
        <v>139</v>
      </c>
      <c r="M424" s="212" t="s">
        <v>44</v>
      </c>
      <c r="N424" s="212" t="s">
        <v>45</v>
      </c>
      <c r="O424" s="212" t="s">
        <v>142</v>
      </c>
      <c r="P424" s="212" t="s">
        <v>43</v>
      </c>
      <c r="R424" s="486">
        <v>455</v>
      </c>
      <c r="S424" s="490">
        <v>44274</v>
      </c>
      <c r="T424" s="486" t="s">
        <v>3853</v>
      </c>
      <c r="U424" s="475">
        <v>12719364</v>
      </c>
      <c r="V424" s="406"/>
      <c r="W424" s="362"/>
      <c r="X424" s="483" t="s">
        <v>3854</v>
      </c>
      <c r="Y424" s="484">
        <v>44286</v>
      </c>
      <c r="Z424" s="484">
        <v>44286</v>
      </c>
      <c r="AA424" s="484">
        <v>44408</v>
      </c>
      <c r="AB424" s="485" t="s">
        <v>2548</v>
      </c>
      <c r="AC424" s="483" t="s">
        <v>3855</v>
      </c>
      <c r="AD424" s="485" t="s">
        <v>3856</v>
      </c>
      <c r="AE424" s="486" t="s">
        <v>2693</v>
      </c>
      <c r="AF424" s="473">
        <v>12719364</v>
      </c>
      <c r="AG424" s="474">
        <f t="shared" si="7"/>
        <v>0</v>
      </c>
      <c r="AL424" s="475">
        <v>2755862</v>
      </c>
      <c r="AM424" s="306">
        <v>3179841</v>
      </c>
    </row>
    <row r="425" spans="1:39" hidden="1" x14ac:dyDescent="0.35">
      <c r="B425" s="501" t="s">
        <v>2581</v>
      </c>
      <c r="C425" s="212" t="s">
        <v>3857</v>
      </c>
      <c r="D425" s="478">
        <v>420</v>
      </c>
      <c r="E425" s="478">
        <v>20217000015503</v>
      </c>
      <c r="F425" s="479">
        <v>44273</v>
      </c>
      <c r="G425" s="478" t="s">
        <v>2545</v>
      </c>
      <c r="H425" s="212" t="s">
        <v>2546</v>
      </c>
      <c r="I425" s="212" t="s">
        <v>164</v>
      </c>
      <c r="J425" s="475">
        <v>5299818</v>
      </c>
      <c r="K425" s="212" t="s">
        <v>138</v>
      </c>
      <c r="L425" s="212" t="s">
        <v>139</v>
      </c>
      <c r="M425" s="212" t="s">
        <v>44</v>
      </c>
      <c r="N425" s="212" t="s">
        <v>45</v>
      </c>
      <c r="O425" s="212" t="s">
        <v>142</v>
      </c>
      <c r="P425" s="212" t="s">
        <v>43</v>
      </c>
      <c r="R425" s="486">
        <v>456</v>
      </c>
      <c r="S425" s="490">
        <v>44274</v>
      </c>
      <c r="T425" s="486" t="s">
        <v>3858</v>
      </c>
      <c r="U425" s="475">
        <v>5299818</v>
      </c>
      <c r="V425" s="406"/>
      <c r="W425" s="362"/>
      <c r="X425" s="483" t="s">
        <v>3859</v>
      </c>
      <c r="Y425" s="484">
        <v>44285</v>
      </c>
      <c r="Z425" s="484">
        <v>44285</v>
      </c>
      <c r="AA425" s="484">
        <v>44329</v>
      </c>
      <c r="AB425" s="485" t="s">
        <v>2548</v>
      </c>
      <c r="AC425" s="483" t="s">
        <v>3860</v>
      </c>
      <c r="AD425" s="485" t="s">
        <v>3861</v>
      </c>
      <c r="AE425" s="486" t="s">
        <v>3862</v>
      </c>
      <c r="AF425" s="473">
        <v>5266818</v>
      </c>
      <c r="AG425" s="474">
        <f t="shared" si="7"/>
        <v>33000</v>
      </c>
      <c r="AK425" s="475">
        <v>117040</v>
      </c>
      <c r="AL425" s="475">
        <v>3511212</v>
      </c>
      <c r="AM425" s="306">
        <v>1521525</v>
      </c>
    </row>
    <row r="426" spans="1:39" hidden="1" x14ac:dyDescent="0.35">
      <c r="A426" s="476" t="s">
        <v>2316</v>
      </c>
      <c r="B426" s="477">
        <v>64260000</v>
      </c>
      <c r="C426" s="212" t="s">
        <v>2544</v>
      </c>
      <c r="D426" s="478">
        <v>421</v>
      </c>
      <c r="E426" s="478">
        <v>20212000015563</v>
      </c>
      <c r="F426" s="479">
        <v>44273</v>
      </c>
      <c r="G426" s="478" t="s">
        <v>2538</v>
      </c>
      <c r="H426" s="212" t="s">
        <v>2539</v>
      </c>
      <c r="I426" s="212" t="s">
        <v>391</v>
      </c>
      <c r="J426" s="475">
        <v>60690000</v>
      </c>
      <c r="K426" s="210" t="s">
        <v>2609</v>
      </c>
      <c r="L426" s="212" t="s">
        <v>2610</v>
      </c>
      <c r="M426" s="212" t="s">
        <v>44</v>
      </c>
      <c r="N426" s="212" t="s">
        <v>45</v>
      </c>
      <c r="O426" s="212" t="s">
        <v>63</v>
      </c>
      <c r="P426" s="212" t="s">
        <v>674</v>
      </c>
      <c r="R426" s="486">
        <v>457</v>
      </c>
      <c r="S426" s="490">
        <v>44274</v>
      </c>
      <c r="T426" s="486" t="s">
        <v>3863</v>
      </c>
      <c r="U426" s="475">
        <v>60690000</v>
      </c>
      <c r="V426" s="406"/>
      <c r="W426" s="362"/>
      <c r="X426" s="483" t="s">
        <v>3864</v>
      </c>
      <c r="Y426" s="484">
        <v>44307</v>
      </c>
      <c r="Z426" s="484">
        <v>44307</v>
      </c>
      <c r="AA426" s="484">
        <v>44550</v>
      </c>
      <c r="AB426" s="485" t="s">
        <v>2548</v>
      </c>
      <c r="AC426" s="483" t="s">
        <v>3707</v>
      </c>
      <c r="AD426" s="485" t="s">
        <v>3865</v>
      </c>
      <c r="AE426" s="486" t="s">
        <v>3866</v>
      </c>
      <c r="AF426" s="473">
        <v>57120000</v>
      </c>
      <c r="AG426" s="474">
        <f t="shared" si="7"/>
        <v>3570000</v>
      </c>
      <c r="AL426" s="475">
        <v>2380000</v>
      </c>
      <c r="AM426" s="306">
        <v>7140000</v>
      </c>
    </row>
    <row r="427" spans="1:39" hidden="1" x14ac:dyDescent="0.35">
      <c r="A427" s="476" t="s">
        <v>2318</v>
      </c>
      <c r="B427" s="477">
        <v>64260000</v>
      </c>
      <c r="C427" s="212" t="s">
        <v>2544</v>
      </c>
      <c r="D427" s="478">
        <v>422</v>
      </c>
      <c r="E427" s="478">
        <v>20212000015603</v>
      </c>
      <c r="F427" s="479">
        <v>44273</v>
      </c>
      <c r="G427" s="478" t="s">
        <v>2538</v>
      </c>
      <c r="H427" s="212" t="s">
        <v>2539</v>
      </c>
      <c r="I427" s="212" t="s">
        <v>391</v>
      </c>
      <c r="J427" s="475">
        <v>64260000</v>
      </c>
      <c r="K427" s="212" t="s">
        <v>396</v>
      </c>
      <c r="L427" s="212" t="s">
        <v>397</v>
      </c>
      <c r="M427" s="212" t="s">
        <v>44</v>
      </c>
      <c r="N427" s="212" t="s">
        <v>45</v>
      </c>
      <c r="O427" s="212" t="s">
        <v>63</v>
      </c>
      <c r="P427" s="212" t="s">
        <v>674</v>
      </c>
      <c r="R427" s="486">
        <v>458</v>
      </c>
      <c r="S427" s="490">
        <v>44274</v>
      </c>
      <c r="T427" s="486" t="s">
        <v>3867</v>
      </c>
      <c r="U427" s="475">
        <v>64260000</v>
      </c>
      <c r="V427" s="406"/>
      <c r="W427" s="362"/>
      <c r="X427" s="483" t="s">
        <v>3868</v>
      </c>
      <c r="Y427" s="484">
        <v>44307</v>
      </c>
      <c r="Z427" s="484">
        <v>44307</v>
      </c>
      <c r="AA427" s="484">
        <v>44549</v>
      </c>
      <c r="AB427" s="485" t="s">
        <v>2548</v>
      </c>
      <c r="AC427" s="483" t="s">
        <v>1741</v>
      </c>
      <c r="AD427" s="485" t="s">
        <v>3869</v>
      </c>
      <c r="AE427" s="486" t="s">
        <v>3870</v>
      </c>
      <c r="AF427" s="473">
        <v>57120000</v>
      </c>
      <c r="AG427" s="474">
        <f t="shared" si="7"/>
        <v>7140000</v>
      </c>
      <c r="AL427" s="475">
        <v>2380000</v>
      </c>
      <c r="AM427" s="306">
        <v>7140000</v>
      </c>
    </row>
    <row r="428" spans="1:39" hidden="1" x14ac:dyDescent="0.35">
      <c r="A428" s="476" t="s">
        <v>2319</v>
      </c>
      <c r="B428" s="477">
        <v>64260000</v>
      </c>
      <c r="C428" s="212" t="s">
        <v>2544</v>
      </c>
      <c r="D428" s="478">
        <v>423</v>
      </c>
      <c r="E428" s="478">
        <v>20212000015633</v>
      </c>
      <c r="F428" s="479">
        <v>44273</v>
      </c>
      <c r="G428" s="478" t="s">
        <v>2538</v>
      </c>
      <c r="H428" s="212" t="s">
        <v>2539</v>
      </c>
      <c r="I428" s="212" t="s">
        <v>391</v>
      </c>
      <c r="J428" s="475">
        <v>64260000</v>
      </c>
      <c r="K428" s="210" t="s">
        <v>2609</v>
      </c>
      <c r="L428" s="212" t="s">
        <v>2610</v>
      </c>
      <c r="M428" s="212" t="s">
        <v>44</v>
      </c>
      <c r="N428" s="212" t="s">
        <v>45</v>
      </c>
      <c r="O428" s="212" t="s">
        <v>63</v>
      </c>
      <c r="P428" s="212" t="s">
        <v>674</v>
      </c>
      <c r="R428" s="486">
        <v>459</v>
      </c>
      <c r="S428" s="490">
        <v>44274</v>
      </c>
      <c r="T428" s="486" t="s">
        <v>3871</v>
      </c>
      <c r="U428" s="475">
        <v>64260000</v>
      </c>
      <c r="V428" s="406"/>
      <c r="W428" s="362"/>
      <c r="X428" s="483" t="s">
        <v>3872</v>
      </c>
      <c r="Y428" s="484">
        <v>44319</v>
      </c>
      <c r="Z428" s="484">
        <v>44319</v>
      </c>
      <c r="AA428" s="484">
        <v>44561</v>
      </c>
      <c r="AB428" s="486" t="s">
        <v>2548</v>
      </c>
      <c r="AC428" s="483" t="s">
        <v>3252</v>
      </c>
      <c r="AD428" s="486" t="s">
        <v>3873</v>
      </c>
      <c r="AE428" s="486" t="s">
        <v>3874</v>
      </c>
      <c r="AF428" s="473">
        <v>57120000</v>
      </c>
      <c r="AG428" s="474">
        <f t="shared" si="7"/>
        <v>7140000</v>
      </c>
      <c r="AM428" s="306">
        <v>6188000</v>
      </c>
    </row>
    <row r="429" spans="1:39" hidden="1" x14ac:dyDescent="0.35">
      <c r="A429" s="466" t="s">
        <v>2320</v>
      </c>
      <c r="B429" s="467">
        <v>64260000</v>
      </c>
      <c r="C429" s="212" t="s">
        <v>2544</v>
      </c>
      <c r="D429" s="469">
        <v>424</v>
      </c>
      <c r="E429" s="469">
        <v>20212000015643</v>
      </c>
      <c r="F429" s="470">
        <v>44273</v>
      </c>
      <c r="G429" s="469" t="s">
        <v>2538</v>
      </c>
      <c r="H429" s="468" t="s">
        <v>2539</v>
      </c>
      <c r="I429" s="468" t="s">
        <v>391</v>
      </c>
      <c r="J429" s="471">
        <v>64260000</v>
      </c>
      <c r="K429" s="468" t="s">
        <v>396</v>
      </c>
      <c r="L429" s="468" t="s">
        <v>397</v>
      </c>
      <c r="M429" s="468" t="s">
        <v>44</v>
      </c>
      <c r="N429" s="468" t="s">
        <v>45</v>
      </c>
      <c r="O429" s="468" t="s">
        <v>63</v>
      </c>
      <c r="P429" s="212" t="s">
        <v>674</v>
      </c>
      <c r="Q429" s="468"/>
      <c r="R429" s="529">
        <v>460</v>
      </c>
      <c r="S429" s="528">
        <v>44274</v>
      </c>
      <c r="T429" s="529" t="s">
        <v>3875</v>
      </c>
      <c r="U429" s="471">
        <v>64260000</v>
      </c>
      <c r="V429" s="414"/>
      <c r="W429" s="379"/>
      <c r="X429" s="483" t="s">
        <v>3876</v>
      </c>
      <c r="Y429" s="484">
        <v>44299</v>
      </c>
      <c r="Z429" s="484">
        <v>44299</v>
      </c>
      <c r="AA429" s="484">
        <v>44561</v>
      </c>
      <c r="AB429" s="485" t="s">
        <v>2548</v>
      </c>
      <c r="AC429" s="483" t="s">
        <v>3546</v>
      </c>
      <c r="AD429" s="485" t="s">
        <v>3877</v>
      </c>
      <c r="AE429" s="486" t="s">
        <v>3878</v>
      </c>
      <c r="AF429" s="473">
        <v>60690000</v>
      </c>
      <c r="AG429" s="474">
        <f t="shared" si="7"/>
        <v>3570000</v>
      </c>
      <c r="AI429" s="471"/>
      <c r="AJ429" s="471"/>
      <c r="AK429" s="471"/>
      <c r="AL429" s="471">
        <v>4046000</v>
      </c>
      <c r="AM429" s="306">
        <v>7140000</v>
      </c>
    </row>
    <row r="430" spans="1:39" hidden="1" x14ac:dyDescent="0.35">
      <c r="A430" s="476" t="s">
        <v>2296</v>
      </c>
      <c r="B430" s="477">
        <v>64260000</v>
      </c>
      <c r="C430" s="212" t="s">
        <v>2544</v>
      </c>
      <c r="D430" s="478">
        <v>425</v>
      </c>
      <c r="E430" s="478">
        <v>20212000015653</v>
      </c>
      <c r="F430" s="479">
        <v>44273</v>
      </c>
      <c r="G430" s="478" t="s">
        <v>2538</v>
      </c>
      <c r="H430" s="212" t="s">
        <v>2539</v>
      </c>
      <c r="I430" s="212" t="s">
        <v>391</v>
      </c>
      <c r="J430" s="475">
        <v>49470000</v>
      </c>
      <c r="K430" s="212" t="s">
        <v>396</v>
      </c>
      <c r="L430" s="212" t="s">
        <v>397</v>
      </c>
      <c r="M430" s="212" t="s">
        <v>44</v>
      </c>
      <c r="N430" s="212" t="s">
        <v>45</v>
      </c>
      <c r="O430" s="212" t="s">
        <v>63</v>
      </c>
      <c r="P430" s="212" t="s">
        <v>674</v>
      </c>
      <c r="R430" s="486">
        <v>461</v>
      </c>
      <c r="S430" s="490">
        <v>44274</v>
      </c>
      <c r="T430" s="486" t="s">
        <v>3879</v>
      </c>
      <c r="U430" s="475">
        <v>49470000</v>
      </c>
      <c r="V430" s="406"/>
      <c r="W430" s="362"/>
      <c r="X430" s="483" t="s">
        <v>3880</v>
      </c>
      <c r="Y430" s="484">
        <v>44294</v>
      </c>
      <c r="Z430" s="484">
        <v>44294</v>
      </c>
      <c r="AA430" s="484">
        <v>44550</v>
      </c>
      <c r="AB430" s="485" t="s">
        <v>2548</v>
      </c>
      <c r="AC430" s="483" t="s">
        <v>3550</v>
      </c>
      <c r="AD430" s="485" t="s">
        <v>3881</v>
      </c>
      <c r="AE430" s="486" t="s">
        <v>3882</v>
      </c>
      <c r="AF430" s="473">
        <v>49470000</v>
      </c>
      <c r="AG430" s="474">
        <f t="shared" si="7"/>
        <v>0</v>
      </c>
      <c r="AL430" s="475">
        <v>4462000</v>
      </c>
      <c r="AM430" s="306">
        <v>5820000</v>
      </c>
    </row>
    <row r="431" spans="1:39" hidden="1" x14ac:dyDescent="0.35">
      <c r="B431" s="501" t="s">
        <v>2581</v>
      </c>
      <c r="C431" s="212" t="s">
        <v>3883</v>
      </c>
      <c r="D431" s="478">
        <v>426</v>
      </c>
      <c r="E431" s="478">
        <v>20211300015853</v>
      </c>
      <c r="F431" s="479">
        <v>44274</v>
      </c>
      <c r="G431" s="478" t="s">
        <v>2545</v>
      </c>
      <c r="H431" s="212" t="s">
        <v>2546</v>
      </c>
      <c r="I431" s="212" t="s">
        <v>210</v>
      </c>
      <c r="J431" s="475">
        <v>11411438</v>
      </c>
      <c r="K431" s="212" t="s">
        <v>138</v>
      </c>
      <c r="L431" s="212" t="s">
        <v>139</v>
      </c>
      <c r="M431" s="212" t="s">
        <v>44</v>
      </c>
      <c r="N431" s="212" t="s">
        <v>45</v>
      </c>
      <c r="O431" s="212" t="s">
        <v>142</v>
      </c>
      <c r="P431" s="212" t="s">
        <v>43</v>
      </c>
      <c r="R431" s="486">
        <v>462</v>
      </c>
      <c r="S431" s="490">
        <v>44274</v>
      </c>
      <c r="T431" s="486" t="s">
        <v>3884</v>
      </c>
      <c r="U431" s="475">
        <v>11411438</v>
      </c>
      <c r="V431" s="406"/>
      <c r="W431" s="362"/>
      <c r="X431" s="483" t="s">
        <v>3610</v>
      </c>
      <c r="Y431" s="484">
        <v>44285</v>
      </c>
      <c r="Z431" s="484">
        <v>44287</v>
      </c>
      <c r="AA431" s="484">
        <v>44347</v>
      </c>
      <c r="AB431" s="485" t="s">
        <v>2548</v>
      </c>
      <c r="AC431" s="483" t="s">
        <v>3885</v>
      </c>
      <c r="AD431" s="485" t="s">
        <v>3886</v>
      </c>
      <c r="AE431" s="486" t="s">
        <v>3887</v>
      </c>
      <c r="AF431" s="473">
        <v>11411438</v>
      </c>
      <c r="AG431" s="474">
        <f t="shared" si="7"/>
        <v>0</v>
      </c>
      <c r="AL431" s="475">
        <v>5705719</v>
      </c>
      <c r="AM431" s="306">
        <v>5705719</v>
      </c>
    </row>
    <row r="432" spans="1:39" hidden="1" x14ac:dyDescent="0.35">
      <c r="B432" s="501" t="s">
        <v>2581</v>
      </c>
      <c r="C432" s="212" t="s">
        <v>3888</v>
      </c>
      <c r="D432" s="478">
        <v>427</v>
      </c>
      <c r="E432" s="478">
        <v>20211300015873</v>
      </c>
      <c r="F432" s="479">
        <v>44274</v>
      </c>
      <c r="G432" s="478" t="s">
        <v>2545</v>
      </c>
      <c r="H432" s="212" t="s">
        <v>2546</v>
      </c>
      <c r="I432" s="212" t="s">
        <v>210</v>
      </c>
      <c r="J432" s="475">
        <v>12874444</v>
      </c>
      <c r="K432" s="212" t="s">
        <v>138</v>
      </c>
      <c r="L432" s="212" t="s">
        <v>139</v>
      </c>
      <c r="M432" s="212" t="s">
        <v>44</v>
      </c>
      <c r="N432" s="212" t="s">
        <v>45</v>
      </c>
      <c r="O432" s="212" t="s">
        <v>142</v>
      </c>
      <c r="P432" s="212" t="s">
        <v>43</v>
      </c>
      <c r="R432" s="486">
        <v>464</v>
      </c>
      <c r="S432" s="490">
        <v>44274</v>
      </c>
      <c r="T432" s="486" t="s">
        <v>3889</v>
      </c>
      <c r="U432" s="475">
        <v>12874444</v>
      </c>
      <c r="V432" s="406"/>
      <c r="W432" s="362"/>
      <c r="X432" s="483" t="s">
        <v>2825</v>
      </c>
      <c r="Y432" s="484">
        <v>44285</v>
      </c>
      <c r="Z432" s="484">
        <v>44286</v>
      </c>
      <c r="AA432" s="484">
        <v>44340</v>
      </c>
      <c r="AB432" s="485" t="s">
        <v>2548</v>
      </c>
      <c r="AC432" s="483" t="s">
        <v>3890</v>
      </c>
      <c r="AD432" s="485" t="s">
        <v>3891</v>
      </c>
      <c r="AE432" s="486" t="s">
        <v>3892</v>
      </c>
      <c r="AF432" s="473">
        <v>12874444</v>
      </c>
      <c r="AG432" s="474">
        <f t="shared" si="7"/>
        <v>0</v>
      </c>
      <c r="AL432" s="475">
        <v>7022424</v>
      </c>
      <c r="AM432" s="306">
        <v>5617939</v>
      </c>
    </row>
    <row r="433" spans="1:39" hidden="1" x14ac:dyDescent="0.35">
      <c r="B433" s="501" t="s">
        <v>2581</v>
      </c>
      <c r="C433" s="212" t="s">
        <v>3893</v>
      </c>
      <c r="D433" s="478">
        <v>428</v>
      </c>
      <c r="E433" s="478">
        <v>20211300015863</v>
      </c>
      <c r="F433" s="479">
        <v>44274</v>
      </c>
      <c r="G433" s="478" t="s">
        <v>2545</v>
      </c>
      <c r="H433" s="212" t="s">
        <v>2546</v>
      </c>
      <c r="I433" s="212" t="s">
        <v>210</v>
      </c>
      <c r="J433" s="475">
        <v>11411438</v>
      </c>
      <c r="K433" s="212" t="s">
        <v>138</v>
      </c>
      <c r="L433" s="212" t="s">
        <v>139</v>
      </c>
      <c r="M433" s="212" t="s">
        <v>44</v>
      </c>
      <c r="N433" s="212" t="s">
        <v>45</v>
      </c>
      <c r="O433" s="212" t="s">
        <v>142</v>
      </c>
      <c r="P433" s="212" t="s">
        <v>43</v>
      </c>
      <c r="R433" s="486">
        <v>463</v>
      </c>
      <c r="S433" s="490">
        <v>44274</v>
      </c>
      <c r="T433" s="486" t="s">
        <v>3894</v>
      </c>
      <c r="U433" s="475">
        <v>11411438</v>
      </c>
      <c r="V433" s="406"/>
      <c r="W433" s="362"/>
      <c r="X433" s="483" t="s">
        <v>3812</v>
      </c>
      <c r="Y433" s="484">
        <v>44285</v>
      </c>
      <c r="Z433" s="484">
        <v>44287</v>
      </c>
      <c r="AA433" s="484">
        <v>44347</v>
      </c>
      <c r="AB433" s="485" t="s">
        <v>2548</v>
      </c>
      <c r="AC433" s="483" t="s">
        <v>3895</v>
      </c>
      <c r="AD433" s="485" t="s">
        <v>3896</v>
      </c>
      <c r="AE433" s="486" t="s">
        <v>3897</v>
      </c>
      <c r="AF433" s="473">
        <v>11411438</v>
      </c>
      <c r="AG433" s="474">
        <f t="shared" si="7"/>
        <v>0</v>
      </c>
      <c r="AL433" s="475">
        <v>5705719</v>
      </c>
      <c r="AM433" s="306">
        <v>5705719</v>
      </c>
    </row>
    <row r="434" spans="1:39" hidden="1" x14ac:dyDescent="0.35">
      <c r="A434" s="476" t="s">
        <v>2308</v>
      </c>
      <c r="B434" s="477">
        <v>65413872</v>
      </c>
      <c r="C434" s="212" t="s">
        <v>2544</v>
      </c>
      <c r="D434" s="478">
        <v>429</v>
      </c>
      <c r="E434" s="478">
        <v>20217000015983</v>
      </c>
      <c r="F434" s="479">
        <v>44274</v>
      </c>
      <c r="G434" s="478" t="s">
        <v>2545</v>
      </c>
      <c r="H434" s="212" t="s">
        <v>2546</v>
      </c>
      <c r="I434" s="212" t="s">
        <v>164</v>
      </c>
      <c r="J434" s="475">
        <v>62400000</v>
      </c>
      <c r="K434" s="212" t="s">
        <v>138</v>
      </c>
      <c r="L434" s="212" t="s">
        <v>139</v>
      </c>
      <c r="M434" s="212" t="s">
        <v>44</v>
      </c>
      <c r="N434" s="212" t="s">
        <v>45</v>
      </c>
      <c r="O434" s="212" t="s">
        <v>142</v>
      </c>
      <c r="P434" s="212" t="s">
        <v>43</v>
      </c>
      <c r="R434" s="486">
        <v>469</v>
      </c>
      <c r="S434" s="490">
        <v>44274</v>
      </c>
      <c r="T434" s="486" t="s">
        <v>3898</v>
      </c>
      <c r="U434" s="475">
        <v>62400000</v>
      </c>
      <c r="V434" s="406"/>
      <c r="W434" s="362"/>
      <c r="X434" s="483" t="s">
        <v>3899</v>
      </c>
      <c r="Y434" s="484">
        <v>44299</v>
      </c>
      <c r="Z434" s="484">
        <v>44299</v>
      </c>
      <c r="AA434" s="484">
        <v>44543</v>
      </c>
      <c r="AB434" s="485" t="s">
        <v>2548</v>
      </c>
      <c r="AC434" s="483" t="s">
        <v>3754</v>
      </c>
      <c r="AD434" s="485" t="s">
        <v>3900</v>
      </c>
      <c r="AE434" s="486" t="s">
        <v>2603</v>
      </c>
      <c r="AF434" s="473">
        <v>62400000</v>
      </c>
      <c r="AG434" s="474">
        <f t="shared" si="7"/>
        <v>0</v>
      </c>
      <c r="AL434" s="475">
        <v>4160000</v>
      </c>
      <c r="AM434" s="306">
        <v>7800000</v>
      </c>
    </row>
    <row r="435" spans="1:39" hidden="1" x14ac:dyDescent="0.35">
      <c r="A435" s="476" t="s">
        <v>2309</v>
      </c>
      <c r="B435" s="477">
        <v>65413872</v>
      </c>
      <c r="C435" s="212" t="s">
        <v>2544</v>
      </c>
      <c r="D435" s="478">
        <v>430</v>
      </c>
      <c r="E435" s="478">
        <v>20217000015993</v>
      </c>
      <c r="F435" s="479">
        <v>44274</v>
      </c>
      <c r="G435" s="478" t="s">
        <v>2545</v>
      </c>
      <c r="H435" s="212" t="s">
        <v>2546</v>
      </c>
      <c r="I435" s="212" t="s">
        <v>164</v>
      </c>
      <c r="J435" s="475">
        <v>54600000</v>
      </c>
      <c r="K435" s="212" t="s">
        <v>138</v>
      </c>
      <c r="L435" s="212" t="s">
        <v>139</v>
      </c>
      <c r="M435" s="212" t="s">
        <v>44</v>
      </c>
      <c r="N435" s="212" t="s">
        <v>45</v>
      </c>
      <c r="O435" s="212" t="s">
        <v>142</v>
      </c>
      <c r="P435" s="212" t="s">
        <v>43</v>
      </c>
      <c r="R435" s="486">
        <v>470</v>
      </c>
      <c r="S435" s="490">
        <v>44274</v>
      </c>
      <c r="T435" s="486" t="s">
        <v>3901</v>
      </c>
      <c r="U435" s="475">
        <v>54600000</v>
      </c>
      <c r="V435" s="406"/>
      <c r="W435" s="362"/>
      <c r="X435" s="211" t="s">
        <v>3902</v>
      </c>
      <c r="Y435" s="472">
        <v>44300</v>
      </c>
      <c r="Z435" s="472">
        <v>44300</v>
      </c>
      <c r="AA435" s="472">
        <v>44514</v>
      </c>
      <c r="AB435" s="2" t="s">
        <v>2548</v>
      </c>
      <c r="AC435" s="211" t="s">
        <v>3903</v>
      </c>
      <c r="AD435" s="2" t="s">
        <v>3904</v>
      </c>
      <c r="AE435" s="212" t="s">
        <v>2709</v>
      </c>
      <c r="AF435" s="473">
        <v>54600000</v>
      </c>
      <c r="AG435" s="474">
        <f t="shared" si="7"/>
        <v>0</v>
      </c>
      <c r="AL435" s="475">
        <v>4160000</v>
      </c>
      <c r="AM435" s="306">
        <v>7800000</v>
      </c>
    </row>
    <row r="436" spans="1:39" hidden="1" x14ac:dyDescent="0.35">
      <c r="A436" s="476" t="s">
        <v>2196</v>
      </c>
      <c r="B436" s="477">
        <v>27500000</v>
      </c>
      <c r="C436" s="212" t="s">
        <v>2544</v>
      </c>
      <c r="D436" s="478">
        <v>431</v>
      </c>
      <c r="E436" s="478">
        <v>20211100014113</v>
      </c>
      <c r="F436" s="310">
        <v>44265</v>
      </c>
      <c r="G436" s="309" t="s">
        <v>2545</v>
      </c>
      <c r="H436" s="210" t="s">
        <v>2546</v>
      </c>
      <c r="I436" s="210" t="s">
        <v>206</v>
      </c>
      <c r="J436" s="407">
        <v>27500000</v>
      </c>
      <c r="K436" s="210" t="s">
        <v>138</v>
      </c>
      <c r="L436" s="210" t="s">
        <v>139</v>
      </c>
      <c r="M436" s="210" t="s">
        <v>44</v>
      </c>
      <c r="N436" s="210" t="s">
        <v>45</v>
      </c>
      <c r="O436" s="210" t="s">
        <v>142</v>
      </c>
      <c r="P436" s="210" t="s">
        <v>43</v>
      </c>
      <c r="Q436" s="210"/>
      <c r="R436" s="212">
        <v>405</v>
      </c>
      <c r="S436" s="490">
        <v>44266</v>
      </c>
      <c r="T436" s="486" t="s">
        <v>3905</v>
      </c>
      <c r="U436" s="475">
        <v>27500000</v>
      </c>
      <c r="V436" s="406"/>
      <c r="W436" s="362"/>
      <c r="X436" s="483" t="s">
        <v>3507</v>
      </c>
      <c r="Y436" s="484">
        <v>44281</v>
      </c>
      <c r="Z436" s="484">
        <v>44281</v>
      </c>
      <c r="AA436" s="484">
        <v>44434</v>
      </c>
      <c r="AB436" s="485" t="s">
        <v>2548</v>
      </c>
      <c r="AC436" s="483" t="s">
        <v>3906</v>
      </c>
      <c r="AD436" s="485" t="s">
        <v>3907</v>
      </c>
      <c r="AE436" s="486" t="s">
        <v>3908</v>
      </c>
      <c r="AF436" s="473">
        <v>27500000</v>
      </c>
      <c r="AG436" s="474">
        <f t="shared" si="7"/>
        <v>0</v>
      </c>
      <c r="AL436" s="475">
        <v>5866666</v>
      </c>
      <c r="AM436" s="306">
        <v>5500000</v>
      </c>
    </row>
    <row r="437" spans="1:39" hidden="1" x14ac:dyDescent="0.35">
      <c r="A437" s="476" t="s">
        <v>1675</v>
      </c>
      <c r="B437" s="477">
        <v>59500000</v>
      </c>
      <c r="C437" s="212" t="s">
        <v>2544</v>
      </c>
      <c r="D437" s="478">
        <v>432</v>
      </c>
      <c r="E437" s="478">
        <v>20211400015033</v>
      </c>
      <c r="F437" s="479">
        <v>44274</v>
      </c>
      <c r="G437" s="478" t="s">
        <v>2545</v>
      </c>
      <c r="H437" s="212" t="s">
        <v>2546</v>
      </c>
      <c r="I437" s="212" t="s">
        <v>184</v>
      </c>
      <c r="J437" s="475">
        <v>59500000</v>
      </c>
      <c r="K437" s="212" t="s">
        <v>138</v>
      </c>
      <c r="L437" s="212" t="s">
        <v>2550</v>
      </c>
      <c r="M437" s="212" t="s">
        <v>44</v>
      </c>
      <c r="N437" s="212" t="s">
        <v>45</v>
      </c>
      <c r="O437" s="212" t="s">
        <v>142</v>
      </c>
      <c r="P437" s="212" t="s">
        <v>43</v>
      </c>
      <c r="R437" s="486">
        <v>467</v>
      </c>
      <c r="S437" s="490">
        <v>44274</v>
      </c>
      <c r="T437" s="486" t="s">
        <v>3909</v>
      </c>
      <c r="U437" s="475">
        <v>59500000</v>
      </c>
      <c r="V437" s="406"/>
      <c r="W437" s="362"/>
      <c r="X437" s="483" t="s">
        <v>3910</v>
      </c>
      <c r="Y437" s="484">
        <v>44299</v>
      </c>
      <c r="Z437" s="484">
        <v>44299</v>
      </c>
      <c r="AA437" s="484">
        <v>44513</v>
      </c>
      <c r="AB437" s="485" t="s">
        <v>2548</v>
      </c>
      <c r="AC437" s="483" t="s">
        <v>3829</v>
      </c>
      <c r="AD437" s="485" t="s">
        <v>3911</v>
      </c>
      <c r="AE437" s="486" t="s">
        <v>3912</v>
      </c>
      <c r="AF437" s="473">
        <v>59500000</v>
      </c>
      <c r="AG437" s="474">
        <f t="shared" si="7"/>
        <v>0</v>
      </c>
      <c r="AL437" s="475">
        <v>5100000</v>
      </c>
      <c r="AM437" s="306">
        <v>8500000</v>
      </c>
    </row>
    <row r="438" spans="1:39" hidden="1" x14ac:dyDescent="0.35">
      <c r="A438" s="476" t="s">
        <v>1670</v>
      </c>
      <c r="B438" s="477">
        <v>59500000</v>
      </c>
      <c r="C438" s="212" t="s">
        <v>2544</v>
      </c>
      <c r="D438" s="478">
        <v>433</v>
      </c>
      <c r="E438" s="478">
        <v>20211400015053</v>
      </c>
      <c r="F438" s="479">
        <v>44274</v>
      </c>
      <c r="G438" s="478" t="s">
        <v>2545</v>
      </c>
      <c r="H438" s="212" t="s">
        <v>2546</v>
      </c>
      <c r="I438" s="212" t="s">
        <v>184</v>
      </c>
      <c r="J438" s="475">
        <v>59500000</v>
      </c>
      <c r="K438" s="212" t="s">
        <v>138</v>
      </c>
      <c r="L438" s="212" t="s">
        <v>2550</v>
      </c>
      <c r="M438" s="212" t="s">
        <v>44</v>
      </c>
      <c r="N438" s="212" t="s">
        <v>45</v>
      </c>
      <c r="O438" s="212" t="s">
        <v>142</v>
      </c>
      <c r="P438" s="212" t="s">
        <v>43</v>
      </c>
      <c r="R438" s="486">
        <v>468</v>
      </c>
      <c r="S438" s="490">
        <v>44274</v>
      </c>
      <c r="T438" s="486" t="s">
        <v>3913</v>
      </c>
      <c r="U438" s="475">
        <v>59500000</v>
      </c>
      <c r="V438" s="406"/>
      <c r="W438" s="362"/>
      <c r="X438" s="483" t="s">
        <v>3914</v>
      </c>
      <c r="Y438" s="484">
        <v>44286</v>
      </c>
      <c r="Z438" s="484">
        <v>44286</v>
      </c>
      <c r="AA438" s="484">
        <v>44500</v>
      </c>
      <c r="AB438" s="485" t="s">
        <v>2548</v>
      </c>
      <c r="AC438" s="483" t="s">
        <v>3915</v>
      </c>
      <c r="AD438" s="485" t="s">
        <v>3916</v>
      </c>
      <c r="AE438" s="486" t="s">
        <v>3917</v>
      </c>
      <c r="AF438" s="473">
        <v>59500000</v>
      </c>
      <c r="AG438" s="474">
        <f t="shared" si="7"/>
        <v>0</v>
      </c>
      <c r="AL438" s="475">
        <v>8500000</v>
      </c>
      <c r="AM438" s="306">
        <v>8500000</v>
      </c>
    </row>
    <row r="439" spans="1:39" hidden="1" x14ac:dyDescent="0.35">
      <c r="A439" s="476" t="s">
        <v>2367</v>
      </c>
      <c r="B439" s="477">
        <v>44972037</v>
      </c>
      <c r="C439" s="212" t="s">
        <v>2544</v>
      </c>
      <c r="D439" s="478">
        <v>434</v>
      </c>
      <c r="E439" s="478">
        <v>20216000016103</v>
      </c>
      <c r="F439" s="479">
        <v>44274</v>
      </c>
      <c r="G439" s="478" t="s">
        <v>2545</v>
      </c>
      <c r="H439" s="212" t="s">
        <v>2546</v>
      </c>
      <c r="I439" s="212" t="s">
        <v>214</v>
      </c>
      <c r="J439" s="475">
        <v>44972037</v>
      </c>
      <c r="K439" s="212" t="s">
        <v>138</v>
      </c>
      <c r="L439" s="212" t="s">
        <v>139</v>
      </c>
      <c r="M439" s="212" t="s">
        <v>44</v>
      </c>
      <c r="N439" s="212" t="s">
        <v>45</v>
      </c>
      <c r="O439" s="212" t="s">
        <v>142</v>
      </c>
      <c r="P439" s="212" t="s">
        <v>43</v>
      </c>
      <c r="R439" s="486">
        <v>471</v>
      </c>
      <c r="S439" s="490">
        <v>44274</v>
      </c>
      <c r="T439" s="486" t="s">
        <v>3918</v>
      </c>
      <c r="U439" s="475">
        <v>44972037</v>
      </c>
      <c r="V439" s="406"/>
      <c r="W439" s="362"/>
      <c r="X439" s="483" t="s">
        <v>3919</v>
      </c>
      <c r="Y439" s="484">
        <v>44285</v>
      </c>
      <c r="Z439" s="484">
        <v>44285</v>
      </c>
      <c r="AA439" s="484">
        <v>44560</v>
      </c>
      <c r="AB439" s="485" t="s">
        <v>2548</v>
      </c>
      <c r="AC439" s="483" t="s">
        <v>3920</v>
      </c>
      <c r="AD439" s="485" t="s">
        <v>3921</v>
      </c>
      <c r="AE439" s="486" t="s">
        <v>3922</v>
      </c>
      <c r="AF439" s="473">
        <v>44972037</v>
      </c>
      <c r="AG439" s="474">
        <f t="shared" si="7"/>
        <v>0</v>
      </c>
      <c r="AL439" s="475">
        <v>4996893</v>
      </c>
      <c r="AM439" s="306">
        <v>4996893</v>
      </c>
    </row>
    <row r="440" spans="1:39" hidden="1" x14ac:dyDescent="0.35">
      <c r="A440" s="476" t="s">
        <v>1883</v>
      </c>
      <c r="B440" s="477">
        <v>28618569</v>
      </c>
      <c r="C440" s="212" t="s">
        <v>2544</v>
      </c>
      <c r="D440" s="478">
        <v>435</v>
      </c>
      <c r="E440" s="478">
        <v>20217000016153</v>
      </c>
      <c r="F440" s="479">
        <v>44274</v>
      </c>
      <c r="G440" s="478" t="s">
        <v>2545</v>
      </c>
      <c r="H440" s="212" t="s">
        <v>2546</v>
      </c>
      <c r="I440" s="212" t="s">
        <v>164</v>
      </c>
      <c r="J440" s="475">
        <v>19079046</v>
      </c>
      <c r="K440" s="212" t="s">
        <v>138</v>
      </c>
      <c r="L440" s="212" t="s">
        <v>139</v>
      </c>
      <c r="M440" s="212" t="s">
        <v>44</v>
      </c>
      <c r="N440" s="212" t="s">
        <v>45</v>
      </c>
      <c r="O440" s="212" t="s">
        <v>142</v>
      </c>
      <c r="P440" s="212" t="s">
        <v>43</v>
      </c>
      <c r="R440" s="486">
        <v>472</v>
      </c>
      <c r="S440" s="490">
        <v>44274</v>
      </c>
      <c r="T440" s="486" t="s">
        <v>3923</v>
      </c>
      <c r="U440" s="475">
        <v>19079046</v>
      </c>
      <c r="V440" s="406"/>
      <c r="W440" s="362"/>
      <c r="X440" s="483" t="s">
        <v>3924</v>
      </c>
      <c r="Y440" s="484">
        <v>44298</v>
      </c>
      <c r="Z440" s="484">
        <v>44298</v>
      </c>
      <c r="AA440" s="484">
        <v>44481</v>
      </c>
      <c r="AB440" s="485" t="s">
        <v>2548</v>
      </c>
      <c r="AC440" s="483" t="s">
        <v>3925</v>
      </c>
      <c r="AD440" s="485" t="s">
        <v>3926</v>
      </c>
      <c r="AE440" s="486" t="s">
        <v>3927</v>
      </c>
      <c r="AF440" s="473">
        <v>19079046</v>
      </c>
      <c r="AG440" s="474">
        <f t="shared" si="7"/>
        <v>0</v>
      </c>
      <c r="AL440" s="475">
        <v>2013899</v>
      </c>
      <c r="AM440" s="306">
        <v>3179841</v>
      </c>
    </row>
    <row r="441" spans="1:39" hidden="1" x14ac:dyDescent="0.35">
      <c r="A441" s="476" t="s">
        <v>2241</v>
      </c>
      <c r="B441" s="477">
        <v>64800000</v>
      </c>
      <c r="C441" s="212" t="s">
        <v>2544</v>
      </c>
      <c r="D441" s="478">
        <v>436</v>
      </c>
      <c r="E441" s="478">
        <v>20216000016203</v>
      </c>
      <c r="F441" s="479">
        <v>44278</v>
      </c>
      <c r="G441" s="478" t="s">
        <v>2545</v>
      </c>
      <c r="H441" s="212" t="s">
        <v>2546</v>
      </c>
      <c r="I441" s="212" t="s">
        <v>214</v>
      </c>
      <c r="J441" s="475">
        <v>64000000</v>
      </c>
      <c r="K441" s="212" t="s">
        <v>138</v>
      </c>
      <c r="L441" s="212" t="s">
        <v>139</v>
      </c>
      <c r="M441" s="212" t="s">
        <v>44</v>
      </c>
      <c r="N441" s="212" t="s">
        <v>45</v>
      </c>
      <c r="O441" s="212" t="s">
        <v>142</v>
      </c>
      <c r="P441" s="212" t="s">
        <v>43</v>
      </c>
      <c r="R441" s="486">
        <v>476</v>
      </c>
      <c r="S441" s="490">
        <v>44278</v>
      </c>
      <c r="T441" s="486" t="s">
        <v>3928</v>
      </c>
      <c r="U441" s="475">
        <v>64000000</v>
      </c>
      <c r="V441" s="406"/>
      <c r="W441" s="362"/>
      <c r="X441" s="483"/>
      <c r="Y441" s="484"/>
      <c r="Z441" s="484"/>
      <c r="AA441" s="484"/>
      <c r="AB441" s="486"/>
      <c r="AC441" s="483"/>
      <c r="AD441" s="486"/>
      <c r="AE441" s="486"/>
      <c r="AF441" s="496"/>
      <c r="AG441" s="474"/>
      <c r="AM441" s="212"/>
    </row>
    <row r="442" spans="1:39" hidden="1" x14ac:dyDescent="0.35">
      <c r="A442" s="476" t="s">
        <v>3929</v>
      </c>
      <c r="B442" s="477">
        <v>45000000</v>
      </c>
      <c r="C442" s="212" t="s">
        <v>2544</v>
      </c>
      <c r="D442" s="478">
        <v>437</v>
      </c>
      <c r="E442" s="478">
        <v>20216000016213</v>
      </c>
      <c r="F442" s="479">
        <v>44278</v>
      </c>
      <c r="G442" s="478" t="s">
        <v>2545</v>
      </c>
      <c r="H442" s="212" t="s">
        <v>2546</v>
      </c>
      <c r="I442" s="212" t="s">
        <v>214</v>
      </c>
      <c r="J442" s="475">
        <v>45000000</v>
      </c>
      <c r="K442" s="212" t="s">
        <v>138</v>
      </c>
      <c r="L442" s="212" t="s">
        <v>139</v>
      </c>
      <c r="M442" s="212" t="s">
        <v>44</v>
      </c>
      <c r="N442" s="212" t="s">
        <v>45</v>
      </c>
      <c r="O442" s="212" t="s">
        <v>142</v>
      </c>
      <c r="P442" s="212" t="s">
        <v>43</v>
      </c>
      <c r="R442" s="486">
        <v>477</v>
      </c>
      <c r="S442" s="490">
        <v>44278</v>
      </c>
      <c r="T442" s="486" t="s">
        <v>3930</v>
      </c>
      <c r="U442" s="475">
        <v>45000000</v>
      </c>
      <c r="V442" s="406"/>
      <c r="W442" s="362"/>
      <c r="AG442" s="474">
        <f t="shared" si="7"/>
        <v>45000000</v>
      </c>
      <c r="AM442" s="212"/>
    </row>
    <row r="443" spans="1:39" hidden="1" x14ac:dyDescent="0.35">
      <c r="A443" s="476" t="s">
        <v>1963</v>
      </c>
      <c r="B443" s="477">
        <v>24530202</v>
      </c>
      <c r="C443" s="212" t="s">
        <v>2544</v>
      </c>
      <c r="D443" s="478">
        <v>438</v>
      </c>
      <c r="E443" s="478">
        <v>20217000015823</v>
      </c>
      <c r="F443" s="479">
        <v>44278</v>
      </c>
      <c r="G443" s="478" t="s">
        <v>2545</v>
      </c>
      <c r="H443" s="212" t="s">
        <v>2546</v>
      </c>
      <c r="I443" s="212" t="s">
        <v>164</v>
      </c>
      <c r="J443" s="475">
        <v>16400000</v>
      </c>
      <c r="K443" s="212" t="s">
        <v>138</v>
      </c>
      <c r="L443" s="212" t="s">
        <v>139</v>
      </c>
      <c r="M443" s="212" t="s">
        <v>44</v>
      </c>
      <c r="N443" s="212" t="s">
        <v>45</v>
      </c>
      <c r="O443" s="212" t="s">
        <v>142</v>
      </c>
      <c r="P443" s="212" t="s">
        <v>43</v>
      </c>
      <c r="R443" s="486">
        <v>474</v>
      </c>
      <c r="S443" s="490">
        <v>44278</v>
      </c>
      <c r="T443" s="486" t="s">
        <v>3931</v>
      </c>
      <c r="U443" s="475">
        <v>16400000</v>
      </c>
      <c r="V443" s="406"/>
      <c r="W443" s="362"/>
      <c r="X443" s="483" t="s">
        <v>3932</v>
      </c>
      <c r="Y443" s="484">
        <v>44298</v>
      </c>
      <c r="Z443" s="484">
        <v>44298</v>
      </c>
      <c r="AA443" s="484">
        <v>44481</v>
      </c>
      <c r="AB443" s="485" t="s">
        <v>2548</v>
      </c>
      <c r="AC443" s="483" t="s">
        <v>3933</v>
      </c>
      <c r="AD443" s="485" t="s">
        <v>3934</v>
      </c>
      <c r="AE443" s="486" t="s">
        <v>3935</v>
      </c>
      <c r="AF443" s="473">
        <v>16353468</v>
      </c>
      <c r="AG443" s="474">
        <f t="shared" si="7"/>
        <v>46532</v>
      </c>
      <c r="AL443" s="475">
        <v>1726199</v>
      </c>
      <c r="AM443" s="306">
        <v>2725578</v>
      </c>
    </row>
    <row r="444" spans="1:39" s="312" customFormat="1" hidden="1" x14ac:dyDescent="0.35">
      <c r="A444" s="361" t="s">
        <v>3936</v>
      </c>
      <c r="B444" s="417">
        <v>54000000</v>
      </c>
      <c r="C444" s="312" t="s">
        <v>2660</v>
      </c>
      <c r="D444" s="325">
        <v>439</v>
      </c>
      <c r="E444" s="325">
        <v>20216000016193</v>
      </c>
      <c r="F444" s="315">
        <v>44278</v>
      </c>
      <c r="G444" s="325" t="s">
        <v>2545</v>
      </c>
      <c r="H444" s="312" t="s">
        <v>2546</v>
      </c>
      <c r="I444" s="312" t="s">
        <v>214</v>
      </c>
      <c r="J444" s="405">
        <v>54000000</v>
      </c>
      <c r="K444" s="312" t="s">
        <v>138</v>
      </c>
      <c r="L444" s="312" t="s">
        <v>139</v>
      </c>
      <c r="M444" s="312" t="s">
        <v>44</v>
      </c>
      <c r="N444" s="312" t="s">
        <v>45</v>
      </c>
      <c r="O444" s="312" t="s">
        <v>142</v>
      </c>
      <c r="P444" s="312" t="s">
        <v>43</v>
      </c>
      <c r="R444" s="360">
        <v>475</v>
      </c>
      <c r="S444" s="363">
        <v>44278</v>
      </c>
      <c r="T444" s="360" t="s">
        <v>3937</v>
      </c>
      <c r="U444" s="405">
        <f>54000000-54000000</f>
        <v>0</v>
      </c>
      <c r="V444" s="406">
        <f>54000000</f>
        <v>54000000</v>
      </c>
      <c r="W444" s="362" t="s">
        <v>1428</v>
      </c>
      <c r="X444" s="314"/>
      <c r="Y444" s="358"/>
      <c r="Z444" s="358"/>
      <c r="AA444" s="358"/>
      <c r="AB444" s="317"/>
      <c r="AC444" s="316"/>
      <c r="AD444" s="317"/>
      <c r="AF444" s="410"/>
      <c r="AG444" s="318">
        <f t="shared" si="7"/>
        <v>0</v>
      </c>
      <c r="AH444" s="405"/>
      <c r="AI444" s="405"/>
      <c r="AJ444" s="405"/>
      <c r="AK444" s="405"/>
      <c r="AL444" s="405"/>
      <c r="AM444" s="212"/>
    </row>
    <row r="445" spans="1:39" hidden="1" x14ac:dyDescent="0.35">
      <c r="A445" s="476" t="s">
        <v>1644</v>
      </c>
      <c r="B445" s="477">
        <v>161928000</v>
      </c>
      <c r="C445" s="212" t="s">
        <v>1644</v>
      </c>
      <c r="D445" s="478">
        <v>440</v>
      </c>
      <c r="E445" s="478">
        <v>20215000016333</v>
      </c>
      <c r="F445" s="479">
        <v>44279</v>
      </c>
      <c r="G445" s="478" t="s">
        <v>2538</v>
      </c>
      <c r="H445" s="212" t="s">
        <v>2539</v>
      </c>
      <c r="I445" s="212" t="s">
        <v>228</v>
      </c>
      <c r="J445" s="480">
        <v>161928000</v>
      </c>
      <c r="K445" s="212" t="s">
        <v>223</v>
      </c>
      <c r="L445" s="212" t="s">
        <v>224</v>
      </c>
      <c r="M445" s="212" t="s">
        <v>44</v>
      </c>
      <c r="N445" s="212" t="s">
        <v>45</v>
      </c>
      <c r="O445" s="212" t="s">
        <v>63</v>
      </c>
      <c r="P445" s="212" t="s">
        <v>674</v>
      </c>
      <c r="R445" s="486">
        <v>479</v>
      </c>
      <c r="S445" s="490">
        <v>44279</v>
      </c>
      <c r="T445" s="486" t="s">
        <v>3938</v>
      </c>
      <c r="U445" s="475">
        <v>161928000</v>
      </c>
      <c r="V445" s="406"/>
      <c r="W445" s="362"/>
      <c r="X445" s="483" t="s">
        <v>3939</v>
      </c>
      <c r="Y445" s="484">
        <v>44302</v>
      </c>
      <c r="Z445" s="484">
        <v>44302</v>
      </c>
      <c r="AA445" s="484">
        <v>44561</v>
      </c>
      <c r="AB445" s="485" t="s">
        <v>3940</v>
      </c>
      <c r="AC445" s="483" t="s">
        <v>3764</v>
      </c>
      <c r="AD445" s="485" t="s">
        <v>3941</v>
      </c>
      <c r="AE445" s="486" t="s">
        <v>3942</v>
      </c>
      <c r="AF445" s="473">
        <v>161928000</v>
      </c>
      <c r="AG445" s="474">
        <f t="shared" si="7"/>
        <v>0</v>
      </c>
      <c r="AL445" s="475">
        <v>13494000</v>
      </c>
      <c r="AM445" s="212"/>
    </row>
    <row r="446" spans="1:39" hidden="1" x14ac:dyDescent="0.35">
      <c r="A446" s="476" t="s">
        <v>2446</v>
      </c>
      <c r="B446" s="477">
        <v>48000000</v>
      </c>
      <c r="C446" s="212" t="s">
        <v>2544</v>
      </c>
      <c r="D446" s="478">
        <v>441</v>
      </c>
      <c r="E446" s="478">
        <v>20213000016803</v>
      </c>
      <c r="F446" s="479">
        <v>44279</v>
      </c>
      <c r="G446" s="478" t="s">
        <v>2538</v>
      </c>
      <c r="H446" s="212" t="s">
        <v>2539</v>
      </c>
      <c r="I446" s="212" t="s">
        <v>432</v>
      </c>
      <c r="J446" s="475">
        <v>45000000</v>
      </c>
      <c r="K446" s="212" t="s">
        <v>342</v>
      </c>
      <c r="L446" s="212" t="s">
        <v>351</v>
      </c>
      <c r="M446" s="212" t="s">
        <v>44</v>
      </c>
      <c r="N446" s="212" t="s">
        <v>45</v>
      </c>
      <c r="O446" s="212" t="s">
        <v>63</v>
      </c>
      <c r="P446" s="212" t="s">
        <v>674</v>
      </c>
      <c r="R446" s="486">
        <v>480</v>
      </c>
      <c r="S446" s="490">
        <v>44279</v>
      </c>
      <c r="T446" s="486" t="s">
        <v>3943</v>
      </c>
      <c r="U446" s="475">
        <v>45000000</v>
      </c>
      <c r="V446" s="406"/>
      <c r="W446" s="362"/>
      <c r="X446" s="483" t="s">
        <v>3944</v>
      </c>
      <c r="Y446" s="484">
        <v>44298</v>
      </c>
      <c r="Z446" s="484">
        <v>44298</v>
      </c>
      <c r="AA446" s="484">
        <v>44451</v>
      </c>
      <c r="AB446" s="485" t="s">
        <v>2548</v>
      </c>
      <c r="AC446" s="483" t="s">
        <v>3661</v>
      </c>
      <c r="AD446" s="485" t="s">
        <v>3945</v>
      </c>
      <c r="AE446" s="486" t="s">
        <v>3946</v>
      </c>
      <c r="AF446" s="473">
        <v>45000000</v>
      </c>
      <c r="AG446" s="474">
        <f t="shared" si="7"/>
        <v>0</v>
      </c>
      <c r="AL446" s="475">
        <v>5100000</v>
      </c>
      <c r="AM446" s="306">
        <v>9000000</v>
      </c>
    </row>
    <row r="447" spans="1:39" hidden="1" x14ac:dyDescent="0.35">
      <c r="A447" s="476" t="s">
        <v>2365</v>
      </c>
      <c r="B447" s="477">
        <v>90000000</v>
      </c>
      <c r="C447" s="212" t="s">
        <v>2544</v>
      </c>
      <c r="D447" s="478">
        <v>442</v>
      </c>
      <c r="E447" s="478">
        <v>20213000016813</v>
      </c>
      <c r="F447" s="479">
        <v>44279</v>
      </c>
      <c r="G447" s="478" t="s">
        <v>2538</v>
      </c>
      <c r="H447" s="212" t="s">
        <v>2539</v>
      </c>
      <c r="I447" s="212" t="s">
        <v>432</v>
      </c>
      <c r="J447" s="475">
        <v>76200000</v>
      </c>
      <c r="K447" s="212" t="s">
        <v>342</v>
      </c>
      <c r="L447" s="212" t="s">
        <v>351</v>
      </c>
      <c r="M447" s="212" t="s">
        <v>44</v>
      </c>
      <c r="N447" s="212" t="s">
        <v>45</v>
      </c>
      <c r="O447" s="212" t="s">
        <v>63</v>
      </c>
      <c r="P447" s="212" t="s">
        <v>674</v>
      </c>
      <c r="R447" s="486">
        <v>481</v>
      </c>
      <c r="S447" s="490">
        <v>44279</v>
      </c>
      <c r="T447" s="486" t="s">
        <v>3947</v>
      </c>
      <c r="U447" s="475">
        <v>76200000</v>
      </c>
      <c r="V447" s="406"/>
      <c r="W447" s="362"/>
      <c r="X447" s="483" t="s">
        <v>3948</v>
      </c>
      <c r="Y447" s="484">
        <v>44302</v>
      </c>
      <c r="Z447" s="484">
        <v>44302</v>
      </c>
      <c r="AA447" s="484">
        <v>44485</v>
      </c>
      <c r="AB447" s="485" t="s">
        <v>2548</v>
      </c>
      <c r="AC447" s="483" t="s">
        <v>3919</v>
      </c>
      <c r="AD447" s="485" t="s">
        <v>3949</v>
      </c>
      <c r="AE447" s="486" t="s">
        <v>3950</v>
      </c>
      <c r="AF447" s="473">
        <v>76200000</v>
      </c>
      <c r="AG447" s="474">
        <f t="shared" si="7"/>
        <v>0</v>
      </c>
      <c r="AL447" s="475">
        <v>5080000</v>
      </c>
      <c r="AM447" s="306">
        <v>12700000</v>
      </c>
    </row>
    <row r="448" spans="1:39" hidden="1" x14ac:dyDescent="0.35">
      <c r="A448" s="476" t="s">
        <v>1869</v>
      </c>
      <c r="B448" s="477">
        <v>89035548</v>
      </c>
      <c r="C448" s="212" t="s">
        <v>2544</v>
      </c>
      <c r="D448" s="478">
        <v>443</v>
      </c>
      <c r="E448" s="478">
        <v>20217000016993</v>
      </c>
      <c r="F448" s="479">
        <v>44279</v>
      </c>
      <c r="G448" s="478" t="s">
        <v>2545</v>
      </c>
      <c r="H448" s="212" t="s">
        <v>2546</v>
      </c>
      <c r="I448" s="212" t="s">
        <v>164</v>
      </c>
      <c r="J448" s="475">
        <v>77400000</v>
      </c>
      <c r="K448" s="212" t="s">
        <v>138</v>
      </c>
      <c r="L448" s="212" t="s">
        <v>139</v>
      </c>
      <c r="M448" s="212" t="s">
        <v>44</v>
      </c>
      <c r="N448" s="212" t="s">
        <v>45</v>
      </c>
      <c r="O448" s="212" t="s">
        <v>142</v>
      </c>
      <c r="P448" s="212" t="s">
        <v>43</v>
      </c>
      <c r="R448" s="486">
        <v>482</v>
      </c>
      <c r="S448" s="490">
        <v>44279</v>
      </c>
      <c r="T448" s="486" t="s">
        <v>3951</v>
      </c>
      <c r="U448" s="475">
        <v>77400000</v>
      </c>
      <c r="V448" s="406"/>
      <c r="W448" s="362"/>
      <c r="X448" s="483" t="s">
        <v>3542</v>
      </c>
      <c r="Y448" s="484">
        <v>44285</v>
      </c>
      <c r="Z448" s="484">
        <v>44285</v>
      </c>
      <c r="AA448" s="484">
        <v>44560</v>
      </c>
      <c r="AB448" s="485" t="s">
        <v>2548</v>
      </c>
      <c r="AC448" s="483" t="s">
        <v>3952</v>
      </c>
      <c r="AD448" s="485" t="s">
        <v>3953</v>
      </c>
      <c r="AE448" s="486" t="s">
        <v>3954</v>
      </c>
      <c r="AF448" s="473">
        <v>77400000</v>
      </c>
      <c r="AG448" s="474">
        <f t="shared" si="7"/>
        <v>0</v>
      </c>
      <c r="AL448" s="475">
        <v>8886667</v>
      </c>
      <c r="AM448" s="306">
        <v>8600000</v>
      </c>
    </row>
    <row r="449" spans="1:39" hidden="1" x14ac:dyDescent="0.35">
      <c r="A449" s="476" t="s">
        <v>2277</v>
      </c>
      <c r="B449" s="477">
        <v>65413872</v>
      </c>
      <c r="C449" s="212" t="s">
        <v>2544</v>
      </c>
      <c r="D449" s="478">
        <v>444</v>
      </c>
      <c r="E449" s="478">
        <v>20217000014913</v>
      </c>
      <c r="F449" s="479">
        <v>44279</v>
      </c>
      <c r="G449" s="478" t="s">
        <v>2545</v>
      </c>
      <c r="H449" s="212" t="s">
        <v>2546</v>
      </c>
      <c r="I449" s="212" t="s">
        <v>164</v>
      </c>
      <c r="J449" s="475">
        <v>43609248</v>
      </c>
      <c r="K449" s="212" t="s">
        <v>138</v>
      </c>
      <c r="L449" s="212" t="s">
        <v>139</v>
      </c>
      <c r="M449" s="212" t="s">
        <v>44</v>
      </c>
      <c r="N449" s="212" t="s">
        <v>45</v>
      </c>
      <c r="O449" s="212" t="s">
        <v>142</v>
      </c>
      <c r="P449" s="212" t="s">
        <v>43</v>
      </c>
      <c r="R449" s="486">
        <v>478</v>
      </c>
      <c r="S449" s="490">
        <v>44279</v>
      </c>
      <c r="T449" s="486" t="s">
        <v>3955</v>
      </c>
      <c r="U449" s="475">
        <v>43609248</v>
      </c>
      <c r="V449" s="406"/>
      <c r="W449" s="362"/>
      <c r="X449" s="483" t="s">
        <v>3956</v>
      </c>
      <c r="Y449" s="484">
        <v>44295</v>
      </c>
      <c r="Z449" s="484">
        <v>44295</v>
      </c>
      <c r="AA449" s="484">
        <v>44478</v>
      </c>
      <c r="AB449" s="485" t="s">
        <v>2548</v>
      </c>
      <c r="AC449" s="483" t="s">
        <v>3613</v>
      </c>
      <c r="AD449" s="485" t="s">
        <v>3957</v>
      </c>
      <c r="AE449" s="486" t="s">
        <v>2549</v>
      </c>
      <c r="AF449" s="473">
        <v>43609248</v>
      </c>
      <c r="AG449" s="474">
        <f t="shared" si="7"/>
        <v>0</v>
      </c>
      <c r="AL449" s="475">
        <v>4603198</v>
      </c>
      <c r="AM449" s="306">
        <v>7268208</v>
      </c>
    </row>
    <row r="450" spans="1:39" hidden="1" x14ac:dyDescent="0.35">
      <c r="B450" s="501" t="s">
        <v>2581</v>
      </c>
      <c r="C450" s="212" t="s">
        <v>3958</v>
      </c>
      <c r="D450" s="478">
        <v>445</v>
      </c>
      <c r="E450" s="478">
        <v>20211300017063</v>
      </c>
      <c r="F450" s="479">
        <v>44281</v>
      </c>
      <c r="G450" s="478" t="s">
        <v>2545</v>
      </c>
      <c r="H450" s="212" t="s">
        <v>2546</v>
      </c>
      <c r="I450" s="212" t="s">
        <v>210</v>
      </c>
      <c r="J450" s="475">
        <v>8558579</v>
      </c>
      <c r="K450" s="212" t="s">
        <v>138</v>
      </c>
      <c r="L450" s="212" t="s">
        <v>139</v>
      </c>
      <c r="M450" s="212" t="s">
        <v>44</v>
      </c>
      <c r="N450" s="212" t="s">
        <v>45</v>
      </c>
      <c r="O450" s="212" t="s">
        <v>142</v>
      </c>
      <c r="P450" s="212" t="s">
        <v>43</v>
      </c>
      <c r="R450" s="486">
        <v>486</v>
      </c>
      <c r="S450" s="490">
        <v>44281</v>
      </c>
      <c r="T450" s="486" t="s">
        <v>3959</v>
      </c>
      <c r="U450" s="475">
        <v>8558579</v>
      </c>
      <c r="V450" s="406"/>
      <c r="W450" s="362"/>
      <c r="X450" s="483" t="s">
        <v>3842</v>
      </c>
      <c r="Y450" s="484">
        <v>44285</v>
      </c>
      <c r="Z450" s="484">
        <v>44285</v>
      </c>
      <c r="AA450" s="484">
        <v>44330</v>
      </c>
      <c r="AB450" s="485" t="s">
        <v>2548</v>
      </c>
      <c r="AC450" s="483" t="s">
        <v>3960</v>
      </c>
      <c r="AD450" s="485" t="s">
        <v>3961</v>
      </c>
      <c r="AE450" s="486" t="s">
        <v>3962</v>
      </c>
      <c r="AF450" s="473">
        <v>8558579</v>
      </c>
      <c r="AG450" s="474">
        <f t="shared" si="7"/>
        <v>0</v>
      </c>
      <c r="AK450" s="475">
        <v>190190</v>
      </c>
      <c r="AL450" s="475">
        <v>5705719</v>
      </c>
      <c r="AM450" s="306">
        <v>2662670</v>
      </c>
    </row>
    <row r="451" spans="1:39" hidden="1" x14ac:dyDescent="0.35">
      <c r="B451" s="501" t="s">
        <v>2581</v>
      </c>
      <c r="C451" s="212" t="s">
        <v>3963</v>
      </c>
      <c r="D451" s="478">
        <v>446</v>
      </c>
      <c r="E451" s="478">
        <v>20217000017323</v>
      </c>
      <c r="F451" s="479">
        <v>44281</v>
      </c>
      <c r="G451" s="478" t="s">
        <v>2545</v>
      </c>
      <c r="H451" s="212" t="s">
        <v>2546</v>
      </c>
      <c r="I451" s="212" t="s">
        <v>164</v>
      </c>
      <c r="J451" s="475">
        <v>19750567</v>
      </c>
      <c r="K451" s="212" t="s">
        <v>138</v>
      </c>
      <c r="L451" s="212" t="s">
        <v>139</v>
      </c>
      <c r="M451" s="212" t="s">
        <v>44</v>
      </c>
      <c r="N451" s="212" t="s">
        <v>45</v>
      </c>
      <c r="O451" s="212" t="s">
        <v>142</v>
      </c>
      <c r="P451" s="212" t="s">
        <v>43</v>
      </c>
      <c r="R451" s="486">
        <v>484</v>
      </c>
      <c r="S451" s="490">
        <v>44281</v>
      </c>
      <c r="T451" s="486" t="s">
        <v>3964</v>
      </c>
      <c r="U451" s="475">
        <v>19750567</v>
      </c>
      <c r="V451" s="406"/>
      <c r="W451" s="362"/>
      <c r="X451" s="483" t="s">
        <v>3671</v>
      </c>
      <c r="Y451" s="484">
        <v>44281</v>
      </c>
      <c r="Z451" s="484">
        <v>44283</v>
      </c>
      <c r="AA451" s="484">
        <v>44358</v>
      </c>
      <c r="AB451" s="485" t="s">
        <v>2548</v>
      </c>
      <c r="AC451" s="483" t="s">
        <v>3965</v>
      </c>
      <c r="AD451" s="485" t="s">
        <v>3966</v>
      </c>
      <c r="AE451" s="486" t="s">
        <v>3967</v>
      </c>
      <c r="AF451" s="473">
        <v>19750567</v>
      </c>
      <c r="AG451" s="474">
        <f t="shared" si="7"/>
        <v>0</v>
      </c>
      <c r="AK451" s="475">
        <v>7900227</v>
      </c>
      <c r="AL451" s="475">
        <v>7900227</v>
      </c>
      <c r="AM451" s="212"/>
    </row>
    <row r="452" spans="1:39" s="312" customFormat="1" hidden="1" x14ac:dyDescent="0.35">
      <c r="A452" s="361" t="s">
        <v>3968</v>
      </c>
      <c r="B452" s="417">
        <v>63000000</v>
      </c>
      <c r="C452" s="312" t="s">
        <v>2660</v>
      </c>
      <c r="D452" s="325">
        <v>447</v>
      </c>
      <c r="E452" s="325">
        <v>20217000017333</v>
      </c>
      <c r="F452" s="315">
        <v>44281</v>
      </c>
      <c r="G452" s="325" t="s">
        <v>2545</v>
      </c>
      <c r="H452" s="312" t="s">
        <v>2546</v>
      </c>
      <c r="I452" s="312" t="s">
        <v>164</v>
      </c>
      <c r="J452" s="405">
        <v>49100000</v>
      </c>
      <c r="K452" s="312" t="s">
        <v>138</v>
      </c>
      <c r="L452" s="312" t="s">
        <v>139</v>
      </c>
      <c r="M452" s="312" t="s">
        <v>44</v>
      </c>
      <c r="N452" s="312" t="s">
        <v>45</v>
      </c>
      <c r="O452" s="312" t="s">
        <v>142</v>
      </c>
      <c r="P452" s="312" t="s">
        <v>43</v>
      </c>
      <c r="R452" s="360">
        <v>487</v>
      </c>
      <c r="S452" s="363">
        <v>44281</v>
      </c>
      <c r="T452" s="360" t="s">
        <v>3969</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x14ac:dyDescent="0.35">
      <c r="A453" s="476" t="s">
        <v>1902</v>
      </c>
      <c r="B453" s="477">
        <v>39975144</v>
      </c>
      <c r="C453" s="212" t="s">
        <v>2544</v>
      </c>
      <c r="D453" s="478">
        <v>448</v>
      </c>
      <c r="E453" s="478">
        <v>20217000017363</v>
      </c>
      <c r="F453" s="479">
        <v>44281</v>
      </c>
      <c r="G453" s="478" t="s">
        <v>2545</v>
      </c>
      <c r="H453" s="212" t="s">
        <v>2546</v>
      </c>
      <c r="I453" s="212" t="s">
        <v>164</v>
      </c>
      <c r="J453" s="475">
        <v>19079046</v>
      </c>
      <c r="K453" s="212" t="s">
        <v>138</v>
      </c>
      <c r="L453" s="212" t="s">
        <v>139</v>
      </c>
      <c r="M453" s="212" t="s">
        <v>44</v>
      </c>
      <c r="N453" s="212" t="s">
        <v>45</v>
      </c>
      <c r="O453" s="212" t="s">
        <v>142</v>
      </c>
      <c r="P453" s="212" t="s">
        <v>43</v>
      </c>
      <c r="R453" s="486">
        <v>488</v>
      </c>
      <c r="S453" s="490">
        <v>44281</v>
      </c>
      <c r="T453" s="486" t="s">
        <v>3970</v>
      </c>
      <c r="U453" s="475">
        <v>19079046</v>
      </c>
      <c r="V453" s="480"/>
      <c r="W453" s="520"/>
      <c r="AG453" s="474">
        <f t="shared" si="7"/>
        <v>19079046</v>
      </c>
      <c r="AM453" s="212"/>
    </row>
    <row r="454" spans="1:39" s="312" customFormat="1" hidden="1" x14ac:dyDescent="0.35">
      <c r="A454" s="361" t="s">
        <v>3971</v>
      </c>
      <c r="B454" s="417">
        <v>55000000</v>
      </c>
      <c r="C454" s="312" t="s">
        <v>2660</v>
      </c>
      <c r="D454" s="325">
        <v>449</v>
      </c>
      <c r="E454" s="325">
        <v>20215000012883</v>
      </c>
      <c r="F454" s="315">
        <v>44281</v>
      </c>
      <c r="G454" s="325" t="s">
        <v>2538</v>
      </c>
      <c r="H454" s="312" t="s">
        <v>2539</v>
      </c>
      <c r="I454" s="312" t="s">
        <v>228</v>
      </c>
      <c r="J454" s="405">
        <v>55000000</v>
      </c>
      <c r="K454" s="312" t="s">
        <v>223</v>
      </c>
      <c r="L454" s="312" t="s">
        <v>257</v>
      </c>
      <c r="M454" s="312" t="s">
        <v>44</v>
      </c>
      <c r="N454" s="312" t="s">
        <v>45</v>
      </c>
      <c r="O454" s="312" t="s">
        <v>63</v>
      </c>
      <c r="P454" s="312" t="s">
        <v>674</v>
      </c>
      <c r="R454" s="360">
        <v>485</v>
      </c>
      <c r="S454" s="363">
        <v>44281</v>
      </c>
      <c r="T454" s="360" t="s">
        <v>3972</v>
      </c>
      <c r="U454" s="405">
        <f>55000000-55000000</f>
        <v>0</v>
      </c>
      <c r="V454" s="406">
        <v>55000000</v>
      </c>
      <c r="W454" s="362" t="s">
        <v>1428</v>
      </c>
      <c r="X454" s="314"/>
      <c r="Y454" s="358"/>
      <c r="Z454" s="358"/>
      <c r="AA454" s="358"/>
      <c r="AB454" s="317"/>
      <c r="AC454" s="316"/>
      <c r="AD454" s="317"/>
      <c r="AF454" s="410"/>
      <c r="AG454" s="318">
        <f t="shared" si="7"/>
        <v>0</v>
      </c>
      <c r="AH454" s="405"/>
      <c r="AI454" s="405"/>
      <c r="AJ454" s="405"/>
      <c r="AK454" s="405"/>
      <c r="AL454" s="405"/>
      <c r="AM454" s="212"/>
    </row>
    <row r="455" spans="1:39" hidden="1" x14ac:dyDescent="0.35">
      <c r="A455" s="476" t="s">
        <v>2331</v>
      </c>
      <c r="B455" s="477">
        <v>42400000</v>
      </c>
      <c r="C455" s="212" t="s">
        <v>2544</v>
      </c>
      <c r="D455" s="478">
        <v>450</v>
      </c>
      <c r="E455" s="478">
        <v>20215000017553</v>
      </c>
      <c r="F455" s="479">
        <v>44281</v>
      </c>
      <c r="G455" s="478" t="s">
        <v>2538</v>
      </c>
      <c r="H455" s="212" t="s">
        <v>2539</v>
      </c>
      <c r="I455" s="212" t="s">
        <v>228</v>
      </c>
      <c r="J455" s="475">
        <v>34000000</v>
      </c>
      <c r="K455" s="212" t="s">
        <v>223</v>
      </c>
      <c r="L455" s="212" t="s">
        <v>2656</v>
      </c>
      <c r="M455" s="212" t="s">
        <v>44</v>
      </c>
      <c r="N455" s="212" t="s">
        <v>45</v>
      </c>
      <c r="O455" s="212" t="s">
        <v>63</v>
      </c>
      <c r="P455" s="212" t="s">
        <v>674</v>
      </c>
      <c r="R455" s="486">
        <v>491</v>
      </c>
      <c r="S455" s="490">
        <v>44281</v>
      </c>
      <c r="T455" s="486" t="s">
        <v>3973</v>
      </c>
      <c r="U455" s="475">
        <v>34000000</v>
      </c>
      <c r="V455" s="406"/>
      <c r="W455" s="362"/>
      <c r="X455" s="211" t="s">
        <v>3974</v>
      </c>
      <c r="Y455" s="472">
        <v>44300</v>
      </c>
      <c r="Z455" s="472">
        <v>44300</v>
      </c>
      <c r="AA455" s="472">
        <v>44561</v>
      </c>
      <c r="AB455" s="2" t="s">
        <v>2548</v>
      </c>
      <c r="AC455" s="211" t="s">
        <v>3859</v>
      </c>
      <c r="AD455" s="2" t="s">
        <v>3975</v>
      </c>
      <c r="AE455" s="212" t="s">
        <v>3976</v>
      </c>
      <c r="AF455" s="473">
        <v>34000000</v>
      </c>
      <c r="AG455" s="474">
        <f t="shared" si="7"/>
        <v>0</v>
      </c>
      <c r="AL455" s="475">
        <v>2266667</v>
      </c>
      <c r="AM455" s="306">
        <v>4000000</v>
      </c>
    </row>
    <row r="456" spans="1:39" hidden="1" x14ac:dyDescent="0.35">
      <c r="A456" s="476" t="s">
        <v>1728</v>
      </c>
      <c r="B456" s="477">
        <v>64000000</v>
      </c>
      <c r="C456" s="212" t="s">
        <v>2544</v>
      </c>
      <c r="D456" s="478">
        <v>451</v>
      </c>
      <c r="E456" s="478">
        <v>20213000017453</v>
      </c>
      <c r="F456" s="479">
        <v>44281</v>
      </c>
      <c r="G456" s="478" t="s">
        <v>2538</v>
      </c>
      <c r="H456" s="212" t="s">
        <v>2539</v>
      </c>
      <c r="I456" s="212" t="s">
        <v>432</v>
      </c>
      <c r="J456" s="475">
        <v>64000000</v>
      </c>
      <c r="K456" s="212" t="s">
        <v>342</v>
      </c>
      <c r="L456" s="212" t="s">
        <v>351</v>
      </c>
      <c r="M456" s="212" t="s">
        <v>44</v>
      </c>
      <c r="N456" s="212" t="s">
        <v>45</v>
      </c>
      <c r="O456" s="212" t="s">
        <v>63</v>
      </c>
      <c r="P456" s="212" t="s">
        <v>674</v>
      </c>
      <c r="R456" s="486">
        <v>490</v>
      </c>
      <c r="S456" s="490">
        <v>44281</v>
      </c>
      <c r="T456" s="486" t="s">
        <v>3977</v>
      </c>
      <c r="U456" s="475">
        <v>64000000</v>
      </c>
      <c r="V456" s="406"/>
      <c r="W456" s="362"/>
      <c r="X456" s="483" t="s">
        <v>3978</v>
      </c>
      <c r="Y456" s="484">
        <v>44295</v>
      </c>
      <c r="Z456" s="484">
        <v>44295</v>
      </c>
      <c r="AA456" s="484">
        <v>44538</v>
      </c>
      <c r="AB456" s="485" t="s">
        <v>2548</v>
      </c>
      <c r="AC456" s="483" t="s">
        <v>3712</v>
      </c>
      <c r="AD456" s="485" t="s">
        <v>3979</v>
      </c>
      <c r="AE456" s="486" t="s">
        <v>3980</v>
      </c>
      <c r="AF456" s="473">
        <v>64000000</v>
      </c>
      <c r="AG456" s="474">
        <f t="shared" si="7"/>
        <v>0</v>
      </c>
      <c r="AL456" s="475">
        <v>5066667</v>
      </c>
      <c r="AM456" s="306">
        <v>8000000</v>
      </c>
    </row>
    <row r="457" spans="1:39" hidden="1" x14ac:dyDescent="0.35">
      <c r="B457" s="477" t="s">
        <v>2581</v>
      </c>
      <c r="C457" s="212" t="s">
        <v>3981</v>
      </c>
      <c r="D457" s="478">
        <v>452</v>
      </c>
      <c r="E457" s="478">
        <v>20211300017443</v>
      </c>
      <c r="F457" s="479">
        <v>44281</v>
      </c>
      <c r="G457" s="478" t="s">
        <v>2545</v>
      </c>
      <c r="H457" s="212" t="s">
        <v>2546</v>
      </c>
      <c r="I457" s="212" t="s">
        <v>210</v>
      </c>
      <c r="J457" s="475">
        <v>5266812</v>
      </c>
      <c r="K457" s="212" t="s">
        <v>138</v>
      </c>
      <c r="L457" s="212" t="s">
        <v>139</v>
      </c>
      <c r="M457" s="212" t="s">
        <v>44</v>
      </c>
      <c r="N457" s="212" t="s">
        <v>45</v>
      </c>
      <c r="O457" s="212" t="s">
        <v>142</v>
      </c>
      <c r="P457" s="212" t="s">
        <v>43</v>
      </c>
      <c r="R457" s="486">
        <v>489</v>
      </c>
      <c r="S457" s="490">
        <v>44281</v>
      </c>
      <c r="T457" s="486" t="s">
        <v>3982</v>
      </c>
      <c r="U457" s="475">
        <v>5266812</v>
      </c>
      <c r="V457" s="406"/>
      <c r="W457" s="362"/>
      <c r="X457" s="483" t="s">
        <v>3523</v>
      </c>
      <c r="Y457" s="484">
        <v>44285</v>
      </c>
      <c r="Z457" s="484">
        <v>44285</v>
      </c>
      <c r="AA457" s="484">
        <v>44330</v>
      </c>
      <c r="AB457" s="485" t="s">
        <v>2548</v>
      </c>
      <c r="AC457" s="483" t="s">
        <v>3983</v>
      </c>
      <c r="AD457" s="485" t="s">
        <v>3984</v>
      </c>
      <c r="AE457" s="486" t="s">
        <v>3985</v>
      </c>
      <c r="AF457" s="473">
        <v>5266812</v>
      </c>
      <c r="AG457" s="474">
        <f t="shared" si="7"/>
        <v>0</v>
      </c>
      <c r="AK457" s="475">
        <v>3511208</v>
      </c>
      <c r="AL457" s="475">
        <v>117040</v>
      </c>
      <c r="AM457" s="306">
        <v>1638564</v>
      </c>
    </row>
    <row r="458" spans="1:39" hidden="1" x14ac:dyDescent="0.35">
      <c r="A458" s="476" t="s">
        <v>2307</v>
      </c>
      <c r="B458" s="477">
        <v>65413872</v>
      </c>
      <c r="C458" s="212" t="s">
        <v>2544</v>
      </c>
      <c r="D458" s="478">
        <v>453</v>
      </c>
      <c r="E458" s="478">
        <v>20217000017583</v>
      </c>
      <c r="F458" s="479">
        <v>44281</v>
      </c>
      <c r="G458" s="478" t="s">
        <v>2545</v>
      </c>
      <c r="H458" s="212" t="s">
        <v>2546</v>
      </c>
      <c r="I458" s="212" t="s">
        <v>164</v>
      </c>
      <c r="J458" s="475">
        <v>52500000</v>
      </c>
      <c r="K458" s="212" t="s">
        <v>138</v>
      </c>
      <c r="L458" s="212" t="s">
        <v>139</v>
      </c>
      <c r="M458" s="212" t="s">
        <v>44</v>
      </c>
      <c r="N458" s="212" t="s">
        <v>45</v>
      </c>
      <c r="O458" s="212" t="s">
        <v>142</v>
      </c>
      <c r="P458" s="212" t="s">
        <v>43</v>
      </c>
      <c r="R458" s="486">
        <v>492</v>
      </c>
      <c r="S458" s="490">
        <v>44281</v>
      </c>
      <c r="T458" s="486" t="s">
        <v>3986</v>
      </c>
      <c r="U458" s="475">
        <v>52500000</v>
      </c>
      <c r="V458" s="406"/>
      <c r="W458" s="362"/>
      <c r="X458" s="483" t="s">
        <v>3987</v>
      </c>
      <c r="Y458" s="484">
        <v>44302</v>
      </c>
      <c r="Z458" s="484">
        <v>44302</v>
      </c>
      <c r="AA458" s="484">
        <v>44516</v>
      </c>
      <c r="AB458" s="485" t="s">
        <v>2548</v>
      </c>
      <c r="AC458" s="483" t="s">
        <v>3727</v>
      </c>
      <c r="AD458" s="485" t="s">
        <v>3988</v>
      </c>
      <c r="AE458" s="486" t="s">
        <v>2711</v>
      </c>
      <c r="AF458" s="473">
        <v>52500000</v>
      </c>
      <c r="AG458" s="474">
        <f t="shared" si="7"/>
        <v>0</v>
      </c>
      <c r="AL458" s="475">
        <v>4000000</v>
      </c>
      <c r="AM458" s="306">
        <v>7500000</v>
      </c>
    </row>
    <row r="459" spans="1:39" hidden="1" x14ac:dyDescent="0.35">
      <c r="A459" s="476" t="s">
        <v>1968</v>
      </c>
      <c r="B459" s="477">
        <v>27800895</v>
      </c>
      <c r="C459" s="212" t="s">
        <v>2544</v>
      </c>
      <c r="D459" s="478">
        <v>454</v>
      </c>
      <c r="E459" s="478">
        <v>20217000017593</v>
      </c>
      <c r="F459" s="479">
        <v>44281</v>
      </c>
      <c r="G459" s="478" t="s">
        <v>2545</v>
      </c>
      <c r="H459" s="212" t="s">
        <v>2546</v>
      </c>
      <c r="I459" s="212" t="s">
        <v>164</v>
      </c>
      <c r="J459" s="475">
        <v>16353468</v>
      </c>
      <c r="K459" s="212" t="s">
        <v>138</v>
      </c>
      <c r="L459" s="212" t="s">
        <v>139</v>
      </c>
      <c r="M459" s="212" t="s">
        <v>44</v>
      </c>
      <c r="N459" s="212" t="s">
        <v>45</v>
      </c>
      <c r="O459" s="212" t="s">
        <v>142</v>
      </c>
      <c r="P459" s="212" t="s">
        <v>43</v>
      </c>
      <c r="R459" s="486">
        <v>493</v>
      </c>
      <c r="S459" s="490">
        <v>44281</v>
      </c>
      <c r="T459" s="486" t="s">
        <v>3989</v>
      </c>
      <c r="U459" s="475">
        <v>16353468</v>
      </c>
      <c r="V459" s="406"/>
      <c r="W459" s="362"/>
      <c r="X459" s="483" t="s">
        <v>3990</v>
      </c>
      <c r="Y459" s="484">
        <v>44302</v>
      </c>
      <c r="Z459" s="484">
        <v>44302</v>
      </c>
      <c r="AA459" s="484">
        <v>44485</v>
      </c>
      <c r="AB459" s="485" t="s">
        <v>2548</v>
      </c>
      <c r="AC459" s="483" t="s">
        <v>3702</v>
      </c>
      <c r="AD459" s="485" t="s">
        <v>3991</v>
      </c>
      <c r="AE459" s="486" t="s">
        <v>3992</v>
      </c>
      <c r="AF459" s="473">
        <v>16353468</v>
      </c>
      <c r="AG459" s="474">
        <f t="shared" si="7"/>
        <v>0</v>
      </c>
      <c r="AM459" s="306">
        <v>4088367</v>
      </c>
    </row>
    <row r="460" spans="1:39" s="312" customFormat="1" hidden="1" x14ac:dyDescent="0.35">
      <c r="A460" s="361" t="s">
        <v>2353</v>
      </c>
      <c r="B460" s="417">
        <v>44958672</v>
      </c>
      <c r="C460" s="312" t="s">
        <v>2660</v>
      </c>
      <c r="D460" s="325">
        <v>455</v>
      </c>
      <c r="E460" s="325">
        <v>20217000017633</v>
      </c>
      <c r="F460" s="315">
        <v>44281</v>
      </c>
      <c r="G460" s="325" t="s">
        <v>2545</v>
      </c>
      <c r="H460" s="312" t="s">
        <v>2546</v>
      </c>
      <c r="I460" s="312" t="s">
        <v>164</v>
      </c>
      <c r="J460" s="405">
        <v>24530300</v>
      </c>
      <c r="K460" s="312" t="s">
        <v>138</v>
      </c>
      <c r="L460" s="312" t="s">
        <v>139</v>
      </c>
      <c r="M460" s="312" t="s">
        <v>44</v>
      </c>
      <c r="N460" s="312" t="s">
        <v>45</v>
      </c>
      <c r="O460" s="312" t="s">
        <v>142</v>
      </c>
      <c r="P460" s="312" t="s">
        <v>43</v>
      </c>
      <c r="R460" s="360">
        <v>494</v>
      </c>
      <c r="S460" s="363">
        <v>44281</v>
      </c>
      <c r="T460" s="360" t="s">
        <v>3993</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x14ac:dyDescent="0.35">
      <c r="A461" s="476" t="s">
        <v>2311</v>
      </c>
      <c r="B461" s="477">
        <v>65413872</v>
      </c>
      <c r="C461" s="212" t="s">
        <v>2544</v>
      </c>
      <c r="D461" s="478">
        <v>456</v>
      </c>
      <c r="E461" s="478">
        <v>20217000017663</v>
      </c>
      <c r="F461" s="479">
        <v>44281</v>
      </c>
      <c r="G461" s="478" t="s">
        <v>2545</v>
      </c>
      <c r="H461" s="212" t="s">
        <v>2546</v>
      </c>
      <c r="I461" s="212" t="s">
        <v>164</v>
      </c>
      <c r="J461" s="475">
        <v>43609248</v>
      </c>
      <c r="K461" s="212" t="s">
        <v>138</v>
      </c>
      <c r="L461" s="212" t="s">
        <v>139</v>
      </c>
      <c r="M461" s="212" t="s">
        <v>44</v>
      </c>
      <c r="N461" s="212" t="s">
        <v>45</v>
      </c>
      <c r="O461" s="212" t="s">
        <v>142</v>
      </c>
      <c r="P461" s="212" t="s">
        <v>43</v>
      </c>
      <c r="R461" s="486">
        <v>495</v>
      </c>
      <c r="S461" s="490">
        <v>44281</v>
      </c>
      <c r="T461" s="486" t="s">
        <v>3994</v>
      </c>
      <c r="U461" s="475">
        <v>43609248</v>
      </c>
      <c r="V461" s="406"/>
      <c r="W461" s="362"/>
      <c r="X461" s="483" t="s">
        <v>3995</v>
      </c>
      <c r="Y461" s="484">
        <v>44299</v>
      </c>
      <c r="Z461" s="484">
        <v>44299</v>
      </c>
      <c r="AA461" s="484">
        <v>44482</v>
      </c>
      <c r="AB461" s="485" t="s">
        <v>2548</v>
      </c>
      <c r="AC461" s="483" t="s">
        <v>3816</v>
      </c>
      <c r="AD461" s="485" t="s">
        <v>3996</v>
      </c>
      <c r="AE461" s="486" t="s">
        <v>2599</v>
      </c>
      <c r="AF461" s="473">
        <v>43609248</v>
      </c>
      <c r="AG461" s="474">
        <f t="shared" si="7"/>
        <v>0</v>
      </c>
      <c r="AL461" s="475">
        <v>4360925</v>
      </c>
      <c r="AM461" s="306">
        <v>7268208</v>
      </c>
    </row>
    <row r="462" spans="1:39" hidden="1" x14ac:dyDescent="0.35">
      <c r="A462" s="476" t="s">
        <v>1965</v>
      </c>
      <c r="B462" s="477">
        <v>73590606</v>
      </c>
      <c r="C462" s="212" t="s">
        <v>2544</v>
      </c>
      <c r="D462" s="478">
        <v>457</v>
      </c>
      <c r="E462" s="478">
        <v>20217000017723</v>
      </c>
      <c r="F462" s="479">
        <v>44281</v>
      </c>
      <c r="G462" s="478" t="s">
        <v>2545</v>
      </c>
      <c r="H462" s="212" t="s">
        <v>2546</v>
      </c>
      <c r="I462" s="212" t="s">
        <v>164</v>
      </c>
      <c r="J462" s="475">
        <v>65413872</v>
      </c>
      <c r="K462" s="212" t="s">
        <v>138</v>
      </c>
      <c r="L462" s="212" t="s">
        <v>139</v>
      </c>
      <c r="M462" s="212" t="s">
        <v>44</v>
      </c>
      <c r="N462" s="212" t="s">
        <v>45</v>
      </c>
      <c r="O462" s="212" t="s">
        <v>142</v>
      </c>
      <c r="P462" s="212" t="s">
        <v>43</v>
      </c>
      <c r="R462" s="486">
        <v>497</v>
      </c>
      <c r="S462" s="490">
        <v>44281</v>
      </c>
      <c r="T462" s="486" t="s">
        <v>3997</v>
      </c>
      <c r="U462" s="475">
        <v>65413872</v>
      </c>
      <c r="V462" s="406"/>
      <c r="W462" s="362"/>
      <c r="X462" s="211" t="s">
        <v>3998</v>
      </c>
      <c r="Y462" s="472">
        <v>44301</v>
      </c>
      <c r="Z462" s="472">
        <v>44301</v>
      </c>
      <c r="AA462" s="472">
        <v>44545</v>
      </c>
      <c r="AB462" s="2" t="s">
        <v>2548</v>
      </c>
      <c r="AC462" s="211" t="s">
        <v>3417</v>
      </c>
      <c r="AD462" s="2" t="s">
        <v>3999</v>
      </c>
      <c r="AE462" s="212" t="s">
        <v>4000</v>
      </c>
      <c r="AF462" s="473">
        <v>65413872</v>
      </c>
      <c r="AG462" s="474">
        <f t="shared" si="7"/>
        <v>0</v>
      </c>
      <c r="AL462" s="475">
        <v>4360925</v>
      </c>
      <c r="AM462" s="306">
        <v>8176734</v>
      </c>
    </row>
    <row r="463" spans="1:39" hidden="1" x14ac:dyDescent="0.35">
      <c r="A463" s="476" t="s">
        <v>4001</v>
      </c>
      <c r="B463" s="477">
        <v>44000000</v>
      </c>
      <c r="C463" s="212" t="s">
        <v>2544</v>
      </c>
      <c r="D463" s="478">
        <v>458</v>
      </c>
      <c r="E463" s="478">
        <v>20211200017713</v>
      </c>
      <c r="F463" s="479">
        <v>44281</v>
      </c>
      <c r="G463" s="309" t="s">
        <v>2545</v>
      </c>
      <c r="H463" s="210" t="s">
        <v>2546</v>
      </c>
      <c r="I463" s="212" t="s">
        <v>143</v>
      </c>
      <c r="J463" s="407">
        <v>27500000</v>
      </c>
      <c r="K463" s="210" t="s">
        <v>138</v>
      </c>
      <c r="L463" s="210" t="s">
        <v>139</v>
      </c>
      <c r="M463" s="210" t="s">
        <v>44</v>
      </c>
      <c r="N463" s="210" t="s">
        <v>45</v>
      </c>
      <c r="O463" s="210" t="s">
        <v>142</v>
      </c>
      <c r="P463" s="210" t="s">
        <v>43</v>
      </c>
      <c r="R463" s="486">
        <v>496</v>
      </c>
      <c r="S463" s="490">
        <v>44281</v>
      </c>
      <c r="T463" s="486" t="s">
        <v>4002</v>
      </c>
      <c r="U463" s="475">
        <v>27500000</v>
      </c>
      <c r="V463" s="406"/>
      <c r="W463" s="362"/>
      <c r="AG463" s="474">
        <f t="shared" si="7"/>
        <v>27500000</v>
      </c>
      <c r="AM463" s="212"/>
    </row>
    <row r="464" spans="1:39" hidden="1" x14ac:dyDescent="0.35">
      <c r="A464" s="476" t="s">
        <v>1966</v>
      </c>
      <c r="B464" s="477">
        <v>57000000</v>
      </c>
      <c r="C464" s="212" t="s">
        <v>2544</v>
      </c>
      <c r="D464" s="478">
        <v>459</v>
      </c>
      <c r="E464" s="478">
        <v>20217000017773</v>
      </c>
      <c r="F464" s="479">
        <v>44281</v>
      </c>
      <c r="G464" s="478" t="s">
        <v>2545</v>
      </c>
      <c r="H464" s="212" t="s">
        <v>2546</v>
      </c>
      <c r="I464" s="212" t="s">
        <v>164</v>
      </c>
      <c r="J464" s="475">
        <v>54511560</v>
      </c>
      <c r="K464" s="212" t="s">
        <v>138</v>
      </c>
      <c r="L464" s="212" t="s">
        <v>139</v>
      </c>
      <c r="M464" s="212" t="s">
        <v>44</v>
      </c>
      <c r="N464" s="212" t="s">
        <v>45</v>
      </c>
      <c r="O464" s="212" t="s">
        <v>142</v>
      </c>
      <c r="P464" s="212" t="s">
        <v>43</v>
      </c>
      <c r="R464" s="486">
        <v>499</v>
      </c>
      <c r="S464" s="490">
        <v>44281</v>
      </c>
      <c r="T464" s="486" t="s">
        <v>4003</v>
      </c>
      <c r="U464" s="475">
        <v>54511560</v>
      </c>
      <c r="V464" s="406"/>
      <c r="W464" s="362"/>
      <c r="X464" s="483" t="s">
        <v>4004</v>
      </c>
      <c r="Y464" s="484">
        <v>44298</v>
      </c>
      <c r="Z464" s="484">
        <v>44298</v>
      </c>
      <c r="AA464" s="484">
        <v>44542</v>
      </c>
      <c r="AB464" s="485" t="s">
        <v>2548</v>
      </c>
      <c r="AC464" s="483" t="s">
        <v>4005</v>
      </c>
      <c r="AD464" s="485" t="s">
        <v>4006</v>
      </c>
      <c r="AE464" s="486" t="s">
        <v>4007</v>
      </c>
      <c r="AF464" s="473">
        <v>54511560</v>
      </c>
      <c r="AG464" s="474">
        <f t="shared" si="7"/>
        <v>0</v>
      </c>
      <c r="AL464" s="475">
        <v>4088367</v>
      </c>
      <c r="AM464" s="306">
        <v>6813945</v>
      </c>
    </row>
    <row r="465" spans="1:39" hidden="1" x14ac:dyDescent="0.35">
      <c r="B465" s="477" t="s">
        <v>2581</v>
      </c>
      <c r="C465" s="212" t="s">
        <v>4008</v>
      </c>
      <c r="D465" s="478">
        <v>460</v>
      </c>
      <c r="E465" s="478">
        <v>20217000017643</v>
      </c>
      <c r="F465" s="479">
        <v>44281</v>
      </c>
      <c r="G465" s="478" t="s">
        <v>2545</v>
      </c>
      <c r="H465" s="212" t="s">
        <v>2546</v>
      </c>
      <c r="I465" s="212" t="s">
        <v>164</v>
      </c>
      <c r="J465" s="475">
        <v>9875283</v>
      </c>
      <c r="K465" s="212" t="s">
        <v>138</v>
      </c>
      <c r="L465" s="212" t="s">
        <v>139</v>
      </c>
      <c r="M465" s="212" t="s">
        <v>44</v>
      </c>
      <c r="N465" s="212" t="s">
        <v>45</v>
      </c>
      <c r="O465" s="212" t="s">
        <v>142</v>
      </c>
      <c r="P465" s="212" t="s">
        <v>43</v>
      </c>
      <c r="R465" s="486">
        <v>498</v>
      </c>
      <c r="S465" s="490">
        <v>44281</v>
      </c>
      <c r="T465" s="486" t="s">
        <v>4009</v>
      </c>
      <c r="U465" s="475">
        <v>9875283</v>
      </c>
      <c r="V465" s="406"/>
      <c r="W465" s="362"/>
      <c r="X465" s="483" t="s">
        <v>4010</v>
      </c>
      <c r="Y465" s="484">
        <v>44292</v>
      </c>
      <c r="Z465" s="484">
        <v>44292</v>
      </c>
      <c r="AA465" s="484">
        <v>44367</v>
      </c>
      <c r="AB465" s="485" t="s">
        <v>2548</v>
      </c>
      <c r="AC465" s="483" t="s">
        <v>4011</v>
      </c>
      <c r="AD465" s="485" t="s">
        <v>4012</v>
      </c>
      <c r="AE465" s="486" t="s">
        <v>4013</v>
      </c>
      <c r="AF465" s="473">
        <v>9875283</v>
      </c>
      <c r="AG465" s="474">
        <f t="shared" si="7"/>
        <v>0</v>
      </c>
      <c r="AL465" s="475">
        <v>3291760</v>
      </c>
      <c r="AM465" s="306">
        <v>3950113</v>
      </c>
    </row>
    <row r="466" spans="1:39" hidden="1" x14ac:dyDescent="0.35">
      <c r="A466" s="476" t="s">
        <v>2103</v>
      </c>
      <c r="B466" s="477">
        <v>60000000</v>
      </c>
      <c r="C466" s="212" t="s">
        <v>2544</v>
      </c>
      <c r="D466" s="478">
        <v>461</v>
      </c>
      <c r="E466" s="478">
        <v>20211200018003</v>
      </c>
      <c r="F466" s="479">
        <v>44284</v>
      </c>
      <c r="G466" s="309" t="s">
        <v>2545</v>
      </c>
      <c r="H466" s="210" t="s">
        <v>2546</v>
      </c>
      <c r="I466" s="212" t="s">
        <v>143</v>
      </c>
      <c r="J466" s="407">
        <v>60000000</v>
      </c>
      <c r="K466" s="210" t="s">
        <v>138</v>
      </c>
      <c r="L466" s="210" t="s">
        <v>139</v>
      </c>
      <c r="M466" s="210" t="s">
        <v>44</v>
      </c>
      <c r="N466" s="210" t="s">
        <v>45</v>
      </c>
      <c r="O466" s="210" t="s">
        <v>142</v>
      </c>
      <c r="P466" s="210" t="s">
        <v>43</v>
      </c>
      <c r="R466" s="500">
        <v>500</v>
      </c>
      <c r="S466" s="523">
        <v>44284</v>
      </c>
      <c r="T466" s="500" t="s">
        <v>4014</v>
      </c>
      <c r="U466" s="475">
        <v>60000000</v>
      </c>
      <c r="V466" s="406"/>
      <c r="W466" s="362"/>
      <c r="X466" s="483" t="s">
        <v>4015</v>
      </c>
      <c r="Y466" s="484">
        <v>44302</v>
      </c>
      <c r="Z466" s="484">
        <v>44302</v>
      </c>
      <c r="AA466" s="484">
        <v>44546</v>
      </c>
      <c r="AB466" s="485" t="s">
        <v>2548</v>
      </c>
      <c r="AC466" s="483" t="s">
        <v>3407</v>
      </c>
      <c r="AD466" s="485" t="s">
        <v>4016</v>
      </c>
      <c r="AE466" s="486" t="s">
        <v>2585</v>
      </c>
      <c r="AF466" s="473">
        <v>60000000</v>
      </c>
      <c r="AG466" s="474">
        <f t="shared" si="7"/>
        <v>0</v>
      </c>
      <c r="AM466" s="306">
        <f>3750000+7500000</f>
        <v>11250000</v>
      </c>
    </row>
    <row r="467" spans="1:39" ht="15.5" hidden="1" x14ac:dyDescent="0.35">
      <c r="C467" s="212" t="s">
        <v>4017</v>
      </c>
      <c r="D467" s="478">
        <v>462</v>
      </c>
      <c r="E467" s="478">
        <v>20214000018033</v>
      </c>
      <c r="F467" s="479">
        <v>44284</v>
      </c>
      <c r="G467" s="478" t="s">
        <v>2578</v>
      </c>
      <c r="H467" s="212" t="s">
        <v>2579</v>
      </c>
      <c r="I467" s="212" t="s">
        <v>47</v>
      </c>
      <c r="J467" s="480">
        <v>6000000</v>
      </c>
      <c r="K467" s="212" t="s">
        <v>37</v>
      </c>
      <c r="L467" s="515" t="s">
        <v>3078</v>
      </c>
      <c r="M467" s="212" t="s">
        <v>44</v>
      </c>
      <c r="N467" s="212" t="s">
        <v>45</v>
      </c>
      <c r="O467" s="212" t="s">
        <v>310</v>
      </c>
      <c r="P467" s="212" t="s">
        <v>43</v>
      </c>
      <c r="R467" s="486">
        <v>501</v>
      </c>
      <c r="S467" s="490">
        <v>44284</v>
      </c>
      <c r="T467" s="486" t="s">
        <v>4018</v>
      </c>
      <c r="U467" s="489">
        <v>6000000</v>
      </c>
      <c r="V467" s="406"/>
      <c r="W467" s="399"/>
      <c r="X467" s="483" t="s">
        <v>4019</v>
      </c>
      <c r="Y467" s="484">
        <v>44292</v>
      </c>
      <c r="Z467" s="484">
        <v>44292</v>
      </c>
      <c r="AA467" s="484">
        <v>44316</v>
      </c>
      <c r="AB467" s="485" t="s">
        <v>3004</v>
      </c>
      <c r="AC467" s="483" t="s">
        <v>4020</v>
      </c>
      <c r="AD467" s="485" t="s">
        <v>3365</v>
      </c>
      <c r="AE467" s="486" t="s">
        <v>3366</v>
      </c>
      <c r="AF467" s="473">
        <v>2129646</v>
      </c>
      <c r="AG467" s="474">
        <f t="shared" si="7"/>
        <v>3870354</v>
      </c>
      <c r="AH467" s="480"/>
      <c r="AI467" s="480"/>
      <c r="AK467" s="475">
        <v>2129646</v>
      </c>
      <c r="AM467" s="212"/>
    </row>
    <row r="468" spans="1:39" hidden="1" x14ac:dyDescent="0.35">
      <c r="B468" s="477" t="s">
        <v>2581</v>
      </c>
      <c r="C468" s="212" t="s">
        <v>4021</v>
      </c>
      <c r="D468" s="478">
        <v>463</v>
      </c>
      <c r="E468" s="478">
        <v>20211400015003</v>
      </c>
      <c r="F468" s="479">
        <v>44285</v>
      </c>
      <c r="G468" s="478" t="s">
        <v>2545</v>
      </c>
      <c r="H468" s="212" t="s">
        <v>2546</v>
      </c>
      <c r="I468" s="212" t="s">
        <v>184</v>
      </c>
      <c r="J468" s="475">
        <v>3950100</v>
      </c>
      <c r="K468" s="212" t="s">
        <v>138</v>
      </c>
      <c r="L468" s="212" t="s">
        <v>2550</v>
      </c>
      <c r="M468" s="212" t="s">
        <v>44</v>
      </c>
      <c r="N468" s="212" t="s">
        <v>45</v>
      </c>
      <c r="O468" s="212" t="s">
        <v>142</v>
      </c>
      <c r="P468" s="212" t="s">
        <v>43</v>
      </c>
      <c r="R468" s="486">
        <v>502</v>
      </c>
      <c r="S468" s="490">
        <v>44285</v>
      </c>
      <c r="T468" s="486" t="s">
        <v>4022</v>
      </c>
      <c r="U468" s="475">
        <v>3950100</v>
      </c>
      <c r="V468" s="406"/>
      <c r="W468" s="362"/>
      <c r="X468" s="483" t="s">
        <v>3847</v>
      </c>
      <c r="Y468" s="484">
        <v>44285</v>
      </c>
      <c r="Z468" s="484">
        <v>44286</v>
      </c>
      <c r="AA468" s="484">
        <v>44331</v>
      </c>
      <c r="AB468" s="485" t="s">
        <v>2548</v>
      </c>
      <c r="AC468" s="483" t="s">
        <v>4023</v>
      </c>
      <c r="AD468" s="485" t="s">
        <v>4024</v>
      </c>
      <c r="AE468" s="486" t="s">
        <v>4025</v>
      </c>
      <c r="AF468" s="473">
        <v>3950100</v>
      </c>
      <c r="AG468" s="474">
        <f t="shared" si="7"/>
        <v>0</v>
      </c>
      <c r="AL468" s="475">
        <v>2633400</v>
      </c>
      <c r="AM468" s="306">
        <v>1316700</v>
      </c>
    </row>
    <row r="469" spans="1:39" hidden="1" x14ac:dyDescent="0.35">
      <c r="A469" s="476" t="s">
        <v>1933</v>
      </c>
      <c r="B469" s="477">
        <v>33000000</v>
      </c>
      <c r="C469" s="212" t="s">
        <v>2544</v>
      </c>
      <c r="D469" s="478">
        <v>464</v>
      </c>
      <c r="E469" s="478">
        <v>20215000018313</v>
      </c>
      <c r="F469" s="479">
        <v>44285</v>
      </c>
      <c r="G469" s="478" t="s">
        <v>2538</v>
      </c>
      <c r="H469" s="212" t="s">
        <v>2539</v>
      </c>
      <c r="I469" s="212" t="s">
        <v>228</v>
      </c>
      <c r="J469" s="480">
        <v>17600000</v>
      </c>
      <c r="K469" s="212" t="s">
        <v>223</v>
      </c>
      <c r="L469" s="212" t="s">
        <v>2656</v>
      </c>
      <c r="M469" s="212" t="s">
        <v>44</v>
      </c>
      <c r="N469" s="212" t="s">
        <v>45</v>
      </c>
      <c r="O469" s="212" t="s">
        <v>63</v>
      </c>
      <c r="P469" s="212" t="s">
        <v>674</v>
      </c>
      <c r="R469" s="486">
        <v>503</v>
      </c>
      <c r="S469" s="490">
        <v>44285</v>
      </c>
      <c r="T469" s="486" t="s">
        <v>4026</v>
      </c>
      <c r="U469" s="475">
        <f>17600000-17600000</f>
        <v>0</v>
      </c>
      <c r="V469" s="406">
        <v>17600000</v>
      </c>
      <c r="W469" s="362" t="s">
        <v>1428</v>
      </c>
      <c r="AG469" s="474">
        <f t="shared" si="7"/>
        <v>0</v>
      </c>
      <c r="AM469" s="212"/>
    </row>
    <row r="470" spans="1:39" hidden="1" x14ac:dyDescent="0.35">
      <c r="A470" s="476" t="s">
        <v>2373</v>
      </c>
      <c r="B470" s="477">
        <v>32400000</v>
      </c>
      <c r="C470" s="212" t="s">
        <v>2544</v>
      </c>
      <c r="D470" s="478">
        <v>465</v>
      </c>
      <c r="E470" s="478">
        <v>20215000018333</v>
      </c>
      <c r="F470" s="479">
        <v>44285</v>
      </c>
      <c r="G470" s="478" t="s">
        <v>2538</v>
      </c>
      <c r="H470" s="212" t="s">
        <v>2539</v>
      </c>
      <c r="I470" s="212" t="s">
        <v>228</v>
      </c>
      <c r="J470" s="480">
        <v>28800000</v>
      </c>
      <c r="K470" s="212" t="s">
        <v>223</v>
      </c>
      <c r="L470" s="212" t="s">
        <v>2656</v>
      </c>
      <c r="M470" s="212" t="s">
        <v>44</v>
      </c>
      <c r="N470" s="212" t="s">
        <v>45</v>
      </c>
      <c r="O470" s="212" t="s">
        <v>63</v>
      </c>
      <c r="P470" s="212" t="s">
        <v>674</v>
      </c>
      <c r="R470" s="486">
        <v>504</v>
      </c>
      <c r="S470" s="490">
        <v>44285</v>
      </c>
      <c r="T470" s="486" t="s">
        <v>4027</v>
      </c>
      <c r="U470" s="475">
        <f>28800000-800000</f>
        <v>28000000</v>
      </c>
      <c r="V470" s="406">
        <v>800000</v>
      </c>
      <c r="W470" s="362" t="s">
        <v>1428</v>
      </c>
      <c r="X470" s="483" t="s">
        <v>4028</v>
      </c>
      <c r="Y470" s="484">
        <v>44321</v>
      </c>
      <c r="Z470" s="484">
        <v>44321</v>
      </c>
      <c r="AA470" s="484">
        <v>44534</v>
      </c>
      <c r="AB470" s="486" t="s">
        <v>2548</v>
      </c>
      <c r="AC470" s="483" t="s">
        <v>3621</v>
      </c>
      <c r="AD470" s="486" t="s">
        <v>4029</v>
      </c>
      <c r="AE470" s="486" t="s">
        <v>4030</v>
      </c>
      <c r="AF470" s="473">
        <v>28000000</v>
      </c>
      <c r="AG470" s="474">
        <f t="shared" si="7"/>
        <v>0</v>
      </c>
      <c r="AM470" s="306">
        <v>3333333</v>
      </c>
    </row>
    <row r="471" spans="1:39" hidden="1" x14ac:dyDescent="0.35">
      <c r="A471" s="476" t="s">
        <v>4031</v>
      </c>
      <c r="B471" s="477">
        <v>325067484</v>
      </c>
      <c r="C471" s="468" t="s">
        <v>4032</v>
      </c>
      <c r="D471" s="469">
        <v>466</v>
      </c>
      <c r="E471" s="469">
        <v>20215000018343</v>
      </c>
      <c r="F471" s="470">
        <v>44285</v>
      </c>
      <c r="G471" s="469" t="s">
        <v>2538</v>
      </c>
      <c r="H471" s="468" t="s">
        <v>2539</v>
      </c>
      <c r="I471" s="468" t="s">
        <v>228</v>
      </c>
      <c r="J471" s="531">
        <v>325067484</v>
      </c>
      <c r="K471" s="468" t="s">
        <v>223</v>
      </c>
      <c r="L471" s="468" t="s">
        <v>224</v>
      </c>
      <c r="M471" s="468" t="s">
        <v>44</v>
      </c>
      <c r="N471" s="468" t="s">
        <v>45</v>
      </c>
      <c r="O471" s="468" t="s">
        <v>63</v>
      </c>
      <c r="P471" s="212" t="s">
        <v>674</v>
      </c>
      <c r="Q471" s="468"/>
      <c r="R471" s="529">
        <v>505</v>
      </c>
      <c r="S471" s="528">
        <v>44285</v>
      </c>
      <c r="T471" s="529" t="s">
        <v>4033</v>
      </c>
      <c r="U471" s="471">
        <v>325067484</v>
      </c>
      <c r="V471" s="414"/>
      <c r="W471" s="379"/>
      <c r="X471" s="483" t="s">
        <v>4034</v>
      </c>
      <c r="Y471" s="484">
        <v>44316</v>
      </c>
      <c r="Z471" s="484">
        <v>44316</v>
      </c>
      <c r="AA471" s="484">
        <v>44561</v>
      </c>
      <c r="AB471" s="485" t="s">
        <v>3940</v>
      </c>
      <c r="AC471" s="483" t="s">
        <v>3257</v>
      </c>
      <c r="AD471" s="485" t="s">
        <v>4035</v>
      </c>
      <c r="AE471" s="486" t="s">
        <v>4036</v>
      </c>
      <c r="AF471" s="473">
        <v>325067484</v>
      </c>
      <c r="AG471" s="474">
        <f t="shared" si="7"/>
        <v>0</v>
      </c>
      <c r="AI471" s="471"/>
      <c r="AJ471" s="471"/>
      <c r="AK471" s="471"/>
      <c r="AL471" s="471">
        <v>27088957</v>
      </c>
      <c r="AM471" s="212"/>
    </row>
    <row r="472" spans="1:39" hidden="1" x14ac:dyDescent="0.35">
      <c r="A472" s="476" t="s">
        <v>1647</v>
      </c>
      <c r="B472" s="477">
        <v>135660000</v>
      </c>
      <c r="C472" s="212" t="s">
        <v>4037</v>
      </c>
      <c r="D472" s="478">
        <v>467</v>
      </c>
      <c r="E472" s="478">
        <v>20215000018353</v>
      </c>
      <c r="F472" s="479">
        <v>44285</v>
      </c>
      <c r="G472" s="478" t="s">
        <v>2538</v>
      </c>
      <c r="H472" s="212" t="s">
        <v>2539</v>
      </c>
      <c r="I472" s="212" t="s">
        <v>228</v>
      </c>
      <c r="J472" s="480">
        <v>135660000</v>
      </c>
      <c r="K472" s="212" t="s">
        <v>223</v>
      </c>
      <c r="L472" s="212" t="s">
        <v>224</v>
      </c>
      <c r="M472" s="212" t="s">
        <v>44</v>
      </c>
      <c r="N472" s="212" t="s">
        <v>45</v>
      </c>
      <c r="O472" s="212" t="s">
        <v>63</v>
      </c>
      <c r="P472" s="212" t="s">
        <v>674</v>
      </c>
      <c r="R472" s="486">
        <v>506</v>
      </c>
      <c r="S472" s="490">
        <v>44285</v>
      </c>
      <c r="T472" s="486" t="s">
        <v>4038</v>
      </c>
      <c r="U472" s="475">
        <v>135660000</v>
      </c>
      <c r="V472" s="406"/>
      <c r="W472" s="362"/>
      <c r="X472" s="308" t="s">
        <v>4039</v>
      </c>
      <c r="Y472" s="472">
        <v>44343</v>
      </c>
      <c r="Z472" s="484">
        <v>44343</v>
      </c>
      <c r="AA472" s="484">
        <v>44526</v>
      </c>
      <c r="AB472" s="484" t="s">
        <v>3940</v>
      </c>
      <c r="AC472" s="484" t="s">
        <v>4004</v>
      </c>
      <c r="AD472" s="532" t="s">
        <v>4040</v>
      </c>
      <c r="AE472" s="532" t="s">
        <v>4041</v>
      </c>
      <c r="AF472" s="473">
        <v>135660000</v>
      </c>
      <c r="AG472" s="474">
        <f t="shared" si="7"/>
        <v>0</v>
      </c>
      <c r="AM472" s="212"/>
    </row>
    <row r="473" spans="1:39" s="312" customFormat="1" ht="15.5" hidden="1" x14ac:dyDescent="0.35">
      <c r="A473" s="361" t="s">
        <v>4042</v>
      </c>
      <c r="B473" s="417">
        <v>59000000</v>
      </c>
      <c r="C473" s="533" t="s">
        <v>4043</v>
      </c>
      <c r="D473" s="381">
        <v>468</v>
      </c>
      <c r="E473" s="381">
        <v>20215000018393</v>
      </c>
      <c r="F473" s="382">
        <v>44285</v>
      </c>
      <c r="G473" s="381" t="s">
        <v>2538</v>
      </c>
      <c r="H473" s="364" t="s">
        <v>2539</v>
      </c>
      <c r="I473" s="364" t="s">
        <v>228</v>
      </c>
      <c r="J473" s="414">
        <v>59000000</v>
      </c>
      <c r="K473" s="364" t="s">
        <v>223</v>
      </c>
      <c r="L473" s="364" t="s">
        <v>257</v>
      </c>
      <c r="M473" s="364" t="s">
        <v>44</v>
      </c>
      <c r="N473" s="364" t="s">
        <v>45</v>
      </c>
      <c r="O473" s="364" t="s">
        <v>46</v>
      </c>
      <c r="P473" s="364" t="s">
        <v>674</v>
      </c>
      <c r="Q473" s="364"/>
      <c r="R473" s="384">
        <v>507</v>
      </c>
      <c r="S473" s="383">
        <v>44285</v>
      </c>
      <c r="T473" s="384" t="s">
        <v>4044</v>
      </c>
      <c r="U473" s="408">
        <f>59000000-59000000</f>
        <v>0</v>
      </c>
      <c r="V473" s="414">
        <v>59000000</v>
      </c>
      <c r="W473" s="379" t="s">
        <v>1428</v>
      </c>
      <c r="X473" s="314"/>
      <c r="Y473" s="358"/>
      <c r="Z473" s="358"/>
      <c r="AA473" s="358"/>
      <c r="AB473" s="317"/>
      <c r="AC473" s="316"/>
      <c r="AD473" s="317"/>
      <c r="AF473" s="410"/>
      <c r="AG473" s="318">
        <f t="shared" si="7"/>
        <v>0</v>
      </c>
      <c r="AH473" s="405"/>
      <c r="AI473" s="408"/>
      <c r="AJ473" s="408"/>
      <c r="AK473" s="408"/>
      <c r="AL473" s="408"/>
      <c r="AM473" s="212"/>
    </row>
    <row r="474" spans="1:39" ht="15.5" hidden="1" x14ac:dyDescent="0.35">
      <c r="B474" s="467" t="s">
        <v>2581</v>
      </c>
      <c r="C474" s="534" t="s">
        <v>4045</v>
      </c>
      <c r="D474" s="469">
        <v>469</v>
      </c>
      <c r="E474" s="469">
        <v>20211300018303</v>
      </c>
      <c r="F474" s="470">
        <v>44285</v>
      </c>
      <c r="G474" s="469" t="s">
        <v>2545</v>
      </c>
      <c r="H474" s="468" t="s">
        <v>2546</v>
      </c>
      <c r="I474" s="468" t="s">
        <v>210</v>
      </c>
      <c r="J474" s="531">
        <v>11411438</v>
      </c>
      <c r="K474" s="468" t="s">
        <v>138</v>
      </c>
      <c r="L474" s="468" t="s">
        <v>139</v>
      </c>
      <c r="M474" s="468" t="s">
        <v>44</v>
      </c>
      <c r="N474" s="468" t="s">
        <v>45</v>
      </c>
      <c r="O474" s="468" t="s">
        <v>142</v>
      </c>
      <c r="P474" s="468" t="s">
        <v>43</v>
      </c>
      <c r="Q474" s="468"/>
      <c r="R474" s="529">
        <v>508</v>
      </c>
      <c r="S474" s="528">
        <v>44285</v>
      </c>
      <c r="T474" s="529" t="s">
        <v>4046</v>
      </c>
      <c r="U474" s="471">
        <v>11411438</v>
      </c>
      <c r="V474" s="414"/>
      <c r="W474" s="379"/>
      <c r="X474" s="308" t="s">
        <v>4047</v>
      </c>
      <c r="Y474" s="472">
        <v>44295</v>
      </c>
      <c r="Z474" s="472">
        <v>44298</v>
      </c>
      <c r="AA474" s="472">
        <v>44358</v>
      </c>
      <c r="AB474" s="2" t="s">
        <v>2548</v>
      </c>
      <c r="AC474" s="211" t="s">
        <v>4048</v>
      </c>
      <c r="AD474" s="2" t="s">
        <v>4049</v>
      </c>
      <c r="AE474" s="212" t="s">
        <v>4050</v>
      </c>
      <c r="AF474" s="473">
        <v>11411438</v>
      </c>
      <c r="AG474" s="474">
        <f t="shared" si="7"/>
        <v>0</v>
      </c>
      <c r="AI474" s="471"/>
      <c r="AJ474" s="471"/>
      <c r="AK474" s="471"/>
      <c r="AL474" s="471">
        <v>3423431</v>
      </c>
      <c r="AM474" s="306">
        <v>5705719</v>
      </c>
    </row>
    <row r="475" spans="1:39" hidden="1" x14ac:dyDescent="0.35">
      <c r="A475" s="476" t="s">
        <v>2115</v>
      </c>
      <c r="B475" s="477">
        <v>56838880</v>
      </c>
      <c r="C475" s="212" t="s">
        <v>2544</v>
      </c>
      <c r="D475" s="478">
        <v>470</v>
      </c>
      <c r="E475" s="478">
        <v>20211300018483</v>
      </c>
      <c r="F475" s="479">
        <v>44285</v>
      </c>
      <c r="G475" s="478" t="s">
        <v>2545</v>
      </c>
      <c r="H475" s="212" t="s">
        <v>2546</v>
      </c>
      <c r="I475" s="212" t="s">
        <v>210</v>
      </c>
      <c r="J475" s="480">
        <v>32479360</v>
      </c>
      <c r="K475" s="212" t="s">
        <v>138</v>
      </c>
      <c r="L475" s="212" t="s">
        <v>139</v>
      </c>
      <c r="M475" s="212" t="s">
        <v>44</v>
      </c>
      <c r="N475" s="212" t="s">
        <v>45</v>
      </c>
      <c r="O475" s="212" t="s">
        <v>142</v>
      </c>
      <c r="P475" s="212" t="s">
        <v>43</v>
      </c>
      <c r="R475" s="486">
        <v>509</v>
      </c>
      <c r="S475" s="490">
        <v>44285</v>
      </c>
      <c r="T475" s="486" t="s">
        <v>4051</v>
      </c>
      <c r="U475" s="475">
        <v>32479360</v>
      </c>
      <c r="V475" s="406"/>
      <c r="W475" s="362"/>
      <c r="X475" s="483" t="s">
        <v>4052</v>
      </c>
      <c r="Y475" s="484">
        <v>44307</v>
      </c>
      <c r="Z475" s="484">
        <v>44307</v>
      </c>
      <c r="AA475" s="484">
        <v>44428</v>
      </c>
      <c r="AB475" s="485" t="s">
        <v>2548</v>
      </c>
      <c r="AC475" s="483" t="s">
        <v>4053</v>
      </c>
      <c r="AD475" s="485" t="s">
        <v>4054</v>
      </c>
      <c r="AE475" s="486" t="s">
        <v>2717</v>
      </c>
      <c r="AF475" s="473">
        <v>32479360</v>
      </c>
      <c r="AG475" s="474">
        <f t="shared" si="7"/>
        <v>0</v>
      </c>
      <c r="AL475" s="475">
        <v>2706613</v>
      </c>
      <c r="AM475" s="306">
        <v>8119840</v>
      </c>
    </row>
    <row r="476" spans="1:39" hidden="1" x14ac:dyDescent="0.35">
      <c r="A476" s="476" t="s">
        <v>1884</v>
      </c>
      <c r="B476" s="477">
        <v>24530202</v>
      </c>
      <c r="C476" s="212" t="s">
        <v>2544</v>
      </c>
      <c r="D476" s="478">
        <v>471</v>
      </c>
      <c r="E476" s="478">
        <v>20217000018863</v>
      </c>
      <c r="F476" s="479">
        <v>44291</v>
      </c>
      <c r="G476" s="478" t="s">
        <v>2545</v>
      </c>
      <c r="H476" s="212" t="s">
        <v>2546</v>
      </c>
      <c r="I476" s="212" t="s">
        <v>164</v>
      </c>
      <c r="J476" s="475">
        <v>19079046</v>
      </c>
      <c r="K476" s="212" t="s">
        <v>138</v>
      </c>
      <c r="L476" s="212" t="s">
        <v>139</v>
      </c>
      <c r="M476" s="212" t="s">
        <v>44</v>
      </c>
      <c r="N476" s="212" t="s">
        <v>45</v>
      </c>
      <c r="O476" s="212" t="s">
        <v>142</v>
      </c>
      <c r="P476" s="212" t="s">
        <v>43</v>
      </c>
      <c r="R476" s="212">
        <v>511</v>
      </c>
      <c r="S476" s="490">
        <v>44292</v>
      </c>
      <c r="T476" s="486" t="s">
        <v>4055</v>
      </c>
      <c r="U476" s="475">
        <v>19079046</v>
      </c>
      <c r="V476" s="406"/>
      <c r="W476" s="362"/>
      <c r="X476" s="483" t="s">
        <v>4056</v>
      </c>
      <c r="Y476" s="484">
        <v>44305</v>
      </c>
      <c r="Z476" s="484">
        <v>44305</v>
      </c>
      <c r="AA476" s="484">
        <v>44484</v>
      </c>
      <c r="AB476" s="485" t="s">
        <v>2548</v>
      </c>
      <c r="AC476" s="483" t="s">
        <v>3722</v>
      </c>
      <c r="AD476" s="485" t="s">
        <v>4057</v>
      </c>
      <c r="AE476" s="486" t="s">
        <v>4058</v>
      </c>
      <c r="AF476" s="473">
        <v>19048760</v>
      </c>
      <c r="AG476" s="474">
        <f t="shared" si="7"/>
        <v>30286</v>
      </c>
      <c r="AL476" s="475">
        <v>1232567</v>
      </c>
      <c r="AM476" s="306">
        <v>3361546</v>
      </c>
    </row>
    <row r="477" spans="1:39" hidden="1" x14ac:dyDescent="0.35">
      <c r="A477" s="476" t="s">
        <v>2304</v>
      </c>
      <c r="B477" s="477">
        <v>36000000</v>
      </c>
      <c r="C477" s="212" t="s">
        <v>2544</v>
      </c>
      <c r="D477" s="478">
        <v>472</v>
      </c>
      <c r="E477" s="478">
        <v>20217000018963</v>
      </c>
      <c r="F477" s="479">
        <v>44291</v>
      </c>
      <c r="G477" s="478" t="s">
        <v>2545</v>
      </c>
      <c r="H477" s="212" t="s">
        <v>2546</v>
      </c>
      <c r="I477" s="212" t="s">
        <v>164</v>
      </c>
      <c r="J477" s="475">
        <v>24530202</v>
      </c>
      <c r="K477" s="212" t="s">
        <v>138</v>
      </c>
      <c r="L477" s="212" t="s">
        <v>139</v>
      </c>
      <c r="M477" s="212" t="s">
        <v>44</v>
      </c>
      <c r="N477" s="212" t="s">
        <v>45</v>
      </c>
      <c r="O477" s="212" t="s">
        <v>142</v>
      </c>
      <c r="P477" s="212" t="s">
        <v>43</v>
      </c>
      <c r="R477" s="212">
        <v>513</v>
      </c>
      <c r="S477" s="490">
        <v>44292</v>
      </c>
      <c r="T477" s="486" t="s">
        <v>4059</v>
      </c>
      <c r="U477" s="475">
        <v>24530202</v>
      </c>
      <c r="V477" s="406"/>
      <c r="W477" s="362"/>
      <c r="X477" s="483" t="s">
        <v>4060</v>
      </c>
      <c r="Y477" s="484">
        <v>44298</v>
      </c>
      <c r="Z477" s="484">
        <v>44298</v>
      </c>
      <c r="AA477" s="484">
        <v>44481</v>
      </c>
      <c r="AB477" s="485" t="s">
        <v>2548</v>
      </c>
      <c r="AC477" s="483" t="s">
        <v>3680</v>
      </c>
      <c r="AD477" s="485" t="s">
        <v>4061</v>
      </c>
      <c r="AE477" s="486" t="s">
        <v>2707</v>
      </c>
      <c r="AF477" s="473">
        <v>24530202</v>
      </c>
      <c r="AG477" s="474">
        <f t="shared" si="7"/>
        <v>0</v>
      </c>
      <c r="AL477" s="475">
        <v>2453020</v>
      </c>
      <c r="AM477" s="306">
        <v>4088367</v>
      </c>
    </row>
    <row r="478" spans="1:39" hidden="1" x14ac:dyDescent="0.35">
      <c r="A478" s="476" t="s">
        <v>1979</v>
      </c>
      <c r="B478" s="477">
        <v>16000000</v>
      </c>
      <c r="C478" s="212" t="s">
        <v>2544</v>
      </c>
      <c r="D478" s="478">
        <v>473</v>
      </c>
      <c r="E478" s="478">
        <v>20211200018903</v>
      </c>
      <c r="F478" s="479">
        <v>44291</v>
      </c>
      <c r="G478" s="309" t="s">
        <v>2545</v>
      </c>
      <c r="H478" s="210" t="s">
        <v>2546</v>
      </c>
      <c r="I478" s="212" t="s">
        <v>143</v>
      </c>
      <c r="J478" s="407">
        <v>13500000</v>
      </c>
      <c r="K478" s="210" t="s">
        <v>138</v>
      </c>
      <c r="L478" s="210" t="s">
        <v>139</v>
      </c>
      <c r="M478" s="210" t="s">
        <v>44</v>
      </c>
      <c r="N478" s="210" t="s">
        <v>45</v>
      </c>
      <c r="O478" s="210" t="s">
        <v>142</v>
      </c>
      <c r="P478" s="210" t="s">
        <v>43</v>
      </c>
      <c r="R478" s="212">
        <v>512</v>
      </c>
      <c r="S478" s="490">
        <v>44292</v>
      </c>
      <c r="T478" s="486" t="s">
        <v>4062</v>
      </c>
      <c r="U478" s="475">
        <v>13500000</v>
      </c>
      <c r="V478" s="406"/>
      <c r="W478" s="362"/>
      <c r="X478" s="483" t="s">
        <v>4063</v>
      </c>
      <c r="Y478" s="484">
        <v>44299</v>
      </c>
      <c r="Z478" s="484">
        <v>44299</v>
      </c>
      <c r="AA478" s="484">
        <v>44390</v>
      </c>
      <c r="AB478" s="485" t="s">
        <v>2548</v>
      </c>
      <c r="AC478" s="483" t="s">
        <v>3788</v>
      </c>
      <c r="AD478" s="485" t="s">
        <v>4064</v>
      </c>
      <c r="AE478" s="486" t="s">
        <v>3233</v>
      </c>
      <c r="AF478" s="473">
        <v>13500000</v>
      </c>
      <c r="AG478" s="474">
        <f t="shared" si="7"/>
        <v>0</v>
      </c>
      <c r="AL478" s="475">
        <v>2700000</v>
      </c>
      <c r="AM478" s="306">
        <v>4500000</v>
      </c>
    </row>
    <row r="479" spans="1:39" hidden="1" x14ac:dyDescent="0.35">
      <c r="A479" s="476" t="s">
        <v>2354</v>
      </c>
      <c r="B479" s="477">
        <v>43056000</v>
      </c>
      <c r="C479" s="212" t="s">
        <v>2544</v>
      </c>
      <c r="D479" s="478">
        <v>474</v>
      </c>
      <c r="E479" s="478">
        <v>20211400015013</v>
      </c>
      <c r="F479" s="479">
        <v>44291</v>
      </c>
      <c r="G479" s="478" t="s">
        <v>2545</v>
      </c>
      <c r="H479" s="212" t="s">
        <v>2546</v>
      </c>
      <c r="I479" s="212" t="s">
        <v>184</v>
      </c>
      <c r="J479" s="475">
        <v>43056000</v>
      </c>
      <c r="K479" s="212" t="s">
        <v>138</v>
      </c>
      <c r="L479" s="212" t="s">
        <v>2550</v>
      </c>
      <c r="M479" s="212" t="s">
        <v>44</v>
      </c>
      <c r="N479" s="212" t="s">
        <v>45</v>
      </c>
      <c r="O479" s="212" t="s">
        <v>142</v>
      </c>
      <c r="P479" s="212" t="s">
        <v>43</v>
      </c>
      <c r="R479" s="212">
        <v>510</v>
      </c>
      <c r="S479" s="490">
        <v>44292</v>
      </c>
      <c r="T479" s="486" t="s">
        <v>4065</v>
      </c>
      <c r="U479" s="475">
        <v>43056000</v>
      </c>
      <c r="V479" s="406"/>
      <c r="W479" s="362"/>
      <c r="X479" s="483" t="s">
        <v>4066</v>
      </c>
      <c r="Y479" s="484">
        <v>44305</v>
      </c>
      <c r="Z479" s="484">
        <v>44305</v>
      </c>
      <c r="AA479" s="484">
        <v>44548</v>
      </c>
      <c r="AB479" s="485" t="s">
        <v>2548</v>
      </c>
      <c r="AC479" s="483" t="s">
        <v>3224</v>
      </c>
      <c r="AD479" s="485" t="s">
        <v>4067</v>
      </c>
      <c r="AE479" s="486" t="s">
        <v>4068</v>
      </c>
      <c r="AF479" s="473">
        <v>43056000</v>
      </c>
      <c r="AG479" s="474">
        <f t="shared" si="7"/>
        <v>0</v>
      </c>
      <c r="AL479" s="475">
        <v>2152800</v>
      </c>
      <c r="AM479" s="306">
        <v>5382000</v>
      </c>
    </row>
    <row r="480" spans="1:39" hidden="1" x14ac:dyDescent="0.35">
      <c r="A480" s="476" t="s">
        <v>2195</v>
      </c>
      <c r="B480" s="477">
        <v>32500000</v>
      </c>
      <c r="C480" s="212" t="s">
        <v>2544</v>
      </c>
      <c r="D480" s="478">
        <v>475</v>
      </c>
      <c r="E480" s="478">
        <v>20211100019133</v>
      </c>
      <c r="F480" s="479">
        <v>44291</v>
      </c>
      <c r="G480" s="309" t="s">
        <v>2545</v>
      </c>
      <c r="H480" s="210" t="s">
        <v>2546</v>
      </c>
      <c r="I480" s="210" t="s">
        <v>206</v>
      </c>
      <c r="J480" s="407">
        <v>32500000</v>
      </c>
      <c r="K480" s="210" t="s">
        <v>138</v>
      </c>
      <c r="L480" s="210" t="s">
        <v>139</v>
      </c>
      <c r="M480" s="210" t="s">
        <v>44</v>
      </c>
      <c r="N480" s="210" t="s">
        <v>45</v>
      </c>
      <c r="O480" s="210" t="s">
        <v>142</v>
      </c>
      <c r="P480" s="210" t="s">
        <v>43</v>
      </c>
      <c r="Q480" s="210"/>
      <c r="R480" s="212">
        <v>514</v>
      </c>
      <c r="S480" s="490">
        <v>44292</v>
      </c>
      <c r="T480" s="486" t="s">
        <v>4069</v>
      </c>
      <c r="U480" s="475">
        <v>32500000</v>
      </c>
      <c r="V480" s="406"/>
      <c r="W480" s="362"/>
      <c r="X480" s="483" t="s">
        <v>4070</v>
      </c>
      <c r="Y480" s="484">
        <v>44298</v>
      </c>
      <c r="Z480" s="484">
        <v>44298</v>
      </c>
      <c r="AA480" s="484">
        <v>44451</v>
      </c>
      <c r="AB480" s="485" t="s">
        <v>2548</v>
      </c>
      <c r="AC480" s="483" t="s">
        <v>3640</v>
      </c>
      <c r="AD480" s="485" t="s">
        <v>4071</v>
      </c>
      <c r="AE480" s="486" t="s">
        <v>4072</v>
      </c>
      <c r="AF480" s="473">
        <v>32500000</v>
      </c>
      <c r="AG480" s="474">
        <f t="shared" si="7"/>
        <v>0</v>
      </c>
      <c r="AL480" s="475">
        <v>4116667</v>
      </c>
      <c r="AM480" s="306">
        <v>6500000</v>
      </c>
    </row>
    <row r="481" spans="1:39" hidden="1" x14ac:dyDescent="0.35">
      <c r="A481" s="476" t="s">
        <v>1910</v>
      </c>
      <c r="B481" s="477">
        <v>24530202</v>
      </c>
      <c r="C481" s="212" t="s">
        <v>2544</v>
      </c>
      <c r="D481" s="478">
        <v>476</v>
      </c>
      <c r="E481" s="478">
        <v>20217000019673</v>
      </c>
      <c r="F481" s="479">
        <v>44294</v>
      </c>
      <c r="G481" s="309" t="s">
        <v>2545</v>
      </c>
      <c r="H481" s="210" t="s">
        <v>2546</v>
      </c>
      <c r="I481" s="212" t="s">
        <v>164</v>
      </c>
      <c r="J481" s="475">
        <v>10902312</v>
      </c>
      <c r="K481" s="210" t="s">
        <v>138</v>
      </c>
      <c r="L481" s="210" t="s">
        <v>139</v>
      </c>
      <c r="M481" s="210" t="s">
        <v>44</v>
      </c>
      <c r="N481" s="210" t="s">
        <v>45</v>
      </c>
      <c r="O481" s="210" t="s">
        <v>142</v>
      </c>
      <c r="P481" s="210" t="s">
        <v>43</v>
      </c>
      <c r="R481" s="212">
        <v>521</v>
      </c>
      <c r="S481" s="490">
        <v>44294</v>
      </c>
      <c r="T481" s="486" t="s">
        <v>4073</v>
      </c>
      <c r="U481" s="475">
        <v>10902312</v>
      </c>
      <c r="V481" s="406"/>
      <c r="W481" s="362"/>
      <c r="X481" s="483" t="s">
        <v>3965</v>
      </c>
      <c r="Y481" s="484">
        <v>44316</v>
      </c>
      <c r="Z481" s="484">
        <v>44316</v>
      </c>
      <c r="AA481" s="484">
        <v>44437</v>
      </c>
      <c r="AB481" s="485" t="s">
        <v>2548</v>
      </c>
      <c r="AC481" s="483" t="s">
        <v>3332</v>
      </c>
      <c r="AD481" s="485" t="s">
        <v>4074</v>
      </c>
      <c r="AE481" s="486" t="s">
        <v>4075</v>
      </c>
      <c r="AF481" s="473">
        <v>10902312</v>
      </c>
      <c r="AG481" s="474">
        <f t="shared" ref="AG481:AG544" si="8">+U481-AF481</f>
        <v>0</v>
      </c>
      <c r="AM481" s="306">
        <v>2543872</v>
      </c>
    </row>
    <row r="482" spans="1:39" hidden="1" x14ac:dyDescent="0.35">
      <c r="A482" s="476" t="s">
        <v>2279</v>
      </c>
      <c r="B482" s="477">
        <v>65413872</v>
      </c>
      <c r="C482" s="212" t="s">
        <v>2544</v>
      </c>
      <c r="D482" s="478">
        <v>477</v>
      </c>
      <c r="E482" s="478">
        <v>20217000019653</v>
      </c>
      <c r="F482" s="479">
        <v>44294</v>
      </c>
      <c r="G482" s="309" t="s">
        <v>2545</v>
      </c>
      <c r="H482" s="210" t="s">
        <v>2546</v>
      </c>
      <c r="I482" s="212" t="s">
        <v>164</v>
      </c>
      <c r="J482" s="475">
        <v>29072832</v>
      </c>
      <c r="K482" s="210" t="s">
        <v>138</v>
      </c>
      <c r="L482" s="210" t="s">
        <v>139</v>
      </c>
      <c r="M482" s="210" t="s">
        <v>44</v>
      </c>
      <c r="N482" s="210" t="s">
        <v>45</v>
      </c>
      <c r="O482" s="210" t="s">
        <v>142</v>
      </c>
      <c r="P482" s="210" t="s">
        <v>43</v>
      </c>
      <c r="R482" s="212">
        <v>520</v>
      </c>
      <c r="S482" s="490">
        <v>44294</v>
      </c>
      <c r="T482" s="486" t="s">
        <v>4076</v>
      </c>
      <c r="U482" s="475">
        <v>29072832</v>
      </c>
      <c r="V482" s="406"/>
      <c r="W482" s="362"/>
      <c r="X482" s="211" t="s">
        <v>4077</v>
      </c>
      <c r="Y482" s="472">
        <v>44301</v>
      </c>
      <c r="Z482" s="472">
        <v>44301</v>
      </c>
      <c r="AA482" s="472">
        <v>44423</v>
      </c>
      <c r="AB482" s="2" t="s">
        <v>2548</v>
      </c>
      <c r="AC482" s="211" t="s">
        <v>3051</v>
      </c>
      <c r="AD482" s="2" t="s">
        <v>4078</v>
      </c>
      <c r="AE482" s="212" t="s">
        <v>4079</v>
      </c>
      <c r="AF482" s="473">
        <v>29072832</v>
      </c>
      <c r="AG482" s="474">
        <f t="shared" si="8"/>
        <v>0</v>
      </c>
      <c r="AL482" s="475">
        <v>3876378</v>
      </c>
      <c r="AM482" s="306">
        <v>7268208</v>
      </c>
    </row>
    <row r="483" spans="1:39" hidden="1" x14ac:dyDescent="0.35">
      <c r="A483" s="476" t="s">
        <v>1838</v>
      </c>
      <c r="B483" s="477">
        <v>46512000</v>
      </c>
      <c r="C483" s="212" t="s">
        <v>2544</v>
      </c>
      <c r="D483" s="478">
        <v>478</v>
      </c>
      <c r="E483" s="478">
        <v>20212000019393</v>
      </c>
      <c r="F483" s="479">
        <v>44294</v>
      </c>
      <c r="G483" s="478" t="s">
        <v>2538</v>
      </c>
      <c r="H483" s="212" t="s">
        <v>2539</v>
      </c>
      <c r="I483" s="212" t="s">
        <v>391</v>
      </c>
      <c r="J483" s="475">
        <v>41616000</v>
      </c>
      <c r="K483" s="210" t="s">
        <v>2609</v>
      </c>
      <c r="L483" s="212" t="s">
        <v>2610</v>
      </c>
      <c r="M483" s="210" t="s">
        <v>44</v>
      </c>
      <c r="N483" s="210" t="s">
        <v>45</v>
      </c>
      <c r="O483" s="212" t="s">
        <v>63</v>
      </c>
      <c r="P483" s="212" t="s">
        <v>674</v>
      </c>
      <c r="R483" s="212">
        <v>515</v>
      </c>
      <c r="S483" s="490">
        <v>44294</v>
      </c>
      <c r="T483" s="486" t="s">
        <v>4080</v>
      </c>
      <c r="U483" s="475">
        <v>41616000</v>
      </c>
      <c r="V483" s="406"/>
      <c r="W483" s="362"/>
      <c r="X483" s="483" t="s">
        <v>4081</v>
      </c>
      <c r="Y483" s="484">
        <v>44323</v>
      </c>
      <c r="Z483" s="484">
        <v>44323</v>
      </c>
      <c r="AA483" s="484">
        <v>44561</v>
      </c>
      <c r="AB483" s="486" t="s">
        <v>2548</v>
      </c>
      <c r="AC483" s="483" t="s">
        <v>3666</v>
      </c>
      <c r="AD483" s="486" t="s">
        <v>4082</v>
      </c>
      <c r="AE483" s="486" t="s">
        <v>4083</v>
      </c>
      <c r="AF483" s="473">
        <v>36720000</v>
      </c>
      <c r="AG483" s="474">
        <f t="shared" si="8"/>
        <v>4896000</v>
      </c>
      <c r="AM483" s="306">
        <v>3264000</v>
      </c>
    </row>
    <row r="484" spans="1:39" hidden="1" x14ac:dyDescent="0.35">
      <c r="A484" s="476" t="s">
        <v>1839</v>
      </c>
      <c r="B484" s="467">
        <v>38275500</v>
      </c>
      <c r="C484" s="212" t="s">
        <v>2544</v>
      </c>
      <c r="D484" s="469">
        <v>479</v>
      </c>
      <c r="E484" s="469">
        <v>20212000019403</v>
      </c>
      <c r="F484" s="470">
        <v>44294</v>
      </c>
      <c r="G484" s="469" t="s">
        <v>2538</v>
      </c>
      <c r="H484" s="468" t="s">
        <v>2539</v>
      </c>
      <c r="I484" s="468" t="s">
        <v>391</v>
      </c>
      <c r="J484" s="471">
        <v>34246500</v>
      </c>
      <c r="K484" s="377" t="s">
        <v>2609</v>
      </c>
      <c r="L484" s="468" t="s">
        <v>2610</v>
      </c>
      <c r="M484" s="377" t="s">
        <v>44</v>
      </c>
      <c r="N484" s="377" t="s">
        <v>45</v>
      </c>
      <c r="O484" s="468" t="s">
        <v>63</v>
      </c>
      <c r="P484" s="212" t="s">
        <v>674</v>
      </c>
      <c r="Q484" s="468"/>
      <c r="R484" s="468">
        <v>516</v>
      </c>
      <c r="S484" s="528">
        <v>44294</v>
      </c>
      <c r="T484" s="529" t="s">
        <v>4084</v>
      </c>
      <c r="U484" s="475">
        <v>34246500</v>
      </c>
      <c r="V484" s="414"/>
      <c r="W484" s="379"/>
      <c r="X484" s="483" t="s">
        <v>4085</v>
      </c>
      <c r="Y484" s="484">
        <v>44308</v>
      </c>
      <c r="Z484" s="484">
        <v>44308</v>
      </c>
      <c r="AA484" s="484">
        <v>44551</v>
      </c>
      <c r="AB484" s="485" t="s">
        <v>2548</v>
      </c>
      <c r="AC484" s="483" t="s">
        <v>3854</v>
      </c>
      <c r="AD484" s="485" t="s">
        <v>4086</v>
      </c>
      <c r="AE484" s="486" t="s">
        <v>4087</v>
      </c>
      <c r="AF484" s="473">
        <v>32232000</v>
      </c>
      <c r="AG484" s="474">
        <f t="shared" si="8"/>
        <v>2014500</v>
      </c>
      <c r="AI484" s="471"/>
      <c r="AJ484" s="471"/>
      <c r="AK484" s="471"/>
      <c r="AL484" s="471"/>
      <c r="AM484" s="306">
        <v>5103400</v>
      </c>
    </row>
    <row r="485" spans="1:39" hidden="1" x14ac:dyDescent="0.35">
      <c r="A485" s="476" t="s">
        <v>1847</v>
      </c>
      <c r="B485" s="477">
        <v>34850000</v>
      </c>
      <c r="C485" s="212" t="s">
        <v>2544</v>
      </c>
      <c r="D485" s="478">
        <v>480</v>
      </c>
      <c r="E485" s="478">
        <v>20212000019423</v>
      </c>
      <c r="F485" s="479">
        <v>44294</v>
      </c>
      <c r="G485" s="478" t="s">
        <v>2538</v>
      </c>
      <c r="H485" s="212" t="s">
        <v>2539</v>
      </c>
      <c r="I485" s="212" t="s">
        <v>391</v>
      </c>
      <c r="J485" s="475">
        <v>16400000</v>
      </c>
      <c r="K485" s="210" t="s">
        <v>2609</v>
      </c>
      <c r="L485" s="212" t="s">
        <v>2610</v>
      </c>
      <c r="M485" s="210" t="s">
        <v>44</v>
      </c>
      <c r="N485" s="210" t="s">
        <v>45</v>
      </c>
      <c r="O485" s="212" t="s">
        <v>63</v>
      </c>
      <c r="P485" s="212" t="s">
        <v>674</v>
      </c>
      <c r="R485" s="212">
        <v>517</v>
      </c>
      <c r="S485" s="490">
        <v>44294</v>
      </c>
      <c r="T485" s="486" t="s">
        <v>4088</v>
      </c>
      <c r="U485" s="475">
        <v>16400000</v>
      </c>
      <c r="V485" s="406"/>
      <c r="W485" s="362"/>
      <c r="X485" s="483" t="s">
        <v>4089</v>
      </c>
      <c r="Y485" s="484">
        <v>44307</v>
      </c>
      <c r="Z485" s="484">
        <v>44307</v>
      </c>
      <c r="AA485" s="484">
        <v>44428</v>
      </c>
      <c r="AB485" s="485" t="s">
        <v>2548</v>
      </c>
      <c r="AC485" s="483" t="s">
        <v>3652</v>
      </c>
      <c r="AD485" s="485" t="s">
        <v>4090</v>
      </c>
      <c r="AE485" s="486" t="s">
        <v>4091</v>
      </c>
      <c r="AF485" s="473">
        <v>16400000</v>
      </c>
      <c r="AG485" s="474">
        <f t="shared" si="8"/>
        <v>0</v>
      </c>
      <c r="AL485" s="475">
        <v>1633333</v>
      </c>
      <c r="AM485" s="306">
        <v>3833333</v>
      </c>
    </row>
    <row r="486" spans="1:39" hidden="1" x14ac:dyDescent="0.35">
      <c r="A486" s="476" t="s">
        <v>1986</v>
      </c>
      <c r="B486" s="477">
        <v>34850000</v>
      </c>
      <c r="C486" s="212" t="s">
        <v>2544</v>
      </c>
      <c r="D486" s="478">
        <v>481</v>
      </c>
      <c r="E486" s="478">
        <v>20212000019433</v>
      </c>
      <c r="F486" s="479">
        <v>44294</v>
      </c>
      <c r="G486" s="478" t="s">
        <v>2538</v>
      </c>
      <c r="H486" s="212" t="s">
        <v>2539</v>
      </c>
      <c r="I486" s="212" t="s">
        <v>391</v>
      </c>
      <c r="J486" s="475">
        <v>16400000</v>
      </c>
      <c r="K486" s="210" t="s">
        <v>2609</v>
      </c>
      <c r="L486" s="212" t="s">
        <v>2610</v>
      </c>
      <c r="M486" s="210" t="s">
        <v>44</v>
      </c>
      <c r="N486" s="210" t="s">
        <v>45</v>
      </c>
      <c r="O486" s="212" t="s">
        <v>63</v>
      </c>
      <c r="P486" s="212" t="s">
        <v>674</v>
      </c>
      <c r="R486" s="212">
        <v>518</v>
      </c>
      <c r="S486" s="490">
        <v>44294</v>
      </c>
      <c r="T486" s="486" t="s">
        <v>4092</v>
      </c>
      <c r="U486" s="475">
        <v>16400000</v>
      </c>
      <c r="V486" s="406"/>
      <c r="W486" s="362"/>
      <c r="X486" s="483" t="s">
        <v>4093</v>
      </c>
      <c r="Y486" s="484">
        <v>44341</v>
      </c>
      <c r="Z486" s="484">
        <v>44341</v>
      </c>
      <c r="AA486" s="484">
        <v>44463</v>
      </c>
      <c r="AB486" s="486" t="s">
        <v>2548</v>
      </c>
      <c r="AC486" s="483" t="s">
        <v>3532</v>
      </c>
      <c r="AD486" s="486" t="s">
        <v>4094</v>
      </c>
      <c r="AE486" s="486" t="s">
        <v>4095</v>
      </c>
      <c r="AF486" s="473">
        <v>16400000</v>
      </c>
      <c r="AG486" s="474">
        <f t="shared" si="8"/>
        <v>0</v>
      </c>
      <c r="AM486" s="212"/>
    </row>
    <row r="487" spans="1:39" hidden="1" x14ac:dyDescent="0.35">
      <c r="A487" s="476" t="s">
        <v>2015</v>
      </c>
      <c r="B487" s="467">
        <v>34850000</v>
      </c>
      <c r="C487" s="212" t="s">
        <v>2544</v>
      </c>
      <c r="D487" s="469">
        <v>482</v>
      </c>
      <c r="E487" s="469">
        <v>20212000019443</v>
      </c>
      <c r="F487" s="470">
        <v>44294</v>
      </c>
      <c r="G487" s="469" t="s">
        <v>2538</v>
      </c>
      <c r="H487" s="468" t="s">
        <v>2539</v>
      </c>
      <c r="I487" s="468" t="s">
        <v>391</v>
      </c>
      <c r="J487" s="471">
        <v>16400000</v>
      </c>
      <c r="K487" s="377" t="s">
        <v>2609</v>
      </c>
      <c r="L487" s="468" t="s">
        <v>2610</v>
      </c>
      <c r="M487" s="377" t="s">
        <v>44</v>
      </c>
      <c r="N487" s="377" t="s">
        <v>45</v>
      </c>
      <c r="O487" s="468" t="s">
        <v>63</v>
      </c>
      <c r="P487" s="212" t="s">
        <v>674</v>
      </c>
      <c r="Q487" s="468"/>
      <c r="R487" s="468">
        <v>519</v>
      </c>
      <c r="S487" s="528">
        <v>44294</v>
      </c>
      <c r="T487" s="529" t="s">
        <v>4096</v>
      </c>
      <c r="U487" s="475">
        <v>16400000</v>
      </c>
      <c r="V487" s="414"/>
      <c r="W487" s="379"/>
      <c r="X487" s="483" t="s">
        <v>4097</v>
      </c>
      <c r="Y487" s="484">
        <v>44308</v>
      </c>
      <c r="Z487" s="484">
        <v>44308</v>
      </c>
      <c r="AA487" s="484">
        <v>44429</v>
      </c>
      <c r="AB487" s="485" t="s">
        <v>2548</v>
      </c>
      <c r="AC487" s="483" t="s">
        <v>3248</v>
      </c>
      <c r="AD487" s="485" t="s">
        <v>4098</v>
      </c>
      <c r="AE487" s="486" t="s">
        <v>4099</v>
      </c>
      <c r="AF487" s="473">
        <v>16400000</v>
      </c>
      <c r="AG487" s="474">
        <f t="shared" si="8"/>
        <v>0</v>
      </c>
      <c r="AI487" s="471"/>
      <c r="AJ487" s="471"/>
      <c r="AK487" s="471"/>
      <c r="AL487" s="471">
        <v>1230000</v>
      </c>
      <c r="AM487" s="306">
        <v>4100000</v>
      </c>
    </row>
    <row r="488" spans="1:39" hidden="1" x14ac:dyDescent="0.35">
      <c r="A488" s="476" t="s">
        <v>1736</v>
      </c>
      <c r="B488" s="477">
        <v>20800000</v>
      </c>
      <c r="C488" s="212" t="s">
        <v>2544</v>
      </c>
      <c r="D488" s="478">
        <v>483</v>
      </c>
      <c r="E488" s="478">
        <v>20215000019753</v>
      </c>
      <c r="F488" s="479">
        <v>44295</v>
      </c>
      <c r="G488" s="478" t="s">
        <v>2538</v>
      </c>
      <c r="H488" s="212" t="s">
        <v>2539</v>
      </c>
      <c r="I488" s="210" t="s">
        <v>228</v>
      </c>
      <c r="J488" s="475">
        <v>20800000</v>
      </c>
      <c r="K488" s="212" t="s">
        <v>288</v>
      </c>
      <c r="L488" s="212" t="s">
        <v>2634</v>
      </c>
      <c r="M488" s="212" t="s">
        <v>44</v>
      </c>
      <c r="N488" s="212" t="s">
        <v>45</v>
      </c>
      <c r="O488" s="212" t="s">
        <v>63</v>
      </c>
      <c r="P488" s="212" t="s">
        <v>674</v>
      </c>
      <c r="R488" s="212">
        <v>522</v>
      </c>
      <c r="S488" s="490">
        <v>44295</v>
      </c>
      <c r="T488" s="486" t="s">
        <v>4100</v>
      </c>
      <c r="U488" s="475">
        <f>20800000-8050000</f>
        <v>12750000</v>
      </c>
      <c r="V488" s="406">
        <v>8050000</v>
      </c>
      <c r="W488" s="362" t="s">
        <v>1428</v>
      </c>
      <c r="X488" s="483" t="s">
        <v>4101</v>
      </c>
      <c r="Y488" s="484">
        <v>44320</v>
      </c>
      <c r="Z488" s="484">
        <v>44320</v>
      </c>
      <c r="AA488" s="484">
        <v>44561</v>
      </c>
      <c r="AB488" s="486" t="s">
        <v>2548</v>
      </c>
      <c r="AC488" s="483" t="s">
        <v>3269</v>
      </c>
      <c r="AD488" s="486" t="s">
        <v>4102</v>
      </c>
      <c r="AE488" s="486" t="s">
        <v>4103</v>
      </c>
      <c r="AF488" s="473">
        <v>12750000</v>
      </c>
      <c r="AG488" s="474">
        <f t="shared" si="8"/>
        <v>0</v>
      </c>
      <c r="AM488" s="306">
        <v>1473333</v>
      </c>
    </row>
    <row r="489" spans="1:39" hidden="1" x14ac:dyDescent="0.35">
      <c r="A489" s="476" t="s">
        <v>1737</v>
      </c>
      <c r="B489" s="477">
        <v>20800000</v>
      </c>
      <c r="C489" s="212" t="s">
        <v>2544</v>
      </c>
      <c r="D489" s="478">
        <v>484</v>
      </c>
      <c r="E489" s="478">
        <v>20215000019763</v>
      </c>
      <c r="F489" s="479">
        <v>44295</v>
      </c>
      <c r="G489" s="478" t="s">
        <v>2538</v>
      </c>
      <c r="H489" s="212" t="s">
        <v>2539</v>
      </c>
      <c r="I489" s="210" t="s">
        <v>228</v>
      </c>
      <c r="J489" s="475">
        <v>20800000</v>
      </c>
      <c r="K489" s="212" t="s">
        <v>288</v>
      </c>
      <c r="L489" s="212" t="s">
        <v>2634</v>
      </c>
      <c r="M489" s="212" t="s">
        <v>44</v>
      </c>
      <c r="N489" s="212" t="s">
        <v>45</v>
      </c>
      <c r="O489" s="212" t="s">
        <v>63</v>
      </c>
      <c r="P489" s="212" t="s">
        <v>674</v>
      </c>
      <c r="R489" s="212">
        <v>523</v>
      </c>
      <c r="S489" s="490">
        <v>44295</v>
      </c>
      <c r="T489" s="486" t="s">
        <v>4104</v>
      </c>
      <c r="U489" s="475">
        <f>20800000-11050000</f>
        <v>9750000</v>
      </c>
      <c r="V489" s="406">
        <v>11050000</v>
      </c>
      <c r="W489" s="362" t="s">
        <v>1428</v>
      </c>
      <c r="X489" s="483" t="s">
        <v>4105</v>
      </c>
      <c r="Y489" s="484">
        <v>44320</v>
      </c>
      <c r="Z489" s="484">
        <v>44320</v>
      </c>
      <c r="AA489" s="484">
        <v>44561</v>
      </c>
      <c r="AB489" s="486" t="s">
        <v>2548</v>
      </c>
      <c r="AC489" s="483" t="s">
        <v>3455</v>
      </c>
      <c r="AD489" s="486" t="s">
        <v>4106</v>
      </c>
      <c r="AE489" s="486" t="s">
        <v>4107</v>
      </c>
      <c r="AF489" s="473">
        <v>9750000</v>
      </c>
      <c r="AG489" s="474">
        <f t="shared" si="8"/>
        <v>0</v>
      </c>
      <c r="AM489" s="306">
        <v>1126667</v>
      </c>
    </row>
    <row r="490" spans="1:39" hidden="1" x14ac:dyDescent="0.35">
      <c r="A490" s="466" t="s">
        <v>1739</v>
      </c>
      <c r="B490" s="467">
        <v>20800000</v>
      </c>
      <c r="C490" s="212" t="s">
        <v>2544</v>
      </c>
      <c r="D490" s="469">
        <v>485</v>
      </c>
      <c r="E490" s="469">
        <v>20215000019773</v>
      </c>
      <c r="F490" s="470">
        <v>44295</v>
      </c>
      <c r="G490" s="469" t="s">
        <v>2538</v>
      </c>
      <c r="H490" s="468" t="s">
        <v>2539</v>
      </c>
      <c r="I490" s="377" t="s">
        <v>228</v>
      </c>
      <c r="J490" s="471">
        <v>20800000</v>
      </c>
      <c r="K490" s="468" t="s">
        <v>288</v>
      </c>
      <c r="L490" s="468" t="s">
        <v>2634</v>
      </c>
      <c r="M490" s="468" t="s">
        <v>44</v>
      </c>
      <c r="N490" s="468" t="s">
        <v>45</v>
      </c>
      <c r="O490" s="468" t="s">
        <v>63</v>
      </c>
      <c r="P490" s="212" t="s">
        <v>674</v>
      </c>
      <c r="Q490" s="468"/>
      <c r="R490" s="468">
        <v>524</v>
      </c>
      <c r="S490" s="528">
        <v>44295</v>
      </c>
      <c r="T490" s="529" t="s">
        <v>4108</v>
      </c>
      <c r="U490" s="475">
        <f>20800000-20800000</f>
        <v>0</v>
      </c>
      <c r="V490" s="414">
        <v>20800000</v>
      </c>
      <c r="W490" s="679" t="s">
        <v>1428</v>
      </c>
      <c r="AG490" s="474">
        <f t="shared" si="8"/>
        <v>0</v>
      </c>
      <c r="AI490" s="471"/>
      <c r="AJ490" s="471"/>
      <c r="AK490" s="471"/>
      <c r="AL490" s="471"/>
      <c r="AM490" s="212"/>
    </row>
    <row r="491" spans="1:39" hidden="1" x14ac:dyDescent="0.35">
      <c r="A491" s="476" t="s">
        <v>1909</v>
      </c>
      <c r="B491" s="477">
        <v>28800000</v>
      </c>
      <c r="C491" s="212" t="s">
        <v>2544</v>
      </c>
      <c r="D491" s="478">
        <v>486</v>
      </c>
      <c r="E491" s="478">
        <v>20215000019793</v>
      </c>
      <c r="F491" s="479">
        <v>44295</v>
      </c>
      <c r="G491" s="478" t="s">
        <v>2538</v>
      </c>
      <c r="H491" s="212" t="s">
        <v>2539</v>
      </c>
      <c r="I491" s="210" t="s">
        <v>228</v>
      </c>
      <c r="J491" s="475">
        <v>20800000</v>
      </c>
      <c r="K491" s="212" t="s">
        <v>288</v>
      </c>
      <c r="L491" s="212" t="s">
        <v>2634</v>
      </c>
      <c r="M491" s="212" t="s">
        <v>44</v>
      </c>
      <c r="N491" s="212" t="s">
        <v>45</v>
      </c>
      <c r="O491" s="212" t="s">
        <v>63</v>
      </c>
      <c r="P491" s="212" t="s">
        <v>674</v>
      </c>
      <c r="R491" s="212">
        <v>525</v>
      </c>
      <c r="S491" s="490">
        <v>44295</v>
      </c>
      <c r="T491" s="486" t="s">
        <v>4109</v>
      </c>
      <c r="U491" s="475">
        <f>28800000-5550000</f>
        <v>23250000</v>
      </c>
      <c r="V491" s="406">
        <f>5550000</f>
        <v>5550000</v>
      </c>
      <c r="W491" s="362" t="s">
        <v>1428</v>
      </c>
      <c r="X491" s="483" t="s">
        <v>4110</v>
      </c>
      <c r="Y491" s="484">
        <v>44319</v>
      </c>
      <c r="Z491" s="484">
        <v>44319</v>
      </c>
      <c r="AA491" s="484">
        <v>44545</v>
      </c>
      <c r="AB491" s="486" t="s">
        <v>2548</v>
      </c>
      <c r="AC491" s="483" t="s">
        <v>4010</v>
      </c>
      <c r="AD491" s="486" t="s">
        <v>4111</v>
      </c>
      <c r="AE491" s="486" t="s">
        <v>4112</v>
      </c>
      <c r="AF491" s="473">
        <v>23250000</v>
      </c>
      <c r="AG491" s="474">
        <f t="shared" si="8"/>
        <v>0</v>
      </c>
      <c r="AM491" s="306">
        <v>2893333</v>
      </c>
    </row>
    <row r="492" spans="1:39" hidden="1" x14ac:dyDescent="0.35">
      <c r="A492" s="476" t="s">
        <v>2332</v>
      </c>
      <c r="B492" s="477">
        <v>42400000</v>
      </c>
      <c r="C492" s="212" t="s">
        <v>2544</v>
      </c>
      <c r="D492" s="478">
        <v>487</v>
      </c>
      <c r="E492" s="478">
        <v>20215000019803</v>
      </c>
      <c r="F492" s="479">
        <v>44295</v>
      </c>
      <c r="G492" s="478" t="s">
        <v>2538</v>
      </c>
      <c r="H492" s="212" t="s">
        <v>2539</v>
      </c>
      <c r="I492" s="210" t="s">
        <v>228</v>
      </c>
      <c r="J492" s="475">
        <v>42400000</v>
      </c>
      <c r="K492" s="212" t="s">
        <v>223</v>
      </c>
      <c r="L492" s="212" t="s">
        <v>283</v>
      </c>
      <c r="M492" s="212" t="s">
        <v>44</v>
      </c>
      <c r="N492" s="212" t="s">
        <v>45</v>
      </c>
      <c r="O492" s="212" t="s">
        <v>63</v>
      </c>
      <c r="P492" s="212" t="s">
        <v>674</v>
      </c>
      <c r="R492" s="212">
        <v>526</v>
      </c>
      <c r="S492" s="490">
        <v>44295</v>
      </c>
      <c r="T492" s="486" t="s">
        <v>4113</v>
      </c>
      <c r="U492" s="475">
        <f>42400000-12400000</f>
        <v>30000000</v>
      </c>
      <c r="V492" s="406">
        <v>12400000</v>
      </c>
      <c r="W492" s="362" t="s">
        <v>1428</v>
      </c>
      <c r="X492" s="483" t="s">
        <v>4114</v>
      </c>
      <c r="Y492" s="484">
        <v>44320</v>
      </c>
      <c r="Z492" s="484">
        <v>44320</v>
      </c>
      <c r="AA492" s="484">
        <v>44561</v>
      </c>
      <c r="AB492" s="486" t="s">
        <v>2548</v>
      </c>
      <c r="AC492" s="483" t="s">
        <v>3880</v>
      </c>
      <c r="AD492" s="486" t="s">
        <v>4115</v>
      </c>
      <c r="AE492" s="486" t="s">
        <v>4116</v>
      </c>
      <c r="AF492" s="473">
        <v>30000000</v>
      </c>
      <c r="AG492" s="474">
        <f t="shared" si="8"/>
        <v>0</v>
      </c>
      <c r="AM492" s="306">
        <v>3466667</v>
      </c>
    </row>
    <row r="493" spans="1:39" s="312" customFormat="1" hidden="1" x14ac:dyDescent="0.35">
      <c r="A493" s="380" t="s">
        <v>1726</v>
      </c>
      <c r="B493" s="421">
        <v>32000000</v>
      </c>
      <c r="C493" s="312" t="s">
        <v>2660</v>
      </c>
      <c r="D493" s="381">
        <v>488</v>
      </c>
      <c r="E493" s="381">
        <v>20215000019813</v>
      </c>
      <c r="F493" s="382">
        <v>44295</v>
      </c>
      <c r="G493" s="381" t="s">
        <v>2538</v>
      </c>
      <c r="H493" s="364" t="s">
        <v>2539</v>
      </c>
      <c r="I493" s="364" t="s">
        <v>228</v>
      </c>
      <c r="J493" s="408">
        <v>32000000</v>
      </c>
      <c r="K493" s="364" t="s">
        <v>223</v>
      </c>
      <c r="L493" s="364" t="s">
        <v>2656</v>
      </c>
      <c r="M493" s="364" t="s">
        <v>44</v>
      </c>
      <c r="N493" s="364" t="s">
        <v>45</v>
      </c>
      <c r="O493" s="364" t="s">
        <v>63</v>
      </c>
      <c r="P493" s="364" t="s">
        <v>674</v>
      </c>
      <c r="Q493" s="364"/>
      <c r="R493" s="364">
        <v>527</v>
      </c>
      <c r="S493" s="383">
        <v>44295</v>
      </c>
      <c r="T493" s="384" t="s">
        <v>4117</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x14ac:dyDescent="0.35">
      <c r="A494" s="476" t="s">
        <v>4118</v>
      </c>
      <c r="B494" s="477">
        <v>39975144</v>
      </c>
      <c r="C494" s="212" t="s">
        <v>2544</v>
      </c>
      <c r="D494" s="478">
        <v>489</v>
      </c>
      <c r="E494" s="309">
        <v>20213000020353</v>
      </c>
      <c r="F494" s="479">
        <v>44298</v>
      </c>
      <c r="G494" s="478" t="s">
        <v>2538</v>
      </c>
      <c r="H494" s="212" t="s">
        <v>2539</v>
      </c>
      <c r="I494" s="212" t="s">
        <v>432</v>
      </c>
      <c r="J494" s="475">
        <v>34800000</v>
      </c>
      <c r="K494" s="212" t="s">
        <v>342</v>
      </c>
      <c r="L494" s="212" t="s">
        <v>351</v>
      </c>
      <c r="M494" s="212" t="s">
        <v>44</v>
      </c>
      <c r="N494" s="212" t="s">
        <v>45</v>
      </c>
      <c r="O494" s="212" t="s">
        <v>63</v>
      </c>
      <c r="P494" s="212" t="s">
        <v>674</v>
      </c>
      <c r="R494" s="212">
        <v>531</v>
      </c>
      <c r="S494" s="490">
        <v>44299</v>
      </c>
      <c r="T494" s="486" t="s">
        <v>4119</v>
      </c>
      <c r="U494" s="475">
        <v>34800000</v>
      </c>
      <c r="V494" s="406"/>
      <c r="W494" s="362"/>
      <c r="X494" s="483" t="s">
        <v>4120</v>
      </c>
      <c r="Y494" s="484">
        <v>44335</v>
      </c>
      <c r="Z494" s="484">
        <v>44335</v>
      </c>
      <c r="AA494" s="484">
        <v>44519</v>
      </c>
      <c r="AB494" s="486" t="s">
        <v>2548</v>
      </c>
      <c r="AC494" s="483" t="s">
        <v>3422</v>
      </c>
      <c r="AD494" s="486" t="s">
        <v>4121</v>
      </c>
      <c r="AE494" s="486" t="s">
        <v>4122</v>
      </c>
      <c r="AF494" s="473">
        <v>34800000</v>
      </c>
      <c r="AG494" s="474">
        <f t="shared" si="8"/>
        <v>0</v>
      </c>
      <c r="AJ494" s="481"/>
      <c r="AM494" s="306">
        <v>2320000</v>
      </c>
    </row>
    <row r="495" spans="1:39" hidden="1" x14ac:dyDescent="0.35">
      <c r="A495" s="466" t="s">
        <v>2421</v>
      </c>
      <c r="B495" s="467">
        <v>61600000</v>
      </c>
      <c r="C495" s="212" t="s">
        <v>2544</v>
      </c>
      <c r="D495" s="469">
        <v>490</v>
      </c>
      <c r="E495" s="469">
        <v>20213000020363</v>
      </c>
      <c r="F495" s="470">
        <v>44298</v>
      </c>
      <c r="G495" s="469" t="s">
        <v>2538</v>
      </c>
      <c r="H495" s="468" t="s">
        <v>2539</v>
      </c>
      <c r="I495" s="468" t="s">
        <v>432</v>
      </c>
      <c r="J495" s="471">
        <v>46200000</v>
      </c>
      <c r="K495" s="468" t="s">
        <v>342</v>
      </c>
      <c r="L495" s="468" t="s">
        <v>351</v>
      </c>
      <c r="M495" s="468" t="s">
        <v>44</v>
      </c>
      <c r="N495" s="468" t="s">
        <v>45</v>
      </c>
      <c r="O495" s="468" t="s">
        <v>63</v>
      </c>
      <c r="P495" s="212" t="s">
        <v>674</v>
      </c>
      <c r="Q495" s="468"/>
      <c r="R495" s="468">
        <v>532</v>
      </c>
      <c r="S495" s="528">
        <v>44299</v>
      </c>
      <c r="T495" s="529" t="s">
        <v>4123</v>
      </c>
      <c r="U495" s="471">
        <v>46200000</v>
      </c>
      <c r="V495" s="414"/>
      <c r="W495" s="379"/>
      <c r="X495" s="483" t="s">
        <v>4124</v>
      </c>
      <c r="Y495" s="484">
        <v>44308</v>
      </c>
      <c r="Z495" s="484">
        <v>44308</v>
      </c>
      <c r="AA495" s="484">
        <v>44490</v>
      </c>
      <c r="AB495" s="485" t="s">
        <v>2548</v>
      </c>
      <c r="AC495" s="483" t="s">
        <v>3477</v>
      </c>
      <c r="AD495" s="485" t="s">
        <v>4125</v>
      </c>
      <c r="AE495" s="486" t="s">
        <v>4126</v>
      </c>
      <c r="AF495" s="473">
        <v>46200000</v>
      </c>
      <c r="AG495" s="474">
        <f t="shared" si="8"/>
        <v>0</v>
      </c>
      <c r="AI495" s="471"/>
      <c r="AJ495" s="471"/>
      <c r="AK495" s="471"/>
      <c r="AL495" s="471">
        <v>2310000</v>
      </c>
      <c r="AM495" s="306">
        <v>7700000</v>
      </c>
    </row>
    <row r="496" spans="1:39" hidden="1" x14ac:dyDescent="0.35">
      <c r="A496" s="476" t="s">
        <v>1738</v>
      </c>
      <c r="B496" s="477">
        <v>20800000</v>
      </c>
      <c r="C496" s="212" t="s">
        <v>2544</v>
      </c>
      <c r="D496" s="478">
        <v>491</v>
      </c>
      <c r="E496" s="478">
        <v>20215000019783</v>
      </c>
      <c r="F496" s="479">
        <v>44298</v>
      </c>
      <c r="G496" s="478" t="s">
        <v>2538</v>
      </c>
      <c r="H496" s="212" t="s">
        <v>2539</v>
      </c>
      <c r="I496" s="210" t="s">
        <v>228</v>
      </c>
      <c r="J496" s="475">
        <v>20800000</v>
      </c>
      <c r="K496" s="212" t="s">
        <v>288</v>
      </c>
      <c r="L496" s="212" t="s">
        <v>2634</v>
      </c>
      <c r="M496" s="212" t="s">
        <v>44</v>
      </c>
      <c r="N496" s="212" t="s">
        <v>45</v>
      </c>
      <c r="O496" s="212" t="s">
        <v>63</v>
      </c>
      <c r="P496" s="212" t="s">
        <v>674</v>
      </c>
      <c r="R496" s="212">
        <v>529</v>
      </c>
      <c r="S496" s="490">
        <v>44299</v>
      </c>
      <c r="T496" s="486" t="s">
        <v>4127</v>
      </c>
      <c r="U496" s="475">
        <f>20800000-7200000</f>
        <v>13600000</v>
      </c>
      <c r="V496" s="406">
        <v>7200000</v>
      </c>
      <c r="W496" s="362"/>
      <c r="X496" s="483" t="s">
        <v>4128</v>
      </c>
      <c r="Y496" s="484">
        <v>44306</v>
      </c>
      <c r="Z496" s="484">
        <v>44306</v>
      </c>
      <c r="AA496" s="484">
        <v>44550</v>
      </c>
      <c r="AB496" s="485" t="s">
        <v>2548</v>
      </c>
      <c r="AC496" s="483" t="s">
        <v>3769</v>
      </c>
      <c r="AD496" s="485" t="s">
        <v>4129</v>
      </c>
      <c r="AE496" s="486" t="s">
        <v>4130</v>
      </c>
      <c r="AF496" s="473">
        <v>13600000</v>
      </c>
      <c r="AG496" s="474">
        <f t="shared" si="8"/>
        <v>0</v>
      </c>
      <c r="AL496" s="475">
        <v>623333</v>
      </c>
      <c r="AM496" s="212"/>
    </row>
    <row r="497" spans="1:39" s="312" customFormat="1" hidden="1" x14ac:dyDescent="0.35">
      <c r="A497" s="361" t="s">
        <v>2023</v>
      </c>
      <c r="B497" s="417">
        <v>900000000</v>
      </c>
      <c r="C497" s="312" t="s">
        <v>4131</v>
      </c>
      <c r="D497" s="325">
        <v>492</v>
      </c>
      <c r="E497" s="325">
        <v>20215000020523</v>
      </c>
      <c r="F497" s="315">
        <v>44298</v>
      </c>
      <c r="G497" s="325" t="s">
        <v>2538</v>
      </c>
      <c r="H497" s="312" t="s">
        <v>2539</v>
      </c>
      <c r="I497" s="312" t="s">
        <v>228</v>
      </c>
      <c r="J497" s="405">
        <v>900000000</v>
      </c>
      <c r="K497" s="312" t="s">
        <v>223</v>
      </c>
      <c r="L497" s="312" t="s">
        <v>257</v>
      </c>
      <c r="M497" s="312" t="s">
        <v>44</v>
      </c>
      <c r="N497" s="312" t="s">
        <v>45</v>
      </c>
      <c r="O497" s="312" t="s">
        <v>46</v>
      </c>
      <c r="P497" s="312" t="s">
        <v>674</v>
      </c>
      <c r="R497" s="312">
        <v>534</v>
      </c>
      <c r="S497" s="363">
        <v>44299</v>
      </c>
      <c r="T497" s="360" t="s">
        <v>4132</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x14ac:dyDescent="0.35">
      <c r="A498" s="476" t="s">
        <v>2027</v>
      </c>
      <c r="B498" s="477">
        <v>28800000</v>
      </c>
      <c r="C498" s="212" t="s">
        <v>2544</v>
      </c>
      <c r="D498" s="478">
        <v>493</v>
      </c>
      <c r="E498" s="478">
        <v>20215000020513</v>
      </c>
      <c r="F498" s="479">
        <v>44298</v>
      </c>
      <c r="G498" s="478" t="s">
        <v>2538</v>
      </c>
      <c r="H498" s="212" t="s">
        <v>2539</v>
      </c>
      <c r="I498" s="210" t="s">
        <v>228</v>
      </c>
      <c r="J498" s="475">
        <v>28800000</v>
      </c>
      <c r="K498" s="212" t="s">
        <v>288</v>
      </c>
      <c r="L498" s="212" t="s">
        <v>2634</v>
      </c>
      <c r="M498" s="212" t="s">
        <v>44</v>
      </c>
      <c r="N498" s="212" t="s">
        <v>45</v>
      </c>
      <c r="O498" s="212" t="s">
        <v>63</v>
      </c>
      <c r="P498" s="212" t="s">
        <v>674</v>
      </c>
      <c r="R498" s="212">
        <v>533</v>
      </c>
      <c r="S498" s="490">
        <v>44299</v>
      </c>
      <c r="T498" s="486" t="s">
        <v>4133</v>
      </c>
      <c r="U498" s="475">
        <f>28800000-1800000</f>
        <v>27000000</v>
      </c>
      <c r="V498" s="406">
        <v>1800000</v>
      </c>
      <c r="W498" s="362" t="s">
        <v>1428</v>
      </c>
      <c r="X498" s="483" t="s">
        <v>4134</v>
      </c>
      <c r="Y498" s="484">
        <v>44322</v>
      </c>
      <c r="Z498" s="484">
        <v>44322</v>
      </c>
      <c r="AA498" s="484">
        <v>44561</v>
      </c>
      <c r="AB498" s="486" t="s">
        <v>2548</v>
      </c>
      <c r="AC498" s="483" t="s">
        <v>3445</v>
      </c>
      <c r="AD498" s="486" t="s">
        <v>4135</v>
      </c>
      <c r="AE498" s="486" t="s">
        <v>4136</v>
      </c>
      <c r="AF498" s="473">
        <v>27000000</v>
      </c>
      <c r="AG498" s="474">
        <f t="shared" si="8"/>
        <v>0</v>
      </c>
      <c r="AM498" s="306">
        <v>3000000</v>
      </c>
    </row>
    <row r="499" spans="1:39" hidden="1" x14ac:dyDescent="0.35">
      <c r="A499" s="466" t="s">
        <v>2097</v>
      </c>
      <c r="B499" s="467">
        <v>40000000</v>
      </c>
      <c r="C499" s="212" t="s">
        <v>2544</v>
      </c>
      <c r="D499" s="469">
        <v>494</v>
      </c>
      <c r="E499" s="469">
        <v>20211200020213</v>
      </c>
      <c r="F499" s="470">
        <v>44298</v>
      </c>
      <c r="G499" s="378" t="s">
        <v>2545</v>
      </c>
      <c r="H499" s="377" t="s">
        <v>2546</v>
      </c>
      <c r="I499" s="468" t="s">
        <v>143</v>
      </c>
      <c r="J499" s="424">
        <v>27500000</v>
      </c>
      <c r="K499" s="377" t="s">
        <v>138</v>
      </c>
      <c r="L499" s="377" t="s">
        <v>139</v>
      </c>
      <c r="M499" s="468" t="s">
        <v>44</v>
      </c>
      <c r="N499" s="468" t="s">
        <v>45</v>
      </c>
      <c r="O499" s="529" t="s">
        <v>46</v>
      </c>
      <c r="P499" s="468" t="s">
        <v>43</v>
      </c>
      <c r="Q499" s="468"/>
      <c r="R499" s="468">
        <v>530</v>
      </c>
      <c r="S499" s="528">
        <v>44299</v>
      </c>
      <c r="T499" s="529" t="s">
        <v>4137</v>
      </c>
      <c r="U499" s="471">
        <v>27500000</v>
      </c>
      <c r="V499" s="414"/>
      <c r="W499" s="379"/>
      <c r="X499" s="483" t="s">
        <v>4138</v>
      </c>
      <c r="Y499" s="484">
        <v>44306</v>
      </c>
      <c r="Z499" s="484">
        <v>44306</v>
      </c>
      <c r="AA499" s="484">
        <v>44458</v>
      </c>
      <c r="AB499" s="485" t="s">
        <v>2548</v>
      </c>
      <c r="AC499" s="483" t="s">
        <v>3243</v>
      </c>
      <c r="AD499" s="485" t="s">
        <v>4139</v>
      </c>
      <c r="AE499" s="486" t="s">
        <v>2587</v>
      </c>
      <c r="AF499" s="473">
        <v>27500000</v>
      </c>
      <c r="AG499" s="474">
        <f t="shared" si="8"/>
        <v>0</v>
      </c>
      <c r="AI499" s="471"/>
      <c r="AJ499" s="471"/>
      <c r="AK499" s="471"/>
      <c r="AL499" s="471">
        <v>2016667</v>
      </c>
      <c r="AM499" s="306">
        <v>5500000</v>
      </c>
    </row>
    <row r="500" spans="1:39" hidden="1" x14ac:dyDescent="0.35">
      <c r="A500" s="476" t="s">
        <v>2028</v>
      </c>
      <c r="B500" s="477">
        <v>20000000</v>
      </c>
      <c r="C500" s="212" t="s">
        <v>2544</v>
      </c>
      <c r="D500" s="478">
        <v>495</v>
      </c>
      <c r="E500" s="478">
        <v>20215000020583</v>
      </c>
      <c r="F500" s="479">
        <v>44298</v>
      </c>
      <c r="G500" s="478" t="s">
        <v>2538</v>
      </c>
      <c r="H500" s="212" t="s">
        <v>2539</v>
      </c>
      <c r="I500" s="210" t="s">
        <v>228</v>
      </c>
      <c r="J500" s="475">
        <v>20000000</v>
      </c>
      <c r="K500" s="212" t="s">
        <v>288</v>
      </c>
      <c r="L500" s="212" t="s">
        <v>2634</v>
      </c>
      <c r="M500" s="212" t="s">
        <v>44</v>
      </c>
      <c r="N500" s="212" t="s">
        <v>45</v>
      </c>
      <c r="O500" s="212" t="s">
        <v>63</v>
      </c>
      <c r="P500" s="212" t="s">
        <v>674</v>
      </c>
      <c r="R500" s="212">
        <v>535</v>
      </c>
      <c r="S500" s="490">
        <v>44299</v>
      </c>
      <c r="T500" s="486" t="s">
        <v>4140</v>
      </c>
      <c r="U500" s="475">
        <f>20000000-20000</f>
        <v>19980000</v>
      </c>
      <c r="V500" s="406">
        <v>20000</v>
      </c>
      <c r="W500" s="362"/>
      <c r="X500" s="483" t="s">
        <v>4141</v>
      </c>
      <c r="Y500" s="484">
        <v>44306</v>
      </c>
      <c r="Z500" s="484">
        <v>44306</v>
      </c>
      <c r="AA500" s="484">
        <v>44545</v>
      </c>
      <c r="AB500" s="485" t="s">
        <v>2548</v>
      </c>
      <c r="AC500" s="483" t="s">
        <v>3740</v>
      </c>
      <c r="AD500" s="485" t="s">
        <v>4142</v>
      </c>
      <c r="AE500" s="486" t="s">
        <v>4143</v>
      </c>
      <c r="AF500" s="473">
        <v>19980000</v>
      </c>
      <c r="AG500" s="474">
        <f t="shared" si="8"/>
        <v>0</v>
      </c>
      <c r="AL500" s="475">
        <v>990000</v>
      </c>
      <c r="AM500" s="306">
        <v>2700000</v>
      </c>
    </row>
    <row r="501" spans="1:39" hidden="1" x14ac:dyDescent="0.35">
      <c r="A501" s="476" t="s">
        <v>2240</v>
      </c>
      <c r="B501" s="477">
        <v>81000000</v>
      </c>
      <c r="C501" s="212" t="s">
        <v>2544</v>
      </c>
      <c r="D501" s="478">
        <v>496</v>
      </c>
      <c r="E501" s="478">
        <v>20216000020743</v>
      </c>
      <c r="F501" s="479">
        <v>44299</v>
      </c>
      <c r="G501" s="478" t="s">
        <v>2545</v>
      </c>
      <c r="H501" s="212" t="s">
        <v>2546</v>
      </c>
      <c r="I501" s="212" t="s">
        <v>214</v>
      </c>
      <c r="J501" s="475">
        <v>81000000</v>
      </c>
      <c r="K501" s="212" t="s">
        <v>138</v>
      </c>
      <c r="L501" s="212" t="s">
        <v>139</v>
      </c>
      <c r="M501" s="212" t="s">
        <v>44</v>
      </c>
      <c r="N501" s="212" t="s">
        <v>45</v>
      </c>
      <c r="O501" s="212" t="s">
        <v>142</v>
      </c>
      <c r="P501" s="212" t="s">
        <v>43</v>
      </c>
      <c r="R501" s="212">
        <v>538</v>
      </c>
      <c r="S501" s="490">
        <v>44299</v>
      </c>
      <c r="T501" s="486" t="s">
        <v>4144</v>
      </c>
      <c r="U501" s="475">
        <v>81000000</v>
      </c>
      <c r="V501" s="406"/>
      <c r="W501" s="362"/>
      <c r="X501" s="483" t="s">
        <v>4145</v>
      </c>
      <c r="Y501" s="484">
        <v>44307</v>
      </c>
      <c r="Z501" s="484">
        <v>44307</v>
      </c>
      <c r="AA501" s="484">
        <v>44550</v>
      </c>
      <c r="AB501" s="485" t="s">
        <v>2548</v>
      </c>
      <c r="AC501" s="483" t="s">
        <v>3113</v>
      </c>
      <c r="AD501" s="485" t="s">
        <v>4146</v>
      </c>
      <c r="AE501" s="486" t="s">
        <v>4147</v>
      </c>
      <c r="AF501" s="473">
        <v>72000000</v>
      </c>
      <c r="AG501" s="474">
        <f t="shared" si="8"/>
        <v>9000000</v>
      </c>
      <c r="AL501" s="475">
        <v>3000000</v>
      </c>
      <c r="AM501" s="306">
        <v>9000000</v>
      </c>
    </row>
    <row r="502" spans="1:39" hidden="1" x14ac:dyDescent="0.35">
      <c r="A502" s="476" t="s">
        <v>2475</v>
      </c>
      <c r="B502" s="477">
        <v>35550000</v>
      </c>
      <c r="C502" s="212" t="s">
        <v>2544</v>
      </c>
      <c r="D502" s="478">
        <v>497</v>
      </c>
      <c r="E502" s="478">
        <v>20214000020873</v>
      </c>
      <c r="F502" s="479">
        <v>44299</v>
      </c>
      <c r="G502" s="478" t="s">
        <v>2578</v>
      </c>
      <c r="H502" s="212" t="s">
        <v>2579</v>
      </c>
      <c r="I502" s="212" t="s">
        <v>47</v>
      </c>
      <c r="J502" s="475">
        <v>23700000</v>
      </c>
      <c r="K502" s="212" t="s">
        <v>37</v>
      </c>
      <c r="L502" s="212" t="s">
        <v>2580</v>
      </c>
      <c r="M502" s="212" t="s">
        <v>44</v>
      </c>
      <c r="N502" s="212" t="s">
        <v>45</v>
      </c>
      <c r="O502" s="212" t="s">
        <v>310</v>
      </c>
      <c r="P502" s="212" t="s">
        <v>43</v>
      </c>
      <c r="R502" s="212">
        <v>539</v>
      </c>
      <c r="S502" s="490">
        <v>44299</v>
      </c>
      <c r="T502" s="486" t="s">
        <v>4148</v>
      </c>
      <c r="U502" s="475">
        <v>23700000</v>
      </c>
      <c r="V502" s="406"/>
      <c r="W502" s="362"/>
      <c r="X502" s="483" t="s">
        <v>4149</v>
      </c>
      <c r="Y502" s="484">
        <v>44315</v>
      </c>
      <c r="Z502" s="484">
        <v>44315</v>
      </c>
      <c r="AA502" s="484">
        <v>44497</v>
      </c>
      <c r="AB502" s="485" t="s">
        <v>2548</v>
      </c>
      <c r="AC502" s="483" t="s">
        <v>3178</v>
      </c>
      <c r="AD502" s="485" t="s">
        <v>4150</v>
      </c>
      <c r="AE502" s="486" t="s">
        <v>4151</v>
      </c>
      <c r="AF502" s="473">
        <v>23700000</v>
      </c>
      <c r="AG502" s="474">
        <f t="shared" si="8"/>
        <v>0</v>
      </c>
      <c r="AM502" s="306">
        <v>4213333</v>
      </c>
    </row>
    <row r="503" spans="1:39" hidden="1" x14ac:dyDescent="0.35">
      <c r="A503" s="476" t="s">
        <v>2021</v>
      </c>
      <c r="B503" s="477">
        <v>38250000</v>
      </c>
      <c r="C503" s="212" t="s">
        <v>2544</v>
      </c>
      <c r="D503" s="478">
        <v>498</v>
      </c>
      <c r="E503" s="478">
        <v>20212000020623</v>
      </c>
      <c r="F503" s="479">
        <v>44299</v>
      </c>
      <c r="G503" s="478" t="s">
        <v>2538</v>
      </c>
      <c r="H503" s="212" t="s">
        <v>2539</v>
      </c>
      <c r="I503" s="212" t="s">
        <v>391</v>
      </c>
      <c r="J503" s="475">
        <v>36000000</v>
      </c>
      <c r="K503" s="210" t="s">
        <v>2609</v>
      </c>
      <c r="L503" s="212" t="s">
        <v>2610</v>
      </c>
      <c r="M503" s="210" t="s">
        <v>44</v>
      </c>
      <c r="N503" s="210" t="s">
        <v>45</v>
      </c>
      <c r="O503" s="212" t="s">
        <v>63</v>
      </c>
      <c r="P503" s="212" t="s">
        <v>674</v>
      </c>
      <c r="R503" s="212">
        <v>536</v>
      </c>
      <c r="S503" s="490">
        <v>44299</v>
      </c>
      <c r="T503" s="486" t="s">
        <v>4152</v>
      </c>
      <c r="U503" s="475">
        <v>36000000</v>
      </c>
      <c r="V503" s="406"/>
      <c r="W503" s="362"/>
      <c r="X503" s="483" t="s">
        <v>4153</v>
      </c>
      <c r="Y503" s="484">
        <v>44320</v>
      </c>
      <c r="Z503" s="484">
        <v>44320</v>
      </c>
      <c r="AA503" s="484">
        <v>44561</v>
      </c>
      <c r="AB503" s="486" t="s">
        <v>2548</v>
      </c>
      <c r="AC503" s="483" t="s">
        <v>3343</v>
      </c>
      <c r="AD503" s="486" t="s">
        <v>4154</v>
      </c>
      <c r="AE503" s="486" t="s">
        <v>4155</v>
      </c>
      <c r="AF503" s="473">
        <v>36000000</v>
      </c>
      <c r="AG503" s="474">
        <f t="shared" si="8"/>
        <v>0</v>
      </c>
      <c r="AM503" s="306">
        <v>3900000</v>
      </c>
    </row>
    <row r="504" spans="1:39" hidden="1" x14ac:dyDescent="0.35">
      <c r="A504" s="466" t="s">
        <v>1638</v>
      </c>
      <c r="B504" s="467">
        <v>23162500</v>
      </c>
      <c r="C504" s="212" t="s">
        <v>2544</v>
      </c>
      <c r="D504" s="469">
        <v>499</v>
      </c>
      <c r="E504" s="469">
        <v>20212000020753</v>
      </c>
      <c r="F504" s="470">
        <v>44299</v>
      </c>
      <c r="G504" s="469" t="s">
        <v>2538</v>
      </c>
      <c r="H504" s="468" t="s">
        <v>2539</v>
      </c>
      <c r="I504" s="468" t="s">
        <v>391</v>
      </c>
      <c r="J504" s="471">
        <v>21800000</v>
      </c>
      <c r="K504" s="377" t="s">
        <v>2609</v>
      </c>
      <c r="L504" s="468" t="s">
        <v>2610</v>
      </c>
      <c r="M504" s="377" t="s">
        <v>44</v>
      </c>
      <c r="N504" s="377" t="s">
        <v>45</v>
      </c>
      <c r="O504" s="468" t="s">
        <v>63</v>
      </c>
      <c r="P504" s="212" t="s">
        <v>674</v>
      </c>
      <c r="Q504" s="468"/>
      <c r="R504" s="468">
        <v>537</v>
      </c>
      <c r="S504" s="528">
        <v>44299</v>
      </c>
      <c r="T504" s="529" t="s">
        <v>4156</v>
      </c>
      <c r="U504" s="471">
        <v>21800000</v>
      </c>
      <c r="V504" s="414"/>
      <c r="W504" s="379"/>
      <c r="X504" s="483" t="s">
        <v>4157</v>
      </c>
      <c r="Y504" s="484">
        <v>44308</v>
      </c>
      <c r="Z504" s="484">
        <v>44308</v>
      </c>
      <c r="AA504" s="484">
        <v>44551</v>
      </c>
      <c r="AB504" s="485" t="s">
        <v>2548</v>
      </c>
      <c r="AC504" s="483" t="s">
        <v>4158</v>
      </c>
      <c r="AD504" s="485" t="s">
        <v>4159</v>
      </c>
      <c r="AE504" s="486" t="s">
        <v>4160</v>
      </c>
      <c r="AF504" s="473">
        <v>21800000</v>
      </c>
      <c r="AG504" s="474">
        <f t="shared" si="8"/>
        <v>0</v>
      </c>
      <c r="AI504" s="471"/>
      <c r="AJ504" s="471"/>
      <c r="AK504" s="471"/>
      <c r="AL504" s="471">
        <v>817500</v>
      </c>
      <c r="AM504" s="306">
        <v>2725000</v>
      </c>
    </row>
    <row r="505" spans="1:39" hidden="1" x14ac:dyDescent="0.35">
      <c r="A505" s="476" t="s">
        <v>2295</v>
      </c>
      <c r="B505" s="477">
        <v>29700000</v>
      </c>
      <c r="C505" s="212" t="s">
        <v>2544</v>
      </c>
      <c r="D505" s="478">
        <v>500</v>
      </c>
      <c r="E505" s="478">
        <v>20216000020943</v>
      </c>
      <c r="F505" s="479">
        <v>44299</v>
      </c>
      <c r="G505" s="478" t="s">
        <v>2545</v>
      </c>
      <c r="H505" s="212" t="s">
        <v>2546</v>
      </c>
      <c r="I505" s="212" t="s">
        <v>214</v>
      </c>
      <c r="J505" s="475">
        <v>24300000</v>
      </c>
      <c r="K505" s="212" t="s">
        <v>138</v>
      </c>
      <c r="L505" s="212" t="s">
        <v>139</v>
      </c>
      <c r="M505" s="212" t="s">
        <v>44</v>
      </c>
      <c r="N505" s="212" t="s">
        <v>45</v>
      </c>
      <c r="O505" s="212" t="s">
        <v>142</v>
      </c>
      <c r="P505" s="212" t="s">
        <v>43</v>
      </c>
      <c r="R505" s="212">
        <v>540</v>
      </c>
      <c r="S505" s="490">
        <v>44299</v>
      </c>
      <c r="T505" s="486" t="s">
        <v>4161</v>
      </c>
      <c r="U505" s="475">
        <v>24300000</v>
      </c>
      <c r="V505" s="406"/>
      <c r="W505" s="362"/>
      <c r="X505" s="483" t="s">
        <v>4162</v>
      </c>
      <c r="Y505" s="484">
        <v>44302</v>
      </c>
      <c r="Z505" s="484">
        <v>44302</v>
      </c>
      <c r="AA505" s="484">
        <v>44546</v>
      </c>
      <c r="AB505" s="485" t="s">
        <v>2548</v>
      </c>
      <c r="AC505" s="483" t="s">
        <v>4163</v>
      </c>
      <c r="AD505" s="485" t="s">
        <v>4164</v>
      </c>
      <c r="AE505" s="486" t="s">
        <v>4165</v>
      </c>
      <c r="AF505" s="473">
        <v>21600000</v>
      </c>
      <c r="AG505" s="474">
        <f t="shared" si="8"/>
        <v>2700000</v>
      </c>
      <c r="AL505" s="475">
        <v>1080000</v>
      </c>
      <c r="AM505" s="306">
        <v>2700000</v>
      </c>
    </row>
    <row r="506" spans="1:39" hidden="1" x14ac:dyDescent="0.35">
      <c r="A506" s="476" t="s">
        <v>2275</v>
      </c>
      <c r="B506" s="477">
        <v>36784368</v>
      </c>
      <c r="C506" s="212" t="s">
        <v>2544</v>
      </c>
      <c r="D506" s="478">
        <v>501</v>
      </c>
      <c r="E506" s="478">
        <v>20217000021143</v>
      </c>
      <c r="F506" s="479">
        <v>44300</v>
      </c>
      <c r="G506" s="478" t="s">
        <v>2545</v>
      </c>
      <c r="H506" s="212" t="s">
        <v>2546</v>
      </c>
      <c r="I506" s="212" t="s">
        <v>164</v>
      </c>
      <c r="J506" s="475">
        <v>24530202</v>
      </c>
      <c r="K506" s="212" t="s">
        <v>138</v>
      </c>
      <c r="L506" s="212" t="s">
        <v>139</v>
      </c>
      <c r="M506" s="212" t="s">
        <v>44</v>
      </c>
      <c r="N506" s="212" t="s">
        <v>45</v>
      </c>
      <c r="O506" s="212" t="s">
        <v>142</v>
      </c>
      <c r="P506" s="212" t="s">
        <v>43</v>
      </c>
      <c r="R506" s="212">
        <v>544</v>
      </c>
      <c r="S506" s="490">
        <v>44301</v>
      </c>
      <c r="T506" s="486" t="s">
        <v>4166</v>
      </c>
      <c r="U506" s="475">
        <v>24530202</v>
      </c>
      <c r="V506" s="406"/>
      <c r="W506" s="362"/>
      <c r="X506" s="483" t="s">
        <v>4167</v>
      </c>
      <c r="Y506" s="484">
        <v>44314</v>
      </c>
      <c r="Z506" s="484">
        <v>44314</v>
      </c>
      <c r="AA506" s="484">
        <v>44496</v>
      </c>
      <c r="AB506" s="485" t="s">
        <v>2548</v>
      </c>
      <c r="AC506" s="483" t="s">
        <v>3914</v>
      </c>
      <c r="AD506" s="485" t="s">
        <v>4168</v>
      </c>
      <c r="AE506" s="486" t="s">
        <v>2705</v>
      </c>
      <c r="AF506" s="473">
        <v>24530202</v>
      </c>
      <c r="AG506" s="474">
        <f t="shared" si="8"/>
        <v>0</v>
      </c>
      <c r="AM506" s="212"/>
    </row>
    <row r="507" spans="1:39" hidden="1" x14ac:dyDescent="0.35">
      <c r="A507" s="476" t="s">
        <v>1871</v>
      </c>
      <c r="B507" s="477">
        <v>40883670</v>
      </c>
      <c r="C507" s="212" t="s">
        <v>2544</v>
      </c>
      <c r="D507" s="478">
        <v>502</v>
      </c>
      <c r="E507" s="478">
        <v>20217000021073</v>
      </c>
      <c r="F507" s="479">
        <v>44300</v>
      </c>
      <c r="G507" s="478" t="s">
        <v>2545</v>
      </c>
      <c r="H507" s="212" t="s">
        <v>2546</v>
      </c>
      <c r="I507" s="212" t="s">
        <v>164</v>
      </c>
      <c r="J507" s="475">
        <v>16353468</v>
      </c>
      <c r="K507" s="212" t="s">
        <v>138</v>
      </c>
      <c r="L507" s="212" t="s">
        <v>139</v>
      </c>
      <c r="M507" s="212" t="s">
        <v>44</v>
      </c>
      <c r="N507" s="212" t="s">
        <v>45</v>
      </c>
      <c r="O507" s="212" t="s">
        <v>142</v>
      </c>
      <c r="P507" s="212" t="s">
        <v>43</v>
      </c>
      <c r="R507" s="212">
        <v>543</v>
      </c>
      <c r="S507" s="490">
        <v>44301</v>
      </c>
      <c r="T507" s="486" t="s">
        <v>4169</v>
      </c>
      <c r="U507" s="475">
        <v>16353468</v>
      </c>
      <c r="V507" s="406"/>
      <c r="W507" s="362"/>
      <c r="X507" s="483" t="s">
        <v>4170</v>
      </c>
      <c r="Y507" s="484">
        <v>44315</v>
      </c>
      <c r="Z507" s="484">
        <v>44315</v>
      </c>
      <c r="AA507" s="484">
        <v>44436</v>
      </c>
      <c r="AB507" s="485" t="s">
        <v>2548</v>
      </c>
      <c r="AC507" s="483" t="s">
        <v>3594</v>
      </c>
      <c r="AD507" s="485" t="s">
        <v>4171</v>
      </c>
      <c r="AE507" s="486" t="s">
        <v>3173</v>
      </c>
      <c r="AF507" s="473">
        <v>16353468</v>
      </c>
      <c r="AG507" s="474">
        <f t="shared" si="8"/>
        <v>0</v>
      </c>
      <c r="AM507" s="306">
        <v>4360925</v>
      </c>
    </row>
    <row r="508" spans="1:39" s="312" customFormat="1" hidden="1" x14ac:dyDescent="0.35">
      <c r="A508" s="361" t="s">
        <v>1870</v>
      </c>
      <c r="B508" s="417">
        <v>63000000</v>
      </c>
      <c r="C508" s="312" t="s">
        <v>2660</v>
      </c>
      <c r="D508" s="325">
        <v>503</v>
      </c>
      <c r="E508" s="325">
        <v>20217000021483</v>
      </c>
      <c r="F508" s="315">
        <v>44301</v>
      </c>
      <c r="G508" s="325" t="s">
        <v>2545</v>
      </c>
      <c r="H508" s="312" t="s">
        <v>2546</v>
      </c>
      <c r="I508" s="312" t="s">
        <v>164</v>
      </c>
      <c r="J508" s="405">
        <v>49100000</v>
      </c>
      <c r="K508" s="312" t="s">
        <v>138</v>
      </c>
      <c r="L508" s="312" t="s">
        <v>139</v>
      </c>
      <c r="M508" s="312" t="s">
        <v>44</v>
      </c>
      <c r="N508" s="312" t="s">
        <v>45</v>
      </c>
      <c r="O508" s="312" t="s">
        <v>142</v>
      </c>
      <c r="P508" s="312" t="s">
        <v>43</v>
      </c>
      <c r="R508" s="312">
        <v>549</v>
      </c>
      <c r="S508" s="363">
        <v>44302</v>
      </c>
      <c r="T508" s="360" t="s">
        <v>4172</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x14ac:dyDescent="0.35">
      <c r="A509" s="476" t="s">
        <v>1819</v>
      </c>
      <c r="B509" s="477">
        <v>34967856</v>
      </c>
      <c r="C509" s="212" t="s">
        <v>2544</v>
      </c>
      <c r="D509" s="478">
        <v>504</v>
      </c>
      <c r="E509" s="478">
        <v>20217000021493</v>
      </c>
      <c r="F509" s="479">
        <v>44301</v>
      </c>
      <c r="G509" s="478" t="s">
        <v>2545</v>
      </c>
      <c r="H509" s="212" t="s">
        <v>2546</v>
      </c>
      <c r="I509" s="212" t="s">
        <v>164</v>
      </c>
      <c r="J509" s="475">
        <v>13000000</v>
      </c>
      <c r="K509" s="212" t="s">
        <v>138</v>
      </c>
      <c r="L509" s="212" t="s">
        <v>139</v>
      </c>
      <c r="M509" s="212" t="s">
        <v>44</v>
      </c>
      <c r="N509" s="212" t="s">
        <v>45</v>
      </c>
      <c r="O509" s="212" t="s">
        <v>142</v>
      </c>
      <c r="P509" s="212" t="s">
        <v>43</v>
      </c>
      <c r="R509" s="212">
        <v>550</v>
      </c>
      <c r="S509" s="490">
        <v>44302</v>
      </c>
      <c r="T509" s="486" t="s">
        <v>4173</v>
      </c>
      <c r="U509" s="475">
        <v>13000000</v>
      </c>
      <c r="V509" s="406"/>
      <c r="W509" s="362"/>
      <c r="X509" s="483" t="s">
        <v>4174</v>
      </c>
      <c r="Y509" s="484">
        <v>44312</v>
      </c>
      <c r="Z509" s="484">
        <v>44312</v>
      </c>
      <c r="AA509" s="484">
        <v>44434</v>
      </c>
      <c r="AB509" s="485" t="s">
        <v>2548</v>
      </c>
      <c r="AC509" s="483" t="s">
        <v>3746</v>
      </c>
      <c r="AD509" s="485" t="s">
        <v>4175</v>
      </c>
      <c r="AE509" s="486" t="s">
        <v>4176</v>
      </c>
      <c r="AF509" s="473">
        <v>12719364</v>
      </c>
      <c r="AG509" s="474">
        <f t="shared" si="8"/>
        <v>280636</v>
      </c>
      <c r="AM509" s="306">
        <v>3709815</v>
      </c>
    </row>
    <row r="510" spans="1:39" hidden="1" x14ac:dyDescent="0.35">
      <c r="A510" s="476" t="s">
        <v>2359</v>
      </c>
      <c r="B510" s="477">
        <v>45000000</v>
      </c>
      <c r="C510" s="212" t="s">
        <v>2544</v>
      </c>
      <c r="D510" s="478">
        <v>505</v>
      </c>
      <c r="E510" s="478">
        <v>20213000021253</v>
      </c>
      <c r="F510" s="479">
        <v>44301</v>
      </c>
      <c r="G510" s="478" t="s">
        <v>2538</v>
      </c>
      <c r="H510" s="212" t="s">
        <v>2539</v>
      </c>
      <c r="I510" s="212" t="s">
        <v>432</v>
      </c>
      <c r="J510" s="475">
        <v>29981358</v>
      </c>
      <c r="K510" s="212" t="s">
        <v>342</v>
      </c>
      <c r="L510" s="212" t="s">
        <v>351</v>
      </c>
      <c r="M510" s="212" t="s">
        <v>44</v>
      </c>
      <c r="N510" s="212" t="s">
        <v>45</v>
      </c>
      <c r="O510" s="212" t="s">
        <v>63</v>
      </c>
      <c r="P510" s="212" t="s">
        <v>674</v>
      </c>
      <c r="R510" s="212">
        <v>546</v>
      </c>
      <c r="S510" s="490">
        <v>44302</v>
      </c>
      <c r="T510" s="486" t="s">
        <v>4177</v>
      </c>
      <c r="U510" s="475">
        <v>29981358</v>
      </c>
      <c r="V510" s="406"/>
      <c r="W510" s="362"/>
      <c r="X510" s="483" t="s">
        <v>4178</v>
      </c>
      <c r="Y510" s="484">
        <v>44315</v>
      </c>
      <c r="Z510" s="484">
        <v>44315</v>
      </c>
      <c r="AA510" s="484">
        <v>44497</v>
      </c>
      <c r="AB510" s="485" t="s">
        <v>2548</v>
      </c>
      <c r="AC510" s="483" t="s">
        <v>3759</v>
      </c>
      <c r="AD510" s="485" t="s">
        <v>4179</v>
      </c>
      <c r="AE510" s="486" t="s">
        <v>4180</v>
      </c>
      <c r="AF510" s="473">
        <v>29981358</v>
      </c>
      <c r="AG510" s="474">
        <f t="shared" si="8"/>
        <v>0</v>
      </c>
      <c r="AM510" s="306">
        <v>5330019</v>
      </c>
    </row>
    <row r="511" spans="1:39" hidden="1" x14ac:dyDescent="0.35">
      <c r="A511" s="476" t="s">
        <v>2360</v>
      </c>
      <c r="B511" s="477">
        <v>42000000</v>
      </c>
      <c r="C511" s="212" t="s">
        <v>2544</v>
      </c>
      <c r="D511" s="478">
        <v>506</v>
      </c>
      <c r="E511" s="478">
        <v>20213000021263</v>
      </c>
      <c r="F511" s="479">
        <v>44301</v>
      </c>
      <c r="G511" s="478" t="s">
        <v>2538</v>
      </c>
      <c r="H511" s="212" t="s">
        <v>2539</v>
      </c>
      <c r="I511" s="212" t="s">
        <v>432</v>
      </c>
      <c r="J511" s="475">
        <v>29981358</v>
      </c>
      <c r="K511" s="212" t="s">
        <v>342</v>
      </c>
      <c r="L511" s="212" t="s">
        <v>351</v>
      </c>
      <c r="M511" s="212" t="s">
        <v>44</v>
      </c>
      <c r="N511" s="212" t="s">
        <v>45</v>
      </c>
      <c r="O511" s="212" t="s">
        <v>63</v>
      </c>
      <c r="P511" s="212" t="s">
        <v>674</v>
      </c>
      <c r="R511" s="212">
        <v>547</v>
      </c>
      <c r="S511" s="490">
        <v>44302</v>
      </c>
      <c r="T511" s="486" t="s">
        <v>4181</v>
      </c>
      <c r="U511" s="475">
        <v>29981358</v>
      </c>
      <c r="V511" s="406"/>
      <c r="W511" s="362"/>
      <c r="X511" s="483" t="s">
        <v>4182</v>
      </c>
      <c r="Y511" s="484">
        <v>44336</v>
      </c>
      <c r="Z511" s="484">
        <v>44336</v>
      </c>
      <c r="AA511" s="484">
        <v>44519</v>
      </c>
      <c r="AB511" s="486" t="s">
        <v>2548</v>
      </c>
      <c r="AC511" s="483" t="s">
        <v>3924</v>
      </c>
      <c r="AD511" s="486" t="s">
        <v>4183</v>
      </c>
      <c r="AE511" s="486" t="s">
        <v>4184</v>
      </c>
      <c r="AF511" s="473">
        <v>29981358</v>
      </c>
      <c r="AG511" s="474">
        <f t="shared" si="8"/>
        <v>0</v>
      </c>
      <c r="AM511" s="212"/>
    </row>
    <row r="512" spans="1:39" s="312" customFormat="1" hidden="1" x14ac:dyDescent="0.35">
      <c r="A512" s="380" t="s">
        <v>2363</v>
      </c>
      <c r="B512" s="421">
        <v>42000000</v>
      </c>
      <c r="C512" s="312" t="s">
        <v>2660</v>
      </c>
      <c r="D512" s="381">
        <v>507</v>
      </c>
      <c r="E512" s="381">
        <v>20213000021273</v>
      </c>
      <c r="F512" s="382">
        <v>44301</v>
      </c>
      <c r="G512" s="381" t="s">
        <v>2538</v>
      </c>
      <c r="H512" s="364" t="s">
        <v>2539</v>
      </c>
      <c r="I512" s="364" t="s">
        <v>432</v>
      </c>
      <c r="J512" s="408">
        <v>24000000</v>
      </c>
      <c r="K512" s="364" t="s">
        <v>342</v>
      </c>
      <c r="L512" s="364" t="s">
        <v>351</v>
      </c>
      <c r="M512" s="364" t="s">
        <v>44</v>
      </c>
      <c r="N512" s="364" t="s">
        <v>45</v>
      </c>
      <c r="O512" s="364" t="s">
        <v>63</v>
      </c>
      <c r="P512" s="364" t="s">
        <v>674</v>
      </c>
      <c r="Q512" s="364"/>
      <c r="R512" s="364">
        <v>548</v>
      </c>
      <c r="S512" s="383">
        <v>44302</v>
      </c>
      <c r="T512" s="384" t="s">
        <v>3824</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x14ac:dyDescent="0.35">
      <c r="A513" s="476" t="s">
        <v>2352</v>
      </c>
      <c r="B513" s="477">
        <v>20441835</v>
      </c>
      <c r="C513" s="212" t="s">
        <v>2544</v>
      </c>
      <c r="D513" s="478">
        <v>508</v>
      </c>
      <c r="E513" s="478">
        <v>20217000021603</v>
      </c>
      <c r="F513" s="479">
        <v>44302</v>
      </c>
      <c r="G513" s="478" t="s">
        <v>2545</v>
      </c>
      <c r="H513" s="212" t="s">
        <v>2546</v>
      </c>
      <c r="I513" s="212" t="s">
        <v>164</v>
      </c>
      <c r="J513" s="475">
        <v>20441835</v>
      </c>
      <c r="K513" s="212" t="s">
        <v>138</v>
      </c>
      <c r="L513" s="212" t="s">
        <v>139</v>
      </c>
      <c r="M513" s="212" t="s">
        <v>44</v>
      </c>
      <c r="N513" s="212" t="s">
        <v>45</v>
      </c>
      <c r="O513" s="212" t="s">
        <v>142</v>
      </c>
      <c r="P513" s="212" t="s">
        <v>43</v>
      </c>
      <c r="R513" s="212">
        <v>551</v>
      </c>
      <c r="S513" s="490">
        <v>44302</v>
      </c>
      <c r="T513" s="486" t="s">
        <v>4185</v>
      </c>
      <c r="U513" s="475">
        <v>20441835</v>
      </c>
      <c r="V513" s="406"/>
      <c r="W513" s="362"/>
      <c r="X513" s="483" t="s">
        <v>4186</v>
      </c>
      <c r="Y513" s="484">
        <v>44316</v>
      </c>
      <c r="Z513" s="484">
        <v>44316</v>
      </c>
      <c r="AA513" s="484">
        <v>44468</v>
      </c>
      <c r="AB513" s="485" t="s">
        <v>2548</v>
      </c>
      <c r="AC513" s="483" t="s">
        <v>2789</v>
      </c>
      <c r="AD513" s="485" t="s">
        <v>4187</v>
      </c>
      <c r="AE513" s="486" t="s">
        <v>2725</v>
      </c>
      <c r="AF513" s="473">
        <v>20441835</v>
      </c>
      <c r="AG513" s="474">
        <f t="shared" si="8"/>
        <v>0</v>
      </c>
      <c r="AM513" s="306">
        <v>4224645</v>
      </c>
    </row>
    <row r="514" spans="1:39" s="312" customFormat="1" hidden="1" x14ac:dyDescent="0.35">
      <c r="A514" s="361" t="s">
        <v>1868</v>
      </c>
      <c r="B514" s="417">
        <v>31798410</v>
      </c>
      <c r="C514" s="312" t="s">
        <v>2660</v>
      </c>
      <c r="D514" s="325">
        <v>509</v>
      </c>
      <c r="E514" s="325">
        <v>20217000021733</v>
      </c>
      <c r="F514" s="315">
        <v>44302</v>
      </c>
      <c r="G514" s="325" t="s">
        <v>2545</v>
      </c>
      <c r="H514" s="312" t="s">
        <v>2546</v>
      </c>
      <c r="I514" s="312" t="s">
        <v>164</v>
      </c>
      <c r="J514" s="405">
        <v>16353468</v>
      </c>
      <c r="K514" s="312" t="s">
        <v>138</v>
      </c>
      <c r="L514" s="312" t="s">
        <v>139</v>
      </c>
      <c r="M514" s="312" t="s">
        <v>44</v>
      </c>
      <c r="N514" s="312" t="s">
        <v>45</v>
      </c>
      <c r="O514" s="312" t="s">
        <v>142</v>
      </c>
      <c r="P514" s="312" t="s">
        <v>43</v>
      </c>
      <c r="R514" s="312">
        <v>553</v>
      </c>
      <c r="S514" s="363">
        <v>44302</v>
      </c>
      <c r="T514" s="360" t="s">
        <v>4188</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x14ac:dyDescent="0.35">
      <c r="A515" s="476" t="s">
        <v>1829</v>
      </c>
      <c r="B515" s="477">
        <v>31798410</v>
      </c>
      <c r="C515" s="212" t="s">
        <v>2544</v>
      </c>
      <c r="D515" s="478">
        <v>510</v>
      </c>
      <c r="E515" s="478">
        <v>20217000021753</v>
      </c>
      <c r="F515" s="479">
        <v>44302</v>
      </c>
      <c r="G515" s="478" t="s">
        <v>2545</v>
      </c>
      <c r="H515" s="212" t="s">
        <v>2546</v>
      </c>
      <c r="I515" s="212" t="s">
        <v>164</v>
      </c>
      <c r="J515" s="475">
        <v>25438728</v>
      </c>
      <c r="K515" s="212" t="s">
        <v>138</v>
      </c>
      <c r="L515" s="212" t="s">
        <v>139</v>
      </c>
      <c r="M515" s="212" t="s">
        <v>44</v>
      </c>
      <c r="N515" s="212" t="s">
        <v>45</v>
      </c>
      <c r="O515" s="212" t="s">
        <v>142</v>
      </c>
      <c r="P515" s="212" t="s">
        <v>43</v>
      </c>
      <c r="R515" s="212">
        <v>554</v>
      </c>
      <c r="S515" s="490">
        <v>44302</v>
      </c>
      <c r="T515" s="486" t="s">
        <v>4189</v>
      </c>
      <c r="U515" s="475">
        <v>25438728</v>
      </c>
      <c r="V515" s="406"/>
      <c r="W515" s="362"/>
      <c r="X515" s="483" t="s">
        <v>4190</v>
      </c>
      <c r="Y515" s="484">
        <v>44315</v>
      </c>
      <c r="Z515" s="484">
        <v>44315</v>
      </c>
      <c r="AA515" s="484">
        <v>44561</v>
      </c>
      <c r="AB515" s="485" t="s">
        <v>2548</v>
      </c>
      <c r="AC515" s="483" t="s">
        <v>3589</v>
      </c>
      <c r="AD515" s="485" t="s">
        <v>4191</v>
      </c>
      <c r="AE515" s="486" t="s">
        <v>2983</v>
      </c>
      <c r="AF515" s="473">
        <v>25438728</v>
      </c>
      <c r="AG515" s="474">
        <f t="shared" si="8"/>
        <v>0</v>
      </c>
      <c r="AM515" s="306">
        <v>3391830</v>
      </c>
    </row>
    <row r="516" spans="1:39" hidden="1" x14ac:dyDescent="0.35">
      <c r="A516" s="476" t="s">
        <v>1881</v>
      </c>
      <c r="B516" s="477">
        <v>53148771</v>
      </c>
      <c r="C516" s="212" t="s">
        <v>2544</v>
      </c>
      <c r="D516" s="478">
        <v>511</v>
      </c>
      <c r="E516" s="478">
        <v>20217000021803</v>
      </c>
      <c r="F516" s="479">
        <v>44302</v>
      </c>
      <c r="G516" s="478" t="s">
        <v>2545</v>
      </c>
      <c r="H516" s="212" t="s">
        <v>2546</v>
      </c>
      <c r="I516" s="212" t="s">
        <v>164</v>
      </c>
      <c r="J516" s="475">
        <v>35432514</v>
      </c>
      <c r="K516" s="212" t="s">
        <v>138</v>
      </c>
      <c r="L516" s="212" t="s">
        <v>139</v>
      </c>
      <c r="M516" s="212" t="s">
        <v>44</v>
      </c>
      <c r="N516" s="212" t="s">
        <v>45</v>
      </c>
      <c r="O516" s="212" t="s">
        <v>142</v>
      </c>
      <c r="P516" s="212" t="s">
        <v>43</v>
      </c>
      <c r="R516" s="212">
        <v>555</v>
      </c>
      <c r="S516" s="490">
        <v>44302</v>
      </c>
      <c r="T516" s="486" t="s">
        <v>3246</v>
      </c>
      <c r="U516" s="475">
        <v>35432514</v>
      </c>
      <c r="V516" s="406"/>
      <c r="W516" s="362"/>
      <c r="X516" s="483" t="s">
        <v>4192</v>
      </c>
      <c r="Y516" s="484">
        <v>44316</v>
      </c>
      <c r="Z516" s="484">
        <v>44316</v>
      </c>
      <c r="AA516" s="484">
        <v>44498</v>
      </c>
      <c r="AB516" s="485" t="s">
        <v>2548</v>
      </c>
      <c r="AC516" s="483" t="s">
        <v>3685</v>
      </c>
      <c r="AD516" s="485" t="s">
        <v>3140</v>
      </c>
      <c r="AE516" s="486" t="s">
        <v>3141</v>
      </c>
      <c r="AF516" s="473">
        <v>35432514</v>
      </c>
      <c r="AG516" s="474">
        <f t="shared" si="8"/>
        <v>0</v>
      </c>
      <c r="AM516" s="306">
        <v>5708572</v>
      </c>
    </row>
    <row r="517" spans="1:39" hidden="1" x14ac:dyDescent="0.35">
      <c r="A517" s="476" t="s">
        <v>2202</v>
      </c>
      <c r="B517" s="477">
        <v>90825000</v>
      </c>
      <c r="C517" s="212" t="s">
        <v>4193</v>
      </c>
      <c r="D517" s="478">
        <v>512</v>
      </c>
      <c r="E517" s="478">
        <v>20211400021713</v>
      </c>
      <c r="F517" s="479">
        <v>44302</v>
      </c>
      <c r="G517" s="478" t="s">
        <v>2545</v>
      </c>
      <c r="H517" s="212" t="s">
        <v>2546</v>
      </c>
      <c r="I517" s="212" t="s">
        <v>184</v>
      </c>
      <c r="J517" s="475">
        <v>64850000</v>
      </c>
      <c r="K517" s="212" t="s">
        <v>138</v>
      </c>
      <c r="L517" s="212" t="s">
        <v>2550</v>
      </c>
      <c r="M517" s="212" t="s">
        <v>2740</v>
      </c>
      <c r="N517" s="212" t="s">
        <v>157</v>
      </c>
      <c r="O517" s="212" t="s">
        <v>158</v>
      </c>
      <c r="P517" s="212" t="s">
        <v>43</v>
      </c>
      <c r="R517" s="486">
        <v>592</v>
      </c>
      <c r="S517" s="490">
        <v>44327</v>
      </c>
      <c r="T517" s="486" t="s">
        <v>4194</v>
      </c>
      <c r="U517" s="475">
        <f>64850000-26707098</f>
        <v>38142902</v>
      </c>
      <c r="V517" s="406">
        <v>26707098</v>
      </c>
      <c r="W517" s="362" t="s">
        <v>1428</v>
      </c>
      <c r="X517" s="308">
        <v>537</v>
      </c>
      <c r="Y517" s="472">
        <v>44335</v>
      </c>
      <c r="Z517" s="484">
        <v>44335</v>
      </c>
      <c r="AA517" s="484">
        <v>44514</v>
      </c>
      <c r="AB517" s="486" t="s">
        <v>2980</v>
      </c>
      <c r="AC517" s="483" t="s">
        <v>4195</v>
      </c>
      <c r="AD517" s="486" t="s">
        <v>4196</v>
      </c>
      <c r="AE517" s="486" t="s">
        <v>4197</v>
      </c>
      <c r="AF517" s="473">
        <v>38142902</v>
      </c>
      <c r="AG517" s="474">
        <f t="shared" si="8"/>
        <v>0</v>
      </c>
      <c r="AM517" s="212"/>
    </row>
    <row r="518" spans="1:39" hidden="1" x14ac:dyDescent="0.35">
      <c r="A518" s="476" t="s">
        <v>1958</v>
      </c>
      <c r="B518" s="477">
        <v>24000000</v>
      </c>
      <c r="C518" s="212" t="s">
        <v>2544</v>
      </c>
      <c r="D518" s="478">
        <v>513</v>
      </c>
      <c r="E518" s="478">
        <v>20213000022133</v>
      </c>
      <c r="F518" s="479">
        <v>44305</v>
      </c>
      <c r="G518" s="478" t="s">
        <v>2538</v>
      </c>
      <c r="H518" s="212" t="s">
        <v>2539</v>
      </c>
      <c r="I518" s="212" t="s">
        <v>432</v>
      </c>
      <c r="J518" s="475">
        <v>24000000</v>
      </c>
      <c r="K518" s="212" t="s">
        <v>342</v>
      </c>
      <c r="L518" s="212" t="s">
        <v>351</v>
      </c>
      <c r="M518" s="212" t="s">
        <v>44</v>
      </c>
      <c r="N518" s="212" t="s">
        <v>45</v>
      </c>
      <c r="O518" s="212" t="s">
        <v>63</v>
      </c>
      <c r="P518" s="212" t="s">
        <v>674</v>
      </c>
      <c r="R518" s="212">
        <v>564</v>
      </c>
      <c r="S518" s="490">
        <v>44305</v>
      </c>
      <c r="T518" s="486" t="s">
        <v>4198</v>
      </c>
      <c r="U518" s="475">
        <v>24000000</v>
      </c>
      <c r="V518" s="406"/>
      <c r="W518" s="362"/>
      <c r="X518" s="483" t="s">
        <v>4199</v>
      </c>
      <c r="Y518" s="484">
        <v>44319</v>
      </c>
      <c r="Z518" s="484">
        <v>44319</v>
      </c>
      <c r="AA518" s="484">
        <v>44502</v>
      </c>
      <c r="AB518" s="486" t="s">
        <v>2548</v>
      </c>
      <c r="AC518" s="483" t="s">
        <v>3717</v>
      </c>
      <c r="AD518" s="486" t="s">
        <v>4200</v>
      </c>
      <c r="AE518" s="486" t="s">
        <v>4201</v>
      </c>
      <c r="AF518" s="473">
        <v>24000000</v>
      </c>
      <c r="AG518" s="474">
        <f t="shared" si="8"/>
        <v>0</v>
      </c>
      <c r="AM518" s="306">
        <v>3733333</v>
      </c>
    </row>
    <row r="519" spans="1:39" hidden="1" x14ac:dyDescent="0.35">
      <c r="A519" s="466" t="s">
        <v>1789</v>
      </c>
      <c r="B519" s="467">
        <v>200000000</v>
      </c>
      <c r="C519" s="468" t="s">
        <v>4202</v>
      </c>
      <c r="D519" s="469">
        <v>514</v>
      </c>
      <c r="E519" s="469">
        <v>20213000021973</v>
      </c>
      <c r="F519" s="470">
        <v>44305</v>
      </c>
      <c r="G519" s="469" t="s">
        <v>2538</v>
      </c>
      <c r="H519" s="468" t="s">
        <v>2539</v>
      </c>
      <c r="I519" s="468" t="s">
        <v>432</v>
      </c>
      <c r="J519" s="471">
        <v>200000000</v>
      </c>
      <c r="K519" s="468" t="s">
        <v>358</v>
      </c>
      <c r="L519" s="468" t="s">
        <v>4203</v>
      </c>
      <c r="M519" s="468" t="s">
        <v>44</v>
      </c>
      <c r="N519" s="468" t="s">
        <v>45</v>
      </c>
      <c r="O519" s="212" t="s">
        <v>310</v>
      </c>
      <c r="P519" s="212" t="s">
        <v>674</v>
      </c>
      <c r="Q519" s="468"/>
      <c r="R519" s="468">
        <v>562</v>
      </c>
      <c r="S519" s="528">
        <v>44305</v>
      </c>
      <c r="T519" s="529" t="s">
        <v>4204</v>
      </c>
      <c r="U519" s="471">
        <v>200000000</v>
      </c>
      <c r="V519" s="414"/>
      <c r="W519" s="379"/>
      <c r="AG519" s="474">
        <f t="shared" si="8"/>
        <v>200000000</v>
      </c>
      <c r="AI519" s="471"/>
      <c r="AJ519" s="471"/>
      <c r="AK519" s="471"/>
      <c r="AL519" s="471"/>
      <c r="AM519" s="212"/>
    </row>
    <row r="520" spans="1:39" hidden="1" x14ac:dyDescent="0.35">
      <c r="A520" s="476" t="s">
        <v>1987</v>
      </c>
      <c r="B520" s="477">
        <v>34850000</v>
      </c>
      <c r="C520" s="212" t="s">
        <v>2544</v>
      </c>
      <c r="D520" s="478">
        <v>515</v>
      </c>
      <c r="E520" s="478">
        <v>20212000021873</v>
      </c>
      <c r="F520" s="479">
        <v>44305</v>
      </c>
      <c r="G520" s="478" t="s">
        <v>2538</v>
      </c>
      <c r="H520" s="212" t="s">
        <v>2539</v>
      </c>
      <c r="I520" s="212" t="s">
        <v>391</v>
      </c>
      <c r="J520" s="475">
        <v>20500000</v>
      </c>
      <c r="K520" s="210" t="s">
        <v>2609</v>
      </c>
      <c r="L520" s="212" t="s">
        <v>2610</v>
      </c>
      <c r="M520" s="210" t="s">
        <v>44</v>
      </c>
      <c r="N520" s="210" t="s">
        <v>45</v>
      </c>
      <c r="O520" s="212" t="s">
        <v>63</v>
      </c>
      <c r="P520" s="212" t="s">
        <v>674</v>
      </c>
      <c r="R520" s="212">
        <v>557</v>
      </c>
      <c r="S520" s="490">
        <v>44305</v>
      </c>
      <c r="T520" s="486" t="s">
        <v>4205</v>
      </c>
      <c r="U520" s="475">
        <v>20500000</v>
      </c>
      <c r="V520" s="406"/>
      <c r="W520" s="362"/>
      <c r="X520" s="483" t="s">
        <v>4206</v>
      </c>
      <c r="Y520" s="484">
        <v>44337</v>
      </c>
      <c r="Z520" s="484">
        <v>44337</v>
      </c>
      <c r="AA520" s="484">
        <v>44489</v>
      </c>
      <c r="AB520" s="486" t="s">
        <v>2548</v>
      </c>
      <c r="AC520" s="483" t="s">
        <v>3511</v>
      </c>
      <c r="AD520" s="486" t="s">
        <v>4207</v>
      </c>
      <c r="AE520" s="486" t="s">
        <v>4208</v>
      </c>
      <c r="AF520" s="473">
        <v>20500000</v>
      </c>
      <c r="AG520" s="474">
        <f t="shared" si="8"/>
        <v>0</v>
      </c>
      <c r="AM520" s="212"/>
    </row>
    <row r="521" spans="1:39" hidden="1" x14ac:dyDescent="0.35">
      <c r="A521" s="476" t="s">
        <v>2016</v>
      </c>
      <c r="B521" s="477">
        <v>34850000</v>
      </c>
      <c r="C521" s="212" t="s">
        <v>2544</v>
      </c>
      <c r="D521" s="478">
        <v>516</v>
      </c>
      <c r="E521" s="478">
        <v>20212000021893</v>
      </c>
      <c r="F521" s="479">
        <v>44305</v>
      </c>
      <c r="G521" s="478" t="s">
        <v>2538</v>
      </c>
      <c r="H521" s="212" t="s">
        <v>2539</v>
      </c>
      <c r="I521" s="212" t="s">
        <v>391</v>
      </c>
      <c r="J521" s="475">
        <v>20500000</v>
      </c>
      <c r="K521" s="210" t="s">
        <v>2609</v>
      </c>
      <c r="L521" s="212" t="s">
        <v>2610</v>
      </c>
      <c r="M521" s="210" t="s">
        <v>44</v>
      </c>
      <c r="N521" s="210" t="s">
        <v>45</v>
      </c>
      <c r="O521" s="212" t="s">
        <v>63</v>
      </c>
      <c r="P521" s="212" t="s">
        <v>674</v>
      </c>
      <c r="R521" s="212">
        <v>558</v>
      </c>
      <c r="S521" s="490">
        <v>44305</v>
      </c>
      <c r="T521" s="486" t="s">
        <v>4209</v>
      </c>
      <c r="U521" s="475">
        <v>20500000</v>
      </c>
      <c r="V521" s="406"/>
      <c r="W521" s="362"/>
      <c r="X521" s="483" t="s">
        <v>4210</v>
      </c>
      <c r="Y521" s="484">
        <v>44320</v>
      </c>
      <c r="Z521" s="484">
        <v>44320</v>
      </c>
      <c r="AA521" s="484">
        <v>44472</v>
      </c>
      <c r="AB521" s="486" t="s">
        <v>2548</v>
      </c>
      <c r="AC521" s="483" t="s">
        <v>4019</v>
      </c>
      <c r="AD521" s="486" t="s">
        <v>4211</v>
      </c>
      <c r="AE521" s="486" t="s">
        <v>4212</v>
      </c>
      <c r="AF521" s="473">
        <v>20500000</v>
      </c>
      <c r="AG521" s="474">
        <f t="shared" si="8"/>
        <v>0</v>
      </c>
      <c r="AM521" s="306">
        <v>3553333</v>
      </c>
    </row>
    <row r="522" spans="1:39" hidden="1" x14ac:dyDescent="0.35">
      <c r="A522" s="476" t="s">
        <v>1962</v>
      </c>
      <c r="B522" s="477">
        <v>34850000</v>
      </c>
      <c r="C522" s="212" t="s">
        <v>2544</v>
      </c>
      <c r="D522" s="478">
        <v>517</v>
      </c>
      <c r="E522" s="478">
        <v>20212000021913</v>
      </c>
      <c r="F522" s="479">
        <v>44305</v>
      </c>
      <c r="G522" s="478" t="s">
        <v>2538</v>
      </c>
      <c r="H522" s="212" t="s">
        <v>2539</v>
      </c>
      <c r="I522" s="212" t="s">
        <v>391</v>
      </c>
      <c r="J522" s="475">
        <v>20500000</v>
      </c>
      <c r="K522" s="210" t="s">
        <v>2609</v>
      </c>
      <c r="L522" s="212" t="s">
        <v>2610</v>
      </c>
      <c r="M522" s="210" t="s">
        <v>44</v>
      </c>
      <c r="N522" s="210" t="s">
        <v>45</v>
      </c>
      <c r="O522" s="212" t="s">
        <v>63</v>
      </c>
      <c r="P522" s="212" t="s">
        <v>674</v>
      </c>
      <c r="R522" s="212">
        <v>559</v>
      </c>
      <c r="S522" s="490">
        <v>44305</v>
      </c>
      <c r="T522" s="486" t="s">
        <v>4213</v>
      </c>
      <c r="U522" s="475">
        <v>20500000</v>
      </c>
      <c r="V522" s="406"/>
      <c r="W522" s="362"/>
      <c r="X522" s="483" t="s">
        <v>4214</v>
      </c>
      <c r="Y522" s="484">
        <v>44328</v>
      </c>
      <c r="Z522" s="484">
        <v>44328</v>
      </c>
      <c r="AA522" s="484">
        <v>44481</v>
      </c>
      <c r="AB522" s="486" t="s">
        <v>2548</v>
      </c>
      <c r="AC522" s="483" t="s">
        <v>3735</v>
      </c>
      <c r="AD522" s="486" t="s">
        <v>4215</v>
      </c>
      <c r="AE522" s="486" t="s">
        <v>4216</v>
      </c>
      <c r="AF522" s="473">
        <v>20500000</v>
      </c>
      <c r="AG522" s="474">
        <f t="shared" si="8"/>
        <v>0</v>
      </c>
      <c r="AM522" s="306">
        <v>2460000</v>
      </c>
    </row>
    <row r="523" spans="1:39" hidden="1" x14ac:dyDescent="0.35">
      <c r="A523" s="466" t="s">
        <v>2017</v>
      </c>
      <c r="B523" s="467">
        <v>34850000</v>
      </c>
      <c r="C523" s="212" t="s">
        <v>2544</v>
      </c>
      <c r="D523" s="469">
        <v>518</v>
      </c>
      <c r="E523" s="469">
        <v>20212000021923</v>
      </c>
      <c r="F523" s="470">
        <v>44305</v>
      </c>
      <c r="G523" s="469" t="s">
        <v>2538</v>
      </c>
      <c r="H523" s="468" t="s">
        <v>2539</v>
      </c>
      <c r="I523" s="468" t="s">
        <v>391</v>
      </c>
      <c r="J523" s="471">
        <v>20500000</v>
      </c>
      <c r="K523" s="377" t="s">
        <v>2609</v>
      </c>
      <c r="L523" s="468" t="s">
        <v>2610</v>
      </c>
      <c r="M523" s="377" t="s">
        <v>44</v>
      </c>
      <c r="N523" s="377" t="s">
        <v>45</v>
      </c>
      <c r="O523" s="468" t="s">
        <v>63</v>
      </c>
      <c r="P523" s="212" t="s">
        <v>674</v>
      </c>
      <c r="Q523" s="468"/>
      <c r="R523" s="468">
        <v>560</v>
      </c>
      <c r="S523" s="528">
        <v>44305</v>
      </c>
      <c r="T523" s="529" t="s">
        <v>4217</v>
      </c>
      <c r="U523" s="471">
        <v>20500000</v>
      </c>
      <c r="V523" s="414"/>
      <c r="W523" s="379"/>
      <c r="X523" s="483" t="s">
        <v>4218</v>
      </c>
      <c r="Y523" s="484">
        <v>44316</v>
      </c>
      <c r="Z523" s="484">
        <v>44316</v>
      </c>
      <c r="AA523" s="484">
        <v>44468</v>
      </c>
      <c r="AB523" s="485" t="s">
        <v>2548</v>
      </c>
      <c r="AC523" s="483" t="s">
        <v>3264</v>
      </c>
      <c r="AD523" s="485" t="s">
        <v>4219</v>
      </c>
      <c r="AE523" s="486" t="s">
        <v>4220</v>
      </c>
      <c r="AF523" s="473">
        <v>20500000</v>
      </c>
      <c r="AG523" s="474">
        <f t="shared" si="8"/>
        <v>0</v>
      </c>
      <c r="AI523" s="471"/>
      <c r="AJ523" s="471"/>
      <c r="AK523" s="471"/>
      <c r="AL523" s="471"/>
      <c r="AM523" s="306">
        <v>3826667</v>
      </c>
    </row>
    <row r="524" spans="1:39" hidden="1" x14ac:dyDescent="0.35">
      <c r="A524" s="476" t="s">
        <v>1642</v>
      </c>
      <c r="B524" s="477">
        <v>23162500</v>
      </c>
      <c r="C524" s="212" t="s">
        <v>2544</v>
      </c>
      <c r="D524" s="478">
        <v>519</v>
      </c>
      <c r="E524" s="478">
        <v>20212000021933</v>
      </c>
      <c r="F524" s="479">
        <v>44305</v>
      </c>
      <c r="G524" s="478" t="s">
        <v>2538</v>
      </c>
      <c r="H524" s="212" t="s">
        <v>2539</v>
      </c>
      <c r="I524" s="212" t="s">
        <v>391</v>
      </c>
      <c r="J524" s="475">
        <v>11350000</v>
      </c>
      <c r="K524" s="210" t="s">
        <v>2609</v>
      </c>
      <c r="L524" s="212" t="s">
        <v>2610</v>
      </c>
      <c r="M524" s="210" t="s">
        <v>44</v>
      </c>
      <c r="N524" s="210" t="s">
        <v>45</v>
      </c>
      <c r="O524" s="212" t="s">
        <v>63</v>
      </c>
      <c r="P524" s="212" t="s">
        <v>674</v>
      </c>
      <c r="R524" s="212">
        <v>561</v>
      </c>
      <c r="S524" s="490">
        <v>44305</v>
      </c>
      <c r="T524" s="486" t="s">
        <v>4221</v>
      </c>
      <c r="U524" s="475">
        <v>11350000</v>
      </c>
      <c r="V524" s="406"/>
      <c r="W524" s="362"/>
      <c r="AG524" s="474">
        <f t="shared" si="8"/>
        <v>11350000</v>
      </c>
      <c r="AM524" s="212"/>
    </row>
    <row r="525" spans="1:39" hidden="1" x14ac:dyDescent="0.35">
      <c r="A525" s="476" t="s">
        <v>1872</v>
      </c>
      <c r="B525" s="477">
        <v>49060404</v>
      </c>
      <c r="C525" s="212" t="s">
        <v>2544</v>
      </c>
      <c r="D525" s="478">
        <v>520</v>
      </c>
      <c r="E525" s="478">
        <v>20217000022053</v>
      </c>
      <c r="F525" s="479">
        <v>44305</v>
      </c>
      <c r="G525" s="478" t="s">
        <v>2545</v>
      </c>
      <c r="H525" s="212" t="s">
        <v>2546</v>
      </c>
      <c r="I525" s="212" t="s">
        <v>164</v>
      </c>
      <c r="J525" s="475">
        <v>41338000</v>
      </c>
      <c r="K525" s="212" t="s">
        <v>138</v>
      </c>
      <c r="L525" s="212" t="s">
        <v>139</v>
      </c>
      <c r="M525" s="212" t="s">
        <v>44</v>
      </c>
      <c r="N525" s="212" t="s">
        <v>45</v>
      </c>
      <c r="O525" s="212" t="s">
        <v>142</v>
      </c>
      <c r="P525" s="212" t="s">
        <v>43</v>
      </c>
      <c r="R525" s="212">
        <v>563</v>
      </c>
      <c r="S525" s="490">
        <v>44305</v>
      </c>
      <c r="T525" s="486" t="s">
        <v>4222</v>
      </c>
      <c r="U525" s="475">
        <v>41338000</v>
      </c>
      <c r="V525" s="406"/>
      <c r="W525" s="362"/>
      <c r="X525" s="483">
        <v>532</v>
      </c>
      <c r="Y525" s="484">
        <v>44329</v>
      </c>
      <c r="Z525" s="484">
        <v>44329</v>
      </c>
      <c r="AA525" s="484">
        <v>44543</v>
      </c>
      <c r="AB525" s="486" t="s">
        <v>2548</v>
      </c>
      <c r="AC525" s="483" t="s">
        <v>3978</v>
      </c>
      <c r="AD525" s="486" t="s">
        <v>4223</v>
      </c>
      <c r="AE525" s="486" t="s">
        <v>3230</v>
      </c>
      <c r="AF525" s="473">
        <v>41337933</v>
      </c>
      <c r="AG525" s="474">
        <f t="shared" si="8"/>
        <v>67</v>
      </c>
      <c r="AM525" s="306">
        <v>3543251</v>
      </c>
    </row>
    <row r="526" spans="1:39" hidden="1" x14ac:dyDescent="0.35">
      <c r="C526" s="212" t="s">
        <v>4224</v>
      </c>
      <c r="D526" s="478">
        <v>521</v>
      </c>
      <c r="E526" s="478">
        <v>20217000022213</v>
      </c>
      <c r="F526" s="479">
        <v>44306</v>
      </c>
      <c r="G526" s="478" t="s">
        <v>2545</v>
      </c>
      <c r="H526" s="212" t="s">
        <v>2546</v>
      </c>
      <c r="I526" s="212" t="s">
        <v>164</v>
      </c>
      <c r="J526" s="475">
        <v>38794972</v>
      </c>
      <c r="K526" s="212" t="s">
        <v>138</v>
      </c>
      <c r="L526" s="212" t="s">
        <v>4225</v>
      </c>
      <c r="M526" s="212" t="s">
        <v>44</v>
      </c>
      <c r="N526" s="212" t="s">
        <v>45</v>
      </c>
      <c r="O526" s="212" t="s">
        <v>310</v>
      </c>
      <c r="P526" s="212" t="s">
        <v>43</v>
      </c>
      <c r="R526" s="212">
        <v>565</v>
      </c>
      <c r="S526" s="490">
        <v>44306</v>
      </c>
      <c r="T526" s="486" t="s">
        <v>4226</v>
      </c>
      <c r="U526" s="475">
        <v>38794972</v>
      </c>
      <c r="V526" s="406"/>
      <c r="W526" s="362"/>
      <c r="X526" s="483" t="s">
        <v>4227</v>
      </c>
      <c r="Y526" s="484">
        <v>44341</v>
      </c>
      <c r="Z526" s="484">
        <v>44341</v>
      </c>
      <c r="AA526" s="484">
        <v>44346</v>
      </c>
      <c r="AB526" s="486" t="s">
        <v>3004</v>
      </c>
      <c r="AC526" s="483" t="s">
        <v>4228</v>
      </c>
      <c r="AD526" s="486" t="s">
        <v>4229</v>
      </c>
      <c r="AE526" s="486" t="s">
        <v>4230</v>
      </c>
      <c r="AF526" s="473">
        <v>1622584</v>
      </c>
      <c r="AG526" s="474">
        <f t="shared" si="8"/>
        <v>37172388</v>
      </c>
      <c r="AL526" s="475">
        <v>1622584</v>
      </c>
      <c r="AM526" s="212"/>
    </row>
    <row r="527" spans="1:39" s="312" customFormat="1" hidden="1" x14ac:dyDescent="0.35">
      <c r="A527" s="380" t="s">
        <v>1784</v>
      </c>
      <c r="B527" s="421">
        <v>490000000</v>
      </c>
      <c r="C527" s="364" t="s">
        <v>4231</v>
      </c>
      <c r="D527" s="381">
        <v>522</v>
      </c>
      <c r="E527" s="381">
        <v>20213000022283</v>
      </c>
      <c r="F527" s="382">
        <v>44306</v>
      </c>
      <c r="G527" s="381" t="s">
        <v>2538</v>
      </c>
      <c r="H527" s="364" t="s">
        <v>2539</v>
      </c>
      <c r="I527" s="364" t="s">
        <v>432</v>
      </c>
      <c r="J527" s="408">
        <v>278008956</v>
      </c>
      <c r="K527" s="364" t="s">
        <v>342</v>
      </c>
      <c r="L527" s="364" t="s">
        <v>351</v>
      </c>
      <c r="M527" s="364" t="s">
        <v>44</v>
      </c>
      <c r="N527" s="364" t="s">
        <v>45</v>
      </c>
      <c r="O527" s="364" t="s">
        <v>63</v>
      </c>
      <c r="P527" s="364" t="s">
        <v>674</v>
      </c>
      <c r="Q527" s="364"/>
      <c r="R527" s="364">
        <v>566</v>
      </c>
      <c r="S527" s="383">
        <v>44306</v>
      </c>
      <c r="T527" s="384" t="s">
        <v>4232</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x14ac:dyDescent="0.35">
      <c r="A528" s="476" t="s">
        <v>2075</v>
      </c>
      <c r="B528" s="477">
        <v>310700000</v>
      </c>
      <c r="C528" s="212" t="s">
        <v>4233</v>
      </c>
      <c r="D528" s="478">
        <v>523</v>
      </c>
      <c r="E528" s="478">
        <v>20215000022803</v>
      </c>
      <c r="F528" s="479">
        <v>44308</v>
      </c>
      <c r="G528" s="478" t="s">
        <v>2538</v>
      </c>
      <c r="H528" s="212" t="s">
        <v>2539</v>
      </c>
      <c r="I528" s="210" t="s">
        <v>228</v>
      </c>
      <c r="J528" s="475">
        <v>310700000</v>
      </c>
      <c r="K528" s="212" t="s">
        <v>223</v>
      </c>
      <c r="L528" s="212" t="s">
        <v>236</v>
      </c>
      <c r="M528" s="212" t="s">
        <v>44</v>
      </c>
      <c r="N528" s="212" t="s">
        <v>45</v>
      </c>
      <c r="O528" s="210" t="s">
        <v>265</v>
      </c>
      <c r="P528" s="212" t="s">
        <v>674</v>
      </c>
      <c r="R528" s="212">
        <v>570</v>
      </c>
      <c r="S528" s="490">
        <v>44309</v>
      </c>
      <c r="T528" s="486" t="s">
        <v>4234</v>
      </c>
      <c r="U528" s="693">
        <v>310700000</v>
      </c>
      <c r="V528" s="406"/>
      <c r="X528" s="483" t="s">
        <v>4235</v>
      </c>
      <c r="Y528" s="484">
        <v>44362</v>
      </c>
      <c r="Z528" s="484">
        <v>44362</v>
      </c>
      <c r="AA528" s="484">
        <v>44377</v>
      </c>
      <c r="AB528" s="486" t="s">
        <v>2980</v>
      </c>
      <c r="AC528" s="483" t="s">
        <v>4236</v>
      </c>
      <c r="AD528" s="486" t="s">
        <v>4237</v>
      </c>
      <c r="AE528" s="486" t="s">
        <v>4238</v>
      </c>
      <c r="AF528" s="473">
        <v>251850622</v>
      </c>
      <c r="AG528" s="474">
        <f t="shared" si="8"/>
        <v>58849378</v>
      </c>
      <c r="AM528" s="212"/>
    </row>
    <row r="529" spans="1:39" s="312" customFormat="1" hidden="1" x14ac:dyDescent="0.35">
      <c r="A529" s="361" t="s">
        <v>1786</v>
      </c>
      <c r="B529" s="417">
        <v>280000000</v>
      </c>
      <c r="C529" s="312" t="s">
        <v>4239</v>
      </c>
      <c r="D529" s="325">
        <v>524</v>
      </c>
      <c r="E529" s="325">
        <v>20213000022983</v>
      </c>
      <c r="F529" s="315">
        <v>44308</v>
      </c>
      <c r="G529" s="325" t="s">
        <v>2538</v>
      </c>
      <c r="H529" s="312" t="s">
        <v>2539</v>
      </c>
      <c r="I529" s="312" t="s">
        <v>432</v>
      </c>
      <c r="J529" s="405">
        <v>278008956</v>
      </c>
      <c r="K529" s="312" t="s">
        <v>342</v>
      </c>
      <c r="L529" s="312" t="s">
        <v>351</v>
      </c>
      <c r="M529" s="312" t="s">
        <v>44</v>
      </c>
      <c r="N529" s="312" t="s">
        <v>45</v>
      </c>
      <c r="O529" s="312" t="s">
        <v>63</v>
      </c>
      <c r="P529" s="312" t="s">
        <v>674</v>
      </c>
      <c r="R529" s="312">
        <v>571</v>
      </c>
      <c r="S529" s="363">
        <v>44309</v>
      </c>
      <c r="T529" s="360" t="s">
        <v>4240</v>
      </c>
      <c r="U529" s="405">
        <f>278008956-278008956</f>
        <v>0</v>
      </c>
      <c r="V529" s="406">
        <v>278008956</v>
      </c>
      <c r="W529" s="362" t="s">
        <v>4241</v>
      </c>
      <c r="X529" s="314"/>
      <c r="Y529" s="358"/>
      <c r="Z529" s="358"/>
      <c r="AA529" s="358"/>
      <c r="AB529" s="317"/>
      <c r="AC529" s="316"/>
      <c r="AD529" s="317"/>
      <c r="AF529" s="410"/>
      <c r="AG529" s="318">
        <f t="shared" si="8"/>
        <v>0</v>
      </c>
      <c r="AH529" s="405"/>
      <c r="AI529" s="405"/>
      <c r="AJ529" s="405"/>
      <c r="AK529" s="405"/>
      <c r="AL529" s="405"/>
      <c r="AM529" s="212"/>
    </row>
    <row r="530" spans="1:39" hidden="1" x14ac:dyDescent="0.35">
      <c r="A530" s="476" t="s">
        <v>3968</v>
      </c>
      <c r="B530" s="477">
        <v>63000000</v>
      </c>
      <c r="C530" s="212" t="s">
        <v>2544</v>
      </c>
      <c r="D530" s="478">
        <v>525</v>
      </c>
      <c r="E530" s="478">
        <v>20217000023003</v>
      </c>
      <c r="F530" s="479">
        <v>44308</v>
      </c>
      <c r="G530" s="478" t="s">
        <v>2545</v>
      </c>
      <c r="H530" s="212" t="s">
        <v>2546</v>
      </c>
      <c r="I530" s="212" t="s">
        <v>164</v>
      </c>
      <c r="J530" s="475">
        <v>29072832</v>
      </c>
      <c r="K530" s="212" t="s">
        <v>138</v>
      </c>
      <c r="L530" s="212" t="s">
        <v>139</v>
      </c>
      <c r="M530" s="212" t="s">
        <v>44</v>
      </c>
      <c r="N530" s="212" t="s">
        <v>45</v>
      </c>
      <c r="O530" s="212" t="s">
        <v>142</v>
      </c>
      <c r="P530" s="212" t="s">
        <v>43</v>
      </c>
      <c r="R530" s="212">
        <v>572</v>
      </c>
      <c r="S530" s="490">
        <v>44309</v>
      </c>
      <c r="T530" s="486" t="s">
        <v>4172</v>
      </c>
      <c r="U530" s="475">
        <v>29072832</v>
      </c>
      <c r="V530" s="406"/>
      <c r="W530" s="362"/>
      <c r="X530" s="483" t="s">
        <v>4242</v>
      </c>
      <c r="Y530" s="484">
        <v>44322</v>
      </c>
      <c r="Z530" s="484">
        <v>44322</v>
      </c>
      <c r="AA530" s="484">
        <v>44444</v>
      </c>
      <c r="AB530" s="486" t="s">
        <v>2548</v>
      </c>
      <c r="AC530" s="483" t="s">
        <v>3314</v>
      </c>
      <c r="AD530" s="486" t="s">
        <v>4243</v>
      </c>
      <c r="AE530" s="486" t="s">
        <v>3092</v>
      </c>
      <c r="AF530" s="473">
        <v>29072832</v>
      </c>
      <c r="AG530" s="474">
        <f t="shared" si="8"/>
        <v>0</v>
      </c>
      <c r="AM530" s="212"/>
    </row>
    <row r="531" spans="1:39" hidden="1" x14ac:dyDescent="0.35">
      <c r="A531" s="476" t="s">
        <v>2019</v>
      </c>
      <c r="B531" s="477">
        <v>32300000</v>
      </c>
      <c r="C531" s="212" t="s">
        <v>2544</v>
      </c>
      <c r="D531" s="478">
        <v>526</v>
      </c>
      <c r="E531" s="478">
        <v>20212000022543</v>
      </c>
      <c r="F531" s="479">
        <v>44309</v>
      </c>
      <c r="G531" s="478" t="s">
        <v>2538</v>
      </c>
      <c r="H531" s="212" t="s">
        <v>2539</v>
      </c>
      <c r="I531" s="212" t="s">
        <v>391</v>
      </c>
      <c r="J531" s="475">
        <v>19000000</v>
      </c>
      <c r="K531" s="210" t="s">
        <v>2609</v>
      </c>
      <c r="L531" s="212" t="s">
        <v>2610</v>
      </c>
      <c r="M531" s="210" t="s">
        <v>44</v>
      </c>
      <c r="N531" s="210" t="s">
        <v>45</v>
      </c>
      <c r="O531" s="212" t="s">
        <v>63</v>
      </c>
      <c r="P531" s="212" t="s">
        <v>674</v>
      </c>
      <c r="R531" s="212">
        <v>573</v>
      </c>
      <c r="S531" s="490">
        <v>44309</v>
      </c>
      <c r="T531" s="486" t="s">
        <v>4244</v>
      </c>
      <c r="U531" s="475">
        <v>19000000</v>
      </c>
      <c r="V531" s="406"/>
      <c r="W531" s="362"/>
      <c r="X531" s="483" t="s">
        <v>4245</v>
      </c>
      <c r="Y531" s="484">
        <v>44323</v>
      </c>
      <c r="Z531" s="484">
        <v>44323</v>
      </c>
      <c r="AA531" s="484">
        <v>44506</v>
      </c>
      <c r="AB531" s="486" t="s">
        <v>2548</v>
      </c>
      <c r="AC531" s="483" t="s">
        <v>4246</v>
      </c>
      <c r="AD531" s="486" t="s">
        <v>4247</v>
      </c>
      <c r="AE531" s="486" t="s">
        <v>4248</v>
      </c>
      <c r="AF531" s="473">
        <v>19000000</v>
      </c>
      <c r="AG531" s="474">
        <f t="shared" si="8"/>
        <v>0</v>
      </c>
      <c r="AM531" s="306">
        <v>2660000</v>
      </c>
    </row>
    <row r="532" spans="1:39" hidden="1" x14ac:dyDescent="0.35">
      <c r="A532" s="466" t="s">
        <v>2353</v>
      </c>
      <c r="B532" s="467">
        <v>44958672</v>
      </c>
      <c r="C532" s="212" t="s">
        <v>2544</v>
      </c>
      <c r="D532" s="469">
        <v>527</v>
      </c>
      <c r="E532" s="469">
        <v>20217000023053</v>
      </c>
      <c r="F532" s="470">
        <v>44309</v>
      </c>
      <c r="G532" s="469" t="s">
        <v>2545</v>
      </c>
      <c r="H532" s="468" t="s">
        <v>2546</v>
      </c>
      <c r="I532" s="468" t="s">
        <v>164</v>
      </c>
      <c r="J532" s="471">
        <v>34978251</v>
      </c>
      <c r="K532" s="468" t="s">
        <v>138</v>
      </c>
      <c r="L532" s="468" t="s">
        <v>139</v>
      </c>
      <c r="M532" s="468" t="s">
        <v>44</v>
      </c>
      <c r="N532" s="468" t="s">
        <v>45</v>
      </c>
      <c r="O532" s="468" t="s">
        <v>142</v>
      </c>
      <c r="P532" s="468" t="s">
        <v>43</v>
      </c>
      <c r="Q532" s="468"/>
      <c r="R532" s="468">
        <v>575</v>
      </c>
      <c r="S532" s="528">
        <v>44309</v>
      </c>
      <c r="T532" s="529" t="s">
        <v>3993</v>
      </c>
      <c r="U532" s="471">
        <v>34978251</v>
      </c>
      <c r="V532" s="414"/>
      <c r="W532" s="379"/>
      <c r="X532" s="483" t="s">
        <v>4249</v>
      </c>
      <c r="Y532" s="484">
        <v>44316</v>
      </c>
      <c r="Z532" s="484">
        <v>44316</v>
      </c>
      <c r="AA532" s="484">
        <v>44529</v>
      </c>
      <c r="AB532" s="485" t="s">
        <v>2548</v>
      </c>
      <c r="AC532" s="483" t="s">
        <v>3793</v>
      </c>
      <c r="AD532" s="485" t="s">
        <v>4250</v>
      </c>
      <c r="AE532" s="486" t="s">
        <v>2583</v>
      </c>
      <c r="AF532" s="473">
        <v>34978251</v>
      </c>
      <c r="AG532" s="474">
        <f t="shared" si="8"/>
        <v>0</v>
      </c>
      <c r="AI532" s="471"/>
      <c r="AJ532" s="471"/>
      <c r="AK532" s="471"/>
      <c r="AL532" s="471"/>
      <c r="AM532" s="306">
        <v>4663767</v>
      </c>
    </row>
    <row r="533" spans="1:39" hidden="1" x14ac:dyDescent="0.35">
      <c r="A533" s="313" t="s">
        <v>1868</v>
      </c>
      <c r="B533" s="419">
        <v>31798410</v>
      </c>
      <c r="C533" s="212" t="s">
        <v>2544</v>
      </c>
      <c r="D533" s="309">
        <v>528</v>
      </c>
      <c r="E533" s="309">
        <v>20217000023043</v>
      </c>
      <c r="F533" s="310">
        <v>44309</v>
      </c>
      <c r="G533" s="309" t="s">
        <v>2545</v>
      </c>
      <c r="H533" s="210" t="s">
        <v>2546</v>
      </c>
      <c r="I533" s="210" t="s">
        <v>164</v>
      </c>
      <c r="J533" s="407">
        <v>18433860</v>
      </c>
      <c r="K533" s="210" t="s">
        <v>138</v>
      </c>
      <c r="L533" s="210" t="s">
        <v>139</v>
      </c>
      <c r="M533" s="210" t="s">
        <v>44</v>
      </c>
      <c r="N533" s="210" t="s">
        <v>45</v>
      </c>
      <c r="O533" s="210" t="s">
        <v>142</v>
      </c>
      <c r="P533" s="210" t="s">
        <v>43</v>
      </c>
      <c r="Q533" s="210"/>
      <c r="R533" s="212">
        <v>574</v>
      </c>
      <c r="S533" s="490">
        <v>44309</v>
      </c>
      <c r="T533" s="486" t="s">
        <v>4188</v>
      </c>
      <c r="U533" s="475">
        <v>18433860</v>
      </c>
      <c r="V533" s="406"/>
      <c r="W533" s="362"/>
      <c r="X533" s="483" t="s">
        <v>4251</v>
      </c>
      <c r="Y533" s="484">
        <v>44315</v>
      </c>
      <c r="Z533" s="484">
        <v>44315</v>
      </c>
      <c r="AA533" s="484">
        <v>44497</v>
      </c>
      <c r="AB533" s="485" t="s">
        <v>2548</v>
      </c>
      <c r="AC533" s="483" t="s">
        <v>3430</v>
      </c>
      <c r="AD533" s="485" t="s">
        <v>4252</v>
      </c>
      <c r="AE533" s="486" t="s">
        <v>3090</v>
      </c>
      <c r="AF533" s="473">
        <v>18433860</v>
      </c>
      <c r="AG533" s="474">
        <f t="shared" si="8"/>
        <v>0</v>
      </c>
      <c r="AM533" s="306">
        <v>3174720</v>
      </c>
    </row>
    <row r="534" spans="1:39" hidden="1" x14ac:dyDescent="0.35">
      <c r="A534" s="313" t="s">
        <v>2477</v>
      </c>
      <c r="B534" s="419">
        <v>48000000</v>
      </c>
      <c r="C534" s="212" t="s">
        <v>2544</v>
      </c>
      <c r="D534" s="478">
        <v>529</v>
      </c>
      <c r="E534" s="478">
        <v>20214000023343</v>
      </c>
      <c r="F534" s="310">
        <v>44312</v>
      </c>
      <c r="G534" s="478" t="s">
        <v>2578</v>
      </c>
      <c r="H534" s="212" t="s">
        <v>2579</v>
      </c>
      <c r="I534" s="212" t="s">
        <v>47</v>
      </c>
      <c r="J534" s="475">
        <v>36000000</v>
      </c>
      <c r="K534" s="212" t="s">
        <v>37</v>
      </c>
      <c r="L534" s="212" t="s">
        <v>2580</v>
      </c>
      <c r="M534" s="212" t="s">
        <v>44</v>
      </c>
      <c r="N534" s="212" t="s">
        <v>45</v>
      </c>
      <c r="O534" s="212" t="s">
        <v>310</v>
      </c>
      <c r="P534" s="212" t="s">
        <v>43</v>
      </c>
      <c r="R534" s="212">
        <v>576</v>
      </c>
      <c r="S534" s="490">
        <v>44313</v>
      </c>
      <c r="T534" s="486" t="s">
        <v>4253</v>
      </c>
      <c r="U534" s="475">
        <v>36000000</v>
      </c>
      <c r="V534" s="406"/>
      <c r="X534" s="308">
        <v>563</v>
      </c>
      <c r="Y534" s="472">
        <v>44348</v>
      </c>
      <c r="Z534" s="472">
        <v>44348</v>
      </c>
      <c r="AA534" s="472">
        <v>44530</v>
      </c>
      <c r="AB534" s="486" t="s">
        <v>2548</v>
      </c>
      <c r="AC534" s="211">
        <v>423</v>
      </c>
      <c r="AD534" s="486" t="s">
        <v>4254</v>
      </c>
      <c r="AE534" s="212" t="s">
        <v>4255</v>
      </c>
      <c r="AF534" s="473">
        <v>36000000</v>
      </c>
      <c r="AG534" s="474">
        <f t="shared" si="8"/>
        <v>0</v>
      </c>
      <c r="AM534" s="212"/>
    </row>
    <row r="535" spans="1:39" hidden="1" x14ac:dyDescent="0.35">
      <c r="A535" s="313" t="s">
        <v>2329</v>
      </c>
      <c r="B535" s="419">
        <v>28800000</v>
      </c>
      <c r="C535" s="212" t="s">
        <v>2544</v>
      </c>
      <c r="D535" s="478">
        <v>530</v>
      </c>
      <c r="E535" s="478">
        <v>20215000023403</v>
      </c>
      <c r="F535" s="310">
        <v>44312</v>
      </c>
      <c r="G535" s="478" t="s">
        <v>2538</v>
      </c>
      <c r="H535" s="212" t="s">
        <v>2539</v>
      </c>
      <c r="I535" s="210" t="s">
        <v>228</v>
      </c>
      <c r="J535" s="475">
        <v>28800000</v>
      </c>
      <c r="K535" s="212" t="s">
        <v>223</v>
      </c>
      <c r="L535" s="212" t="s">
        <v>2656</v>
      </c>
      <c r="M535" s="212" t="s">
        <v>44</v>
      </c>
      <c r="N535" s="212" t="s">
        <v>45</v>
      </c>
      <c r="O535" s="212" t="s">
        <v>63</v>
      </c>
      <c r="P535" s="212" t="s">
        <v>674</v>
      </c>
      <c r="R535" s="212">
        <v>577</v>
      </c>
      <c r="S535" s="490">
        <v>44313</v>
      </c>
      <c r="T535" s="486" t="s">
        <v>4256</v>
      </c>
      <c r="U535" s="475">
        <f>28800000-11250000</f>
        <v>17550000</v>
      </c>
      <c r="V535" s="406">
        <v>11250000</v>
      </c>
      <c r="W535" s="307" t="s">
        <v>4241</v>
      </c>
      <c r="X535" s="483" t="s">
        <v>4257</v>
      </c>
      <c r="Y535" s="484">
        <v>44348</v>
      </c>
      <c r="Z535" s="484">
        <v>44348</v>
      </c>
      <c r="AA535" s="484">
        <v>44546</v>
      </c>
      <c r="AB535" s="486" t="s">
        <v>2548</v>
      </c>
      <c r="AC535" s="483" t="s">
        <v>3564</v>
      </c>
      <c r="AD535" s="694" t="s">
        <v>4258</v>
      </c>
      <c r="AE535" s="486" t="s">
        <v>4259</v>
      </c>
      <c r="AF535" s="496">
        <v>17550000</v>
      </c>
      <c r="AG535" s="474">
        <f t="shared" si="8"/>
        <v>0</v>
      </c>
      <c r="AM535" s="212"/>
    </row>
    <row r="536" spans="1:39" hidden="1" x14ac:dyDescent="0.35">
      <c r="A536" s="476" t="s">
        <v>4260</v>
      </c>
      <c r="B536" s="477">
        <v>16000000</v>
      </c>
      <c r="C536" s="212" t="s">
        <v>2544</v>
      </c>
      <c r="D536" s="478">
        <v>531</v>
      </c>
      <c r="E536" s="478">
        <v>20217000023663</v>
      </c>
      <c r="F536" s="310">
        <v>44313</v>
      </c>
      <c r="G536" s="478" t="s">
        <v>2545</v>
      </c>
      <c r="H536" s="212" t="s">
        <v>2546</v>
      </c>
      <c r="I536" s="212" t="s">
        <v>164</v>
      </c>
      <c r="J536" s="475">
        <v>14536416</v>
      </c>
      <c r="K536" s="212" t="s">
        <v>138</v>
      </c>
      <c r="L536" s="212" t="s">
        <v>139</v>
      </c>
      <c r="M536" s="212" t="s">
        <v>44</v>
      </c>
      <c r="N536" s="212" t="s">
        <v>45</v>
      </c>
      <c r="O536" s="212" t="s">
        <v>142</v>
      </c>
      <c r="P536" s="212" t="s">
        <v>43</v>
      </c>
      <c r="R536" s="212">
        <v>578</v>
      </c>
      <c r="S536" s="490">
        <v>44313</v>
      </c>
      <c r="T536" s="486" t="s">
        <v>4261</v>
      </c>
      <c r="U536" s="475">
        <v>14536416</v>
      </c>
      <c r="V536" s="406"/>
      <c r="W536" s="362"/>
      <c r="X536" s="483" t="s">
        <v>4262</v>
      </c>
      <c r="Y536" s="484">
        <v>44322</v>
      </c>
      <c r="Z536" s="484">
        <v>44322</v>
      </c>
      <c r="AA536" s="484">
        <v>44382</v>
      </c>
      <c r="AB536" s="486" t="s">
        <v>2548</v>
      </c>
      <c r="AC536" s="483" t="s">
        <v>4263</v>
      </c>
      <c r="AD536" s="486" t="s">
        <v>4264</v>
      </c>
      <c r="AE536" s="486" t="s">
        <v>4265</v>
      </c>
      <c r="AF536" s="473">
        <v>14536416</v>
      </c>
      <c r="AG536" s="474">
        <f t="shared" si="8"/>
        <v>0</v>
      </c>
      <c r="AM536" s="212"/>
    </row>
    <row r="537" spans="1:39" ht="15.5" hidden="1" x14ac:dyDescent="0.35">
      <c r="A537" s="466" t="s">
        <v>2130</v>
      </c>
      <c r="B537" s="467">
        <v>368824461</v>
      </c>
      <c r="C537" s="468" t="s">
        <v>4266</v>
      </c>
      <c r="D537" s="469">
        <v>532</v>
      </c>
      <c r="E537" s="469">
        <v>20214000024053</v>
      </c>
      <c r="F537" s="385">
        <v>44315</v>
      </c>
      <c r="G537" s="469" t="s">
        <v>2578</v>
      </c>
      <c r="H537" s="468" t="s">
        <v>2579</v>
      </c>
      <c r="I537" s="468" t="s">
        <v>47</v>
      </c>
      <c r="J537" s="471">
        <v>304350003</v>
      </c>
      <c r="K537" s="468" t="s">
        <v>37</v>
      </c>
      <c r="L537" s="534" t="s">
        <v>3078</v>
      </c>
      <c r="M537" s="468" t="s">
        <v>44</v>
      </c>
      <c r="N537" s="468" t="s">
        <v>45</v>
      </c>
      <c r="O537" s="212" t="s">
        <v>310</v>
      </c>
      <c r="P537" s="468" t="s">
        <v>43</v>
      </c>
      <c r="Q537" s="468"/>
      <c r="R537" s="468">
        <v>581</v>
      </c>
      <c r="S537" s="528">
        <v>44315</v>
      </c>
      <c r="T537" s="529" t="s">
        <v>4267</v>
      </c>
      <c r="U537" s="471">
        <v>304350003</v>
      </c>
      <c r="V537" s="414"/>
      <c r="W537" s="379"/>
      <c r="AG537" s="474">
        <f t="shared" si="8"/>
        <v>304350003</v>
      </c>
      <c r="AI537" s="471"/>
      <c r="AJ537" s="471"/>
      <c r="AK537" s="471"/>
      <c r="AL537" s="471"/>
      <c r="AM537" s="212"/>
    </row>
    <row r="538" spans="1:39" ht="15.5" hidden="1" x14ac:dyDescent="0.35">
      <c r="D538" s="537">
        <v>532</v>
      </c>
      <c r="E538" s="478">
        <v>20214000024053</v>
      </c>
      <c r="F538" s="310">
        <v>44315</v>
      </c>
      <c r="G538" s="478" t="s">
        <v>2578</v>
      </c>
      <c r="H538" s="212" t="s">
        <v>2579</v>
      </c>
      <c r="I538" s="212" t="s">
        <v>47</v>
      </c>
      <c r="J538" s="475">
        <v>61499459</v>
      </c>
      <c r="K538" s="212" t="s">
        <v>37</v>
      </c>
      <c r="L538" s="515" t="s">
        <v>3078</v>
      </c>
      <c r="M538" s="212" t="s">
        <v>44</v>
      </c>
      <c r="N538" s="212" t="s">
        <v>45</v>
      </c>
      <c r="O538" s="212" t="s">
        <v>310</v>
      </c>
      <c r="P538" s="210" t="s">
        <v>77</v>
      </c>
      <c r="R538" s="329">
        <v>581</v>
      </c>
      <c r="S538" s="490">
        <v>44315</v>
      </c>
      <c r="T538" s="486" t="s">
        <v>4267</v>
      </c>
      <c r="U538" s="475">
        <v>61499459</v>
      </c>
      <c r="V538" s="406"/>
      <c r="W538" s="362"/>
      <c r="AG538" s="474">
        <f t="shared" si="8"/>
        <v>61499459</v>
      </c>
      <c r="AM538" s="212"/>
    </row>
    <row r="539" spans="1:39" s="312" customFormat="1" hidden="1" x14ac:dyDescent="0.35">
      <c r="A539" s="361" t="s">
        <v>1648</v>
      </c>
      <c r="B539" s="417">
        <v>330000000</v>
      </c>
      <c r="C539" s="312" t="s">
        <v>4268</v>
      </c>
      <c r="D539" s="325">
        <v>533</v>
      </c>
      <c r="E539" s="325">
        <v>20215000023943</v>
      </c>
      <c r="F539" s="315">
        <v>44315</v>
      </c>
      <c r="G539" s="325" t="s">
        <v>2538</v>
      </c>
      <c r="H539" s="312" t="s">
        <v>2539</v>
      </c>
      <c r="I539" s="312" t="s">
        <v>228</v>
      </c>
      <c r="J539" s="406">
        <v>330000000</v>
      </c>
      <c r="K539" s="312" t="s">
        <v>223</v>
      </c>
      <c r="L539" s="312" t="s">
        <v>236</v>
      </c>
      <c r="M539" s="312" t="s">
        <v>44</v>
      </c>
      <c r="N539" s="312" t="s">
        <v>45</v>
      </c>
      <c r="O539" s="312" t="s">
        <v>63</v>
      </c>
      <c r="P539" s="312" t="s">
        <v>674</v>
      </c>
      <c r="R539" s="312">
        <v>580</v>
      </c>
      <c r="S539" s="363">
        <v>44315</v>
      </c>
      <c r="T539" s="360" t="s">
        <v>4269</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x14ac:dyDescent="0.35">
      <c r="A540" s="361" t="s">
        <v>1649</v>
      </c>
      <c r="B540" s="417">
        <v>251328000</v>
      </c>
      <c r="C540" s="312" t="s">
        <v>4268</v>
      </c>
      <c r="D540" s="325">
        <v>534</v>
      </c>
      <c r="E540" s="325">
        <v>20215000024063</v>
      </c>
      <c r="F540" s="315">
        <v>44315</v>
      </c>
      <c r="G540" s="325" t="s">
        <v>2538</v>
      </c>
      <c r="H540" s="312" t="s">
        <v>2539</v>
      </c>
      <c r="I540" s="312" t="s">
        <v>228</v>
      </c>
      <c r="J540" s="406">
        <v>240000000</v>
      </c>
      <c r="K540" s="312" t="s">
        <v>223</v>
      </c>
      <c r="L540" s="312" t="s">
        <v>236</v>
      </c>
      <c r="M540" s="312" t="s">
        <v>44</v>
      </c>
      <c r="N540" s="312" t="s">
        <v>45</v>
      </c>
      <c r="O540" s="312" t="s">
        <v>63</v>
      </c>
      <c r="P540" s="312" t="s">
        <v>674</v>
      </c>
      <c r="R540" s="312">
        <v>582</v>
      </c>
      <c r="S540" s="363">
        <v>44315</v>
      </c>
      <c r="T540" s="360" t="s">
        <v>4270</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x14ac:dyDescent="0.35">
      <c r="A541" s="361" t="s">
        <v>2417</v>
      </c>
      <c r="B541" s="417">
        <v>96000000</v>
      </c>
      <c r="C541" s="312" t="s">
        <v>2660</v>
      </c>
      <c r="D541" s="325">
        <v>535</v>
      </c>
      <c r="E541" s="365">
        <v>20213000024133</v>
      </c>
      <c r="F541" s="315">
        <v>44315</v>
      </c>
      <c r="G541" s="325" t="s">
        <v>2538</v>
      </c>
      <c r="H541" s="312" t="s">
        <v>2539</v>
      </c>
      <c r="I541" s="312" t="s">
        <v>432</v>
      </c>
      <c r="J541" s="405">
        <v>84000000</v>
      </c>
      <c r="K541" s="312" t="s">
        <v>342</v>
      </c>
      <c r="L541" s="312" t="s">
        <v>351</v>
      </c>
      <c r="M541" s="312" t="s">
        <v>44</v>
      </c>
      <c r="N541" s="312" t="s">
        <v>45</v>
      </c>
      <c r="O541" s="312" t="s">
        <v>63</v>
      </c>
      <c r="P541" s="312" t="s">
        <v>674</v>
      </c>
      <c r="R541" s="312">
        <v>583</v>
      </c>
      <c r="S541" s="363">
        <v>44315</v>
      </c>
      <c r="T541" s="360" t="s">
        <v>4271</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x14ac:dyDescent="0.35">
      <c r="A542" s="361"/>
      <c r="B542" s="417"/>
      <c r="C542" s="312" t="s">
        <v>4272</v>
      </c>
      <c r="D542" s="325">
        <v>536</v>
      </c>
      <c r="E542" s="325">
        <v>20215000024393</v>
      </c>
      <c r="F542" s="315">
        <v>44316</v>
      </c>
      <c r="G542" s="325" t="s">
        <v>2538</v>
      </c>
      <c r="H542" s="312" t="s">
        <v>2539</v>
      </c>
      <c r="I542" s="312" t="s">
        <v>228</v>
      </c>
      <c r="J542" s="406">
        <v>63655484</v>
      </c>
      <c r="K542" s="312" t="s">
        <v>223</v>
      </c>
      <c r="L542" s="312" t="s">
        <v>236</v>
      </c>
      <c r="M542" s="312" t="s">
        <v>44</v>
      </c>
      <c r="N542" s="312" t="s">
        <v>45</v>
      </c>
      <c r="O542" s="312" t="s">
        <v>63</v>
      </c>
      <c r="P542" s="312" t="s">
        <v>674</v>
      </c>
      <c r="R542" s="312">
        <v>584</v>
      </c>
      <c r="S542" s="363">
        <v>44316</v>
      </c>
      <c r="T542" s="360" t="s">
        <v>4273</v>
      </c>
      <c r="U542" s="405">
        <f>63655484-63655484</f>
        <v>0</v>
      </c>
      <c r="V542" s="406">
        <v>63655484</v>
      </c>
      <c r="W542" s="362" t="s">
        <v>1428</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x14ac:dyDescent="0.35">
      <c r="A543" s="361"/>
      <c r="B543" s="417"/>
      <c r="C543" s="312" t="s">
        <v>4272</v>
      </c>
      <c r="D543" s="538">
        <v>536</v>
      </c>
      <c r="E543" s="325">
        <v>20215000024393</v>
      </c>
      <c r="F543" s="315">
        <v>44316</v>
      </c>
      <c r="G543" s="325" t="s">
        <v>2538</v>
      </c>
      <c r="H543" s="312" t="s">
        <v>2539</v>
      </c>
      <c r="I543" s="312" t="s">
        <v>228</v>
      </c>
      <c r="J543" s="405">
        <v>61344516</v>
      </c>
      <c r="K543" s="312" t="s">
        <v>223</v>
      </c>
      <c r="L543" s="312" t="s">
        <v>224</v>
      </c>
      <c r="M543" s="312" t="s">
        <v>44</v>
      </c>
      <c r="N543" s="312" t="s">
        <v>45</v>
      </c>
      <c r="O543" s="312" t="s">
        <v>63</v>
      </c>
      <c r="P543" s="312" t="s">
        <v>674</v>
      </c>
      <c r="R543" s="360">
        <v>584</v>
      </c>
      <c r="S543" s="363">
        <v>44316</v>
      </c>
      <c r="T543" s="360" t="s">
        <v>4273</v>
      </c>
      <c r="U543" s="405">
        <f>61344516-61344516</f>
        <v>0</v>
      </c>
      <c r="V543" s="406">
        <v>61344516</v>
      </c>
      <c r="W543" s="362" t="s">
        <v>4241</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x14ac:dyDescent="0.35">
      <c r="A544" s="361"/>
      <c r="B544" s="417"/>
      <c r="C544" s="312" t="s">
        <v>4274</v>
      </c>
      <c r="D544" s="325">
        <v>537</v>
      </c>
      <c r="E544" s="325">
        <v>20215000024403</v>
      </c>
      <c r="F544" s="315">
        <v>44316</v>
      </c>
      <c r="G544" s="325" t="s">
        <v>2538</v>
      </c>
      <c r="H544" s="312" t="s">
        <v>2539</v>
      </c>
      <c r="I544" s="312" t="s">
        <v>228</v>
      </c>
      <c r="J544" s="406">
        <v>95200000</v>
      </c>
      <c r="K544" s="312" t="s">
        <v>223</v>
      </c>
      <c r="L544" s="312" t="s">
        <v>236</v>
      </c>
      <c r="M544" s="312" t="s">
        <v>44</v>
      </c>
      <c r="N544" s="312" t="s">
        <v>45</v>
      </c>
      <c r="O544" s="312" t="s">
        <v>63</v>
      </c>
      <c r="P544" s="312" t="s">
        <v>674</v>
      </c>
      <c r="R544" s="360">
        <v>585</v>
      </c>
      <c r="S544" s="363">
        <v>44316</v>
      </c>
      <c r="T544" s="360" t="s">
        <v>4275</v>
      </c>
      <c r="U544" s="405">
        <f>95200000-95200000</f>
        <v>0</v>
      </c>
      <c r="V544" s="406">
        <v>95200000</v>
      </c>
      <c r="W544" s="362" t="s">
        <v>1428</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x14ac:dyDescent="0.35">
      <c r="A545" s="380" t="s">
        <v>1784</v>
      </c>
      <c r="B545" s="421">
        <v>490000000</v>
      </c>
      <c r="C545" s="312" t="s">
        <v>4231</v>
      </c>
      <c r="D545" s="325">
        <v>538</v>
      </c>
      <c r="E545" s="325">
        <v>20213000024583</v>
      </c>
      <c r="F545" s="315">
        <v>44320</v>
      </c>
      <c r="G545" s="325" t="s">
        <v>2538</v>
      </c>
      <c r="H545" s="312" t="s">
        <v>2539</v>
      </c>
      <c r="I545" s="312" t="s">
        <v>432</v>
      </c>
      <c r="J545" s="406">
        <v>489976150</v>
      </c>
      <c r="K545" s="312" t="s">
        <v>342</v>
      </c>
      <c r="L545" s="312" t="s">
        <v>351</v>
      </c>
      <c r="M545" s="312" t="s">
        <v>44</v>
      </c>
      <c r="N545" s="312" t="s">
        <v>45</v>
      </c>
      <c r="O545" s="312" t="s">
        <v>63</v>
      </c>
      <c r="P545" s="312" t="s">
        <v>674</v>
      </c>
      <c r="R545" s="438">
        <v>586</v>
      </c>
      <c r="S545" s="439">
        <v>44321</v>
      </c>
      <c r="T545" s="438" t="s">
        <v>4232</v>
      </c>
      <c r="U545" s="440">
        <f>489976150-489976150</f>
        <v>0</v>
      </c>
      <c r="V545" s="406">
        <v>489976150</v>
      </c>
      <c r="W545" s="362" t="s">
        <v>1428</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x14ac:dyDescent="0.35">
      <c r="A546" s="476" t="s">
        <v>1934</v>
      </c>
      <c r="B546" s="477">
        <v>42400000</v>
      </c>
      <c r="C546" s="212" t="s">
        <v>2544</v>
      </c>
      <c r="D546" s="478">
        <v>539</v>
      </c>
      <c r="E546" s="478">
        <v>20215000024683</v>
      </c>
      <c r="F546" s="479">
        <v>44320</v>
      </c>
      <c r="G546" s="478" t="s">
        <v>2538</v>
      </c>
      <c r="H546" s="212" t="s">
        <v>2539</v>
      </c>
      <c r="I546" s="210" t="s">
        <v>228</v>
      </c>
      <c r="J546" s="475">
        <v>37100000</v>
      </c>
      <c r="K546" s="212" t="s">
        <v>223</v>
      </c>
      <c r="L546" s="212" t="s">
        <v>283</v>
      </c>
      <c r="M546" s="212" t="s">
        <v>44</v>
      </c>
      <c r="N546" s="212" t="s">
        <v>45</v>
      </c>
      <c r="O546" s="212" t="s">
        <v>63</v>
      </c>
      <c r="P546" s="212" t="s">
        <v>674</v>
      </c>
      <c r="R546" s="212">
        <v>587</v>
      </c>
      <c r="S546" s="490">
        <v>44321</v>
      </c>
      <c r="T546" s="486" t="s">
        <v>4276</v>
      </c>
      <c r="U546" s="475">
        <f>37100000-2800000</f>
        <v>34300000</v>
      </c>
      <c r="V546" s="406">
        <f>2800000</f>
        <v>2800000</v>
      </c>
      <c r="W546" s="362" t="s">
        <v>1428</v>
      </c>
      <c r="X546" s="483" t="s">
        <v>4277</v>
      </c>
      <c r="Y546" s="484">
        <v>44327</v>
      </c>
      <c r="Z546" s="484">
        <v>44327</v>
      </c>
      <c r="AA546" s="484">
        <v>44540</v>
      </c>
      <c r="AB546" s="486" t="s">
        <v>2548</v>
      </c>
      <c r="AC546" s="483" t="s">
        <v>4278</v>
      </c>
      <c r="AD546" s="486" t="s">
        <v>4279</v>
      </c>
      <c r="AE546" s="486" t="s">
        <v>4280</v>
      </c>
      <c r="AF546" s="473">
        <v>34300000</v>
      </c>
      <c r="AG546" s="474">
        <f t="shared" si="9"/>
        <v>0</v>
      </c>
      <c r="AM546" s="306">
        <v>3103333</v>
      </c>
    </row>
    <row r="547" spans="1:39" hidden="1" x14ac:dyDescent="0.35">
      <c r="A547" s="466" t="s">
        <v>1720</v>
      </c>
      <c r="B547" s="467">
        <v>42400000</v>
      </c>
      <c r="C547" s="212" t="s">
        <v>2544</v>
      </c>
      <c r="D547" s="469">
        <v>540</v>
      </c>
      <c r="E547" s="469">
        <v>20215000024693</v>
      </c>
      <c r="F547" s="470">
        <v>44320</v>
      </c>
      <c r="G547" s="469" t="s">
        <v>2538</v>
      </c>
      <c r="H547" s="468" t="s">
        <v>2539</v>
      </c>
      <c r="I547" s="377" t="s">
        <v>228</v>
      </c>
      <c r="J547" s="471">
        <v>37100000</v>
      </c>
      <c r="K547" s="468" t="s">
        <v>223</v>
      </c>
      <c r="L547" s="468" t="s">
        <v>283</v>
      </c>
      <c r="M547" s="468" t="s">
        <v>44</v>
      </c>
      <c r="N547" s="468" t="s">
        <v>45</v>
      </c>
      <c r="O547" s="468" t="s">
        <v>63</v>
      </c>
      <c r="P547" s="212" t="s">
        <v>674</v>
      </c>
      <c r="Q547" s="468"/>
      <c r="R547" s="468">
        <v>588</v>
      </c>
      <c r="S547" s="528">
        <v>44321</v>
      </c>
      <c r="T547" s="529" t="s">
        <v>4281</v>
      </c>
      <c r="U547" s="471">
        <f>37100000-2650000</f>
        <v>34450000</v>
      </c>
      <c r="V547" s="414">
        <v>2650000</v>
      </c>
      <c r="W547" s="307" t="s">
        <v>1428</v>
      </c>
      <c r="X547" s="483" t="s">
        <v>4011</v>
      </c>
      <c r="Y547" s="490">
        <v>44349</v>
      </c>
      <c r="Z547" s="484">
        <v>44349</v>
      </c>
      <c r="AA547" s="695">
        <v>44547</v>
      </c>
      <c r="AB547" s="536" t="s">
        <v>2548</v>
      </c>
      <c r="AC547" s="535" t="s">
        <v>3910</v>
      </c>
      <c r="AD547" s="536" t="s">
        <v>4282</v>
      </c>
      <c r="AE547" s="486" t="s">
        <v>4283</v>
      </c>
      <c r="AF547" s="692">
        <v>34450000</v>
      </c>
      <c r="AG547" s="474">
        <f t="shared" si="9"/>
        <v>0</v>
      </c>
      <c r="AI547" s="471"/>
      <c r="AJ547" s="471"/>
      <c r="AK547" s="471"/>
      <c r="AL547" s="471"/>
      <c r="AM547" s="212"/>
    </row>
    <row r="548" spans="1:39" s="312" customFormat="1" hidden="1" x14ac:dyDescent="0.35">
      <c r="A548" s="361" t="s">
        <v>1925</v>
      </c>
      <c r="B548" s="417">
        <v>58872500</v>
      </c>
      <c r="C548" s="312" t="s">
        <v>2660</v>
      </c>
      <c r="D548" s="325">
        <v>541</v>
      </c>
      <c r="E548" s="325">
        <v>20217000024933</v>
      </c>
      <c r="F548" s="315">
        <v>44321</v>
      </c>
      <c r="G548" s="325" t="s">
        <v>2545</v>
      </c>
      <c r="H548" s="312" t="s">
        <v>2546</v>
      </c>
      <c r="I548" s="312" t="s">
        <v>164</v>
      </c>
      <c r="J548" s="405">
        <v>34978251</v>
      </c>
      <c r="K548" s="312" t="s">
        <v>138</v>
      </c>
      <c r="L548" s="312" t="s">
        <v>139</v>
      </c>
      <c r="M548" s="312" t="s">
        <v>44</v>
      </c>
      <c r="N548" s="312" t="s">
        <v>45</v>
      </c>
      <c r="O548" s="312" t="s">
        <v>142</v>
      </c>
      <c r="P548" s="312" t="s">
        <v>43</v>
      </c>
      <c r="Q548" s="312" t="s">
        <v>3198</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x14ac:dyDescent="0.35">
      <c r="A549" s="476" t="s">
        <v>2364</v>
      </c>
      <c r="B549" s="477">
        <v>90000000</v>
      </c>
      <c r="C549" s="212" t="s">
        <v>2544</v>
      </c>
      <c r="D549" s="478">
        <v>542</v>
      </c>
      <c r="E549" s="478">
        <v>20213000024983</v>
      </c>
      <c r="F549" s="479">
        <v>44322</v>
      </c>
      <c r="G549" s="478" t="s">
        <v>2538</v>
      </c>
      <c r="H549" s="212" t="s">
        <v>2539</v>
      </c>
      <c r="I549" s="212" t="s">
        <v>432</v>
      </c>
      <c r="J549" s="475">
        <v>90000000</v>
      </c>
      <c r="K549" s="212" t="s">
        <v>342</v>
      </c>
      <c r="L549" s="212" t="s">
        <v>351</v>
      </c>
      <c r="M549" s="212" t="s">
        <v>44</v>
      </c>
      <c r="N549" s="212" t="s">
        <v>45</v>
      </c>
      <c r="O549" s="212" t="s">
        <v>63</v>
      </c>
      <c r="P549" s="212" t="s">
        <v>674</v>
      </c>
      <c r="R549" s="212">
        <v>590</v>
      </c>
      <c r="S549" s="490">
        <v>44323</v>
      </c>
      <c r="T549" s="486" t="s">
        <v>4284</v>
      </c>
      <c r="U549" s="475">
        <v>90000000</v>
      </c>
      <c r="V549" s="406"/>
      <c r="X549" s="483" t="s">
        <v>4285</v>
      </c>
      <c r="Y549" s="484">
        <v>44357</v>
      </c>
      <c r="Z549" s="484">
        <v>44357</v>
      </c>
      <c r="AA549" s="696">
        <v>44478</v>
      </c>
      <c r="AB549" s="486" t="s">
        <v>2548</v>
      </c>
      <c r="AC549" s="483" t="s">
        <v>3902</v>
      </c>
      <c r="AD549" s="486" t="s">
        <v>4286</v>
      </c>
      <c r="AE549" s="486" t="s">
        <v>4287</v>
      </c>
      <c r="AF549" s="496">
        <v>60000000</v>
      </c>
      <c r="AG549" s="474">
        <f t="shared" si="9"/>
        <v>30000000</v>
      </c>
      <c r="AM549" s="212"/>
    </row>
    <row r="550" spans="1:39" ht="15.5" hidden="1" x14ac:dyDescent="0.35">
      <c r="B550" s="477" t="s">
        <v>4288</v>
      </c>
      <c r="C550" s="212" t="s">
        <v>4289</v>
      </c>
      <c r="D550" s="478">
        <v>543</v>
      </c>
      <c r="E550" s="478">
        <v>20214000025163</v>
      </c>
      <c r="F550" s="479">
        <v>44322</v>
      </c>
      <c r="G550" s="478" t="s">
        <v>2578</v>
      </c>
      <c r="H550" s="212" t="s">
        <v>2579</v>
      </c>
      <c r="I550" s="212" t="s">
        <v>47</v>
      </c>
      <c r="J550" s="480">
        <v>190741417</v>
      </c>
      <c r="K550" s="212" t="s">
        <v>37</v>
      </c>
      <c r="L550" s="515" t="s">
        <v>2580</v>
      </c>
      <c r="M550" s="212" t="s">
        <v>44</v>
      </c>
      <c r="N550" s="212" t="s">
        <v>45</v>
      </c>
      <c r="O550" s="212" t="s">
        <v>310</v>
      </c>
      <c r="P550" s="212" t="s">
        <v>43</v>
      </c>
      <c r="R550" s="212">
        <v>591</v>
      </c>
      <c r="S550" s="490">
        <v>44323</v>
      </c>
      <c r="T550" s="486" t="s">
        <v>4290</v>
      </c>
      <c r="U550" s="475">
        <v>190741417</v>
      </c>
      <c r="V550" s="406"/>
      <c r="W550" s="362"/>
      <c r="X550" s="308" t="s">
        <v>4291</v>
      </c>
      <c r="Y550" s="484">
        <v>44342</v>
      </c>
      <c r="Z550" s="484">
        <v>44342</v>
      </c>
      <c r="AA550" s="484">
        <v>44469</v>
      </c>
      <c r="AB550" s="486" t="s">
        <v>2735</v>
      </c>
      <c r="AC550" s="483" t="s">
        <v>3765</v>
      </c>
      <c r="AD550" s="486" t="s">
        <v>4292</v>
      </c>
      <c r="AE550" s="486" t="s">
        <v>2736</v>
      </c>
      <c r="AF550" s="473">
        <v>190741417</v>
      </c>
      <c r="AG550" s="474">
        <f t="shared" si="9"/>
        <v>0</v>
      </c>
      <c r="AM550" s="212"/>
    </row>
    <row r="551" spans="1:39" hidden="1" x14ac:dyDescent="0.35">
      <c r="A551" s="466" t="s">
        <v>2361</v>
      </c>
      <c r="B551" s="467">
        <v>42000000</v>
      </c>
      <c r="C551" s="212" t="s">
        <v>2544</v>
      </c>
      <c r="D551" s="469">
        <v>544</v>
      </c>
      <c r="E551" s="469">
        <v>20213000025263</v>
      </c>
      <c r="F551" s="470">
        <v>44326</v>
      </c>
      <c r="G551" s="469" t="s">
        <v>2538</v>
      </c>
      <c r="H551" s="468" t="s">
        <v>2539</v>
      </c>
      <c r="I551" s="468" t="s">
        <v>432</v>
      </c>
      <c r="J551" s="471">
        <v>29981358</v>
      </c>
      <c r="K551" s="468" t="s">
        <v>342</v>
      </c>
      <c r="L551" s="468" t="s">
        <v>351</v>
      </c>
      <c r="M551" s="468" t="s">
        <v>44</v>
      </c>
      <c r="N551" s="468" t="s">
        <v>45</v>
      </c>
      <c r="O551" s="468" t="s">
        <v>63</v>
      </c>
      <c r="P551" s="212" t="s">
        <v>674</v>
      </c>
      <c r="Q551" s="468"/>
      <c r="R551" s="468">
        <v>599</v>
      </c>
      <c r="S551" s="528">
        <v>44328</v>
      </c>
      <c r="T551" s="529" t="s">
        <v>4293</v>
      </c>
      <c r="U551" s="471">
        <v>29981358</v>
      </c>
      <c r="V551" s="414"/>
      <c r="X551" s="483" t="s">
        <v>4294</v>
      </c>
      <c r="Y551" s="484">
        <v>44351</v>
      </c>
      <c r="Z551" s="484">
        <v>44351</v>
      </c>
      <c r="AA551" s="696">
        <v>44533</v>
      </c>
      <c r="AB551" s="486" t="s">
        <v>2548</v>
      </c>
      <c r="AC551" s="483" t="s">
        <v>3995</v>
      </c>
      <c r="AD551" s="486" t="s">
        <v>4295</v>
      </c>
      <c r="AE551" s="486" t="s">
        <v>4296</v>
      </c>
      <c r="AF551" s="496">
        <v>24530202</v>
      </c>
      <c r="AG551" s="474">
        <f t="shared" si="9"/>
        <v>5451156</v>
      </c>
      <c r="AI551" s="471"/>
      <c r="AJ551" s="471"/>
      <c r="AK551" s="471"/>
      <c r="AL551" s="471"/>
      <c r="AM551" s="212"/>
    </row>
    <row r="552" spans="1:39" hidden="1" x14ac:dyDescent="0.35">
      <c r="B552" s="477" t="s">
        <v>4297</v>
      </c>
      <c r="C552" s="212" t="s">
        <v>4298</v>
      </c>
      <c r="D552" s="478">
        <v>545</v>
      </c>
      <c r="E552" s="478">
        <v>20213000025353</v>
      </c>
      <c r="F552" s="479">
        <v>44326</v>
      </c>
      <c r="G552" s="478" t="s">
        <v>2538</v>
      </c>
      <c r="H552" s="212" t="s">
        <v>2539</v>
      </c>
      <c r="I552" s="212" t="s">
        <v>432</v>
      </c>
      <c r="J552" s="475">
        <v>1416000</v>
      </c>
      <c r="K552" s="212" t="s">
        <v>342</v>
      </c>
      <c r="L552" s="212" t="s">
        <v>351</v>
      </c>
      <c r="M552" s="212" t="s">
        <v>44</v>
      </c>
      <c r="N552" s="212" t="s">
        <v>4299</v>
      </c>
      <c r="O552" s="212" t="s">
        <v>255</v>
      </c>
      <c r="P552" s="212" t="s">
        <v>4300</v>
      </c>
      <c r="R552" s="212">
        <v>603</v>
      </c>
      <c r="S552" s="490">
        <v>44328</v>
      </c>
      <c r="T552" s="486" t="s">
        <v>4301</v>
      </c>
      <c r="U552" s="475">
        <v>1416000</v>
      </c>
      <c r="V552" s="406"/>
      <c r="W552" s="362"/>
      <c r="X552" s="483" t="s">
        <v>4302</v>
      </c>
      <c r="Y552" s="484">
        <v>44334</v>
      </c>
      <c r="Z552" s="484">
        <v>44334</v>
      </c>
      <c r="AA552" s="484">
        <v>44561</v>
      </c>
      <c r="AB552" s="486" t="s">
        <v>3004</v>
      </c>
      <c r="AC552" s="483" t="s">
        <v>3581</v>
      </c>
      <c r="AD552" s="486" t="s">
        <v>4303</v>
      </c>
      <c r="AE552" s="486" t="s">
        <v>4304</v>
      </c>
      <c r="AF552" s="473">
        <v>1416000</v>
      </c>
      <c r="AG552" s="474">
        <f t="shared" si="9"/>
        <v>0</v>
      </c>
      <c r="AM552" s="306">
        <v>1416000</v>
      </c>
    </row>
    <row r="553" spans="1:39" hidden="1" x14ac:dyDescent="0.35">
      <c r="C553" s="212" t="s">
        <v>4298</v>
      </c>
      <c r="D553" s="478">
        <v>545</v>
      </c>
      <c r="E553" s="478">
        <v>20213000025353</v>
      </c>
      <c r="F553" s="479">
        <v>44326</v>
      </c>
      <c r="G553" s="478" t="s">
        <v>2538</v>
      </c>
      <c r="H553" s="212" t="s">
        <v>2539</v>
      </c>
      <c r="I553" s="212" t="s">
        <v>432</v>
      </c>
      <c r="J553" s="475">
        <v>90888000</v>
      </c>
      <c r="K553" s="212" t="s">
        <v>342</v>
      </c>
      <c r="L553" s="212" t="s">
        <v>351</v>
      </c>
      <c r="M553" s="212" t="s">
        <v>44</v>
      </c>
      <c r="N553" s="212" t="s">
        <v>4299</v>
      </c>
      <c r="O553" s="212" t="s">
        <v>255</v>
      </c>
      <c r="P553" s="212" t="s">
        <v>4305</v>
      </c>
      <c r="R553" s="329">
        <v>603</v>
      </c>
      <c r="S553" s="490">
        <v>44328</v>
      </c>
      <c r="T553" s="486" t="s">
        <v>4301</v>
      </c>
      <c r="U553" s="475">
        <v>90888000</v>
      </c>
      <c r="V553" s="406"/>
      <c r="W553" s="362"/>
      <c r="X553" s="483" t="s">
        <v>4302</v>
      </c>
      <c r="Y553" s="484">
        <v>44334</v>
      </c>
      <c r="Z553" s="484">
        <v>44334</v>
      </c>
      <c r="AA553" s="484">
        <v>44561</v>
      </c>
      <c r="AB553" s="486" t="s">
        <v>3004</v>
      </c>
      <c r="AC553" s="483" t="s">
        <v>3581</v>
      </c>
      <c r="AD553" s="486" t="s">
        <v>4303</v>
      </c>
      <c r="AE553" s="486" t="s">
        <v>4304</v>
      </c>
      <c r="AF553" s="473">
        <v>90888000</v>
      </c>
      <c r="AG553" s="474">
        <f t="shared" si="9"/>
        <v>0</v>
      </c>
      <c r="AM553" s="306">
        <v>90888000</v>
      </c>
    </row>
    <row r="554" spans="1:39" hidden="1" x14ac:dyDescent="0.35">
      <c r="C554" s="212" t="s">
        <v>4298</v>
      </c>
      <c r="D554" s="386">
        <v>545</v>
      </c>
      <c r="E554" s="478">
        <v>20213000025353</v>
      </c>
      <c r="F554" s="479">
        <v>44326</v>
      </c>
      <c r="G554" s="478" t="s">
        <v>2538</v>
      </c>
      <c r="H554" s="212" t="s">
        <v>2539</v>
      </c>
      <c r="I554" s="212" t="s">
        <v>432</v>
      </c>
      <c r="J554" s="475">
        <v>23964000</v>
      </c>
      <c r="K554" s="212" t="s">
        <v>342</v>
      </c>
      <c r="L554" s="212" t="s">
        <v>351</v>
      </c>
      <c r="M554" s="212" t="s">
        <v>44</v>
      </c>
      <c r="N554" s="212" t="s">
        <v>4299</v>
      </c>
      <c r="O554" s="212" t="s">
        <v>255</v>
      </c>
      <c r="P554" s="212" t="s">
        <v>4306</v>
      </c>
      <c r="R554" s="329">
        <v>603</v>
      </c>
      <c r="S554" s="490">
        <v>44328</v>
      </c>
      <c r="T554" s="486" t="s">
        <v>4301</v>
      </c>
      <c r="U554" s="475">
        <v>23964000</v>
      </c>
      <c r="V554" s="406"/>
      <c r="W554" s="362"/>
      <c r="X554" s="483" t="s">
        <v>4302</v>
      </c>
      <c r="Y554" s="484">
        <v>44334</v>
      </c>
      <c r="Z554" s="484">
        <v>44334</v>
      </c>
      <c r="AA554" s="484">
        <v>44561</v>
      </c>
      <c r="AB554" s="486" t="s">
        <v>3004</v>
      </c>
      <c r="AC554" s="483" t="s">
        <v>3581</v>
      </c>
      <c r="AD554" s="486" t="s">
        <v>4303</v>
      </c>
      <c r="AE554" s="486" t="s">
        <v>4304</v>
      </c>
      <c r="AF554" s="473">
        <v>23964000</v>
      </c>
      <c r="AG554" s="474">
        <f t="shared" si="9"/>
        <v>0</v>
      </c>
      <c r="AM554" s="306">
        <v>23964000</v>
      </c>
    </row>
    <row r="555" spans="1:39" hidden="1" x14ac:dyDescent="0.35">
      <c r="A555" s="476" t="s">
        <v>2339</v>
      </c>
      <c r="B555" s="477">
        <v>37500000</v>
      </c>
      <c r="C555" s="212" t="s">
        <v>2544</v>
      </c>
      <c r="D555" s="478">
        <v>546</v>
      </c>
      <c r="E555" s="478">
        <v>20215000025453</v>
      </c>
      <c r="F555" s="479">
        <v>44326</v>
      </c>
      <c r="G555" s="478" t="s">
        <v>2538</v>
      </c>
      <c r="H555" s="212" t="s">
        <v>2539</v>
      </c>
      <c r="I555" s="210" t="s">
        <v>228</v>
      </c>
      <c r="J555" s="475">
        <v>37500000</v>
      </c>
      <c r="K555" s="212" t="s">
        <v>223</v>
      </c>
      <c r="L555" s="212" t="s">
        <v>2656</v>
      </c>
      <c r="M555" s="212" t="s">
        <v>44</v>
      </c>
      <c r="N555" s="212" t="s">
        <v>45</v>
      </c>
      <c r="O555" s="212" t="s">
        <v>63</v>
      </c>
      <c r="P555" s="212" t="s">
        <v>674</v>
      </c>
      <c r="R555" s="212">
        <v>601</v>
      </c>
      <c r="S555" s="490">
        <v>44328</v>
      </c>
      <c r="T555" s="486" t="s">
        <v>4307</v>
      </c>
      <c r="U555" s="475">
        <f>37500000-400000</f>
        <v>37100000</v>
      </c>
      <c r="V555" s="406">
        <v>400000</v>
      </c>
      <c r="W555" s="678" t="s">
        <v>1428</v>
      </c>
      <c r="X555" s="483" t="s">
        <v>4308</v>
      </c>
      <c r="Y555" s="484">
        <v>44344</v>
      </c>
      <c r="Z555" s="484">
        <v>44344</v>
      </c>
      <c r="AA555" s="484">
        <v>44557</v>
      </c>
      <c r="AB555" s="486" t="s">
        <v>2548</v>
      </c>
      <c r="AC555" s="483" t="s">
        <v>3932</v>
      </c>
      <c r="AD555" s="486" t="s">
        <v>4309</v>
      </c>
      <c r="AE555" s="486" t="s">
        <v>4310</v>
      </c>
      <c r="AF555" s="473">
        <v>37100000</v>
      </c>
      <c r="AG555" s="474">
        <f t="shared" si="9"/>
        <v>0</v>
      </c>
      <c r="AM555" s="212"/>
    </row>
    <row r="556" spans="1:39" hidden="1" x14ac:dyDescent="0.35">
      <c r="A556" s="466" t="s">
        <v>1925</v>
      </c>
      <c r="B556" s="467">
        <v>58872500</v>
      </c>
      <c r="C556" s="212" t="s">
        <v>2544</v>
      </c>
      <c r="D556" s="469">
        <v>547</v>
      </c>
      <c r="E556" s="469">
        <v>20217000025233</v>
      </c>
      <c r="F556" s="470">
        <v>44326</v>
      </c>
      <c r="G556" s="469" t="s">
        <v>2545</v>
      </c>
      <c r="H556" s="468" t="s">
        <v>2546</v>
      </c>
      <c r="I556" s="468" t="s">
        <v>164</v>
      </c>
      <c r="J556" s="471">
        <v>50877456</v>
      </c>
      <c r="K556" s="468" t="s">
        <v>138</v>
      </c>
      <c r="L556" s="468" t="s">
        <v>139</v>
      </c>
      <c r="M556" s="468" t="s">
        <v>44</v>
      </c>
      <c r="N556" s="468" t="s">
        <v>45</v>
      </c>
      <c r="O556" s="468" t="s">
        <v>142</v>
      </c>
      <c r="P556" s="468" t="s">
        <v>43</v>
      </c>
      <c r="Q556" s="468"/>
      <c r="R556" s="468">
        <v>600</v>
      </c>
      <c r="S556" s="528">
        <v>44328</v>
      </c>
      <c r="T556" s="529" t="s">
        <v>4311</v>
      </c>
      <c r="U556" s="471">
        <v>50877456</v>
      </c>
      <c r="V556" s="414"/>
      <c r="X556" s="483" t="s">
        <v>4312</v>
      </c>
      <c r="Y556" s="484">
        <v>44351</v>
      </c>
      <c r="Z556" s="484">
        <v>44351</v>
      </c>
      <c r="AA556" s="696">
        <v>44558</v>
      </c>
      <c r="AB556" s="486" t="s">
        <v>2548</v>
      </c>
      <c r="AC556" s="483" t="s">
        <v>3459</v>
      </c>
      <c r="AD556" s="486" t="s">
        <v>3724</v>
      </c>
      <c r="AE556" s="486" t="s">
        <v>3725</v>
      </c>
      <c r="AF556" s="496">
        <v>49666088</v>
      </c>
      <c r="AG556" s="474">
        <f t="shared" si="9"/>
        <v>1211368</v>
      </c>
      <c r="AI556" s="471"/>
      <c r="AJ556" s="471"/>
      <c r="AK556" s="471"/>
      <c r="AL556" s="471"/>
      <c r="AM556" s="212"/>
    </row>
    <row r="557" spans="1:39" hidden="1" x14ac:dyDescent="0.35">
      <c r="A557" s="476" t="s">
        <v>2198</v>
      </c>
      <c r="B557" s="477">
        <v>59000000</v>
      </c>
      <c r="C557" s="212" t="s">
        <v>4313</v>
      </c>
      <c r="D557" s="478">
        <v>548</v>
      </c>
      <c r="E557" s="478">
        <v>20211400025543</v>
      </c>
      <c r="F557" s="479">
        <v>44327</v>
      </c>
      <c r="G557" s="478" t="s">
        <v>2545</v>
      </c>
      <c r="H557" s="212" t="s">
        <v>2546</v>
      </c>
      <c r="I557" s="212" t="s">
        <v>184</v>
      </c>
      <c r="J557" s="475">
        <v>59000000</v>
      </c>
      <c r="K557" s="212" t="s">
        <v>138</v>
      </c>
      <c r="L557" s="212" t="s">
        <v>181</v>
      </c>
      <c r="M557" s="212" t="s">
        <v>2740</v>
      </c>
      <c r="N557" s="212" t="s">
        <v>157</v>
      </c>
      <c r="O557" s="212" t="s">
        <v>158</v>
      </c>
      <c r="P557" s="212" t="s">
        <v>43</v>
      </c>
      <c r="R557" s="212">
        <v>594</v>
      </c>
      <c r="S557" s="490">
        <v>44327</v>
      </c>
      <c r="T557" s="486" t="s">
        <v>4314</v>
      </c>
      <c r="U557" s="475">
        <v>59000000</v>
      </c>
      <c r="V557" s="406"/>
      <c r="W557" s="362"/>
      <c r="AG557" s="474">
        <f t="shared" si="9"/>
        <v>59000000</v>
      </c>
      <c r="AM557" s="212"/>
    </row>
    <row r="558" spans="1:39" hidden="1" x14ac:dyDescent="0.35">
      <c r="A558" s="476" t="s">
        <v>2341</v>
      </c>
      <c r="B558" s="477">
        <v>292754108</v>
      </c>
      <c r="C558" s="212" t="s">
        <v>4315</v>
      </c>
      <c r="D558" s="478">
        <v>549</v>
      </c>
      <c r="E558" s="478">
        <v>20211400025523</v>
      </c>
      <c r="F558" s="479">
        <v>44327</v>
      </c>
      <c r="G558" s="478" t="s">
        <v>2545</v>
      </c>
      <c r="H558" s="212" t="s">
        <v>2546</v>
      </c>
      <c r="I558" s="212" t="s">
        <v>184</v>
      </c>
      <c r="J558" s="475">
        <v>292754108</v>
      </c>
      <c r="K558" s="212" t="s">
        <v>138</v>
      </c>
      <c r="L558" s="212" t="s">
        <v>181</v>
      </c>
      <c r="M558" s="212" t="s">
        <v>2740</v>
      </c>
      <c r="N558" s="212" t="s">
        <v>157</v>
      </c>
      <c r="O558" s="212" t="s">
        <v>158</v>
      </c>
      <c r="P558" s="212" t="s">
        <v>43</v>
      </c>
      <c r="R558" s="212">
        <v>593</v>
      </c>
      <c r="S558" s="490">
        <v>44327</v>
      </c>
      <c r="T558" s="486" t="s">
        <v>4316</v>
      </c>
      <c r="U558" s="475">
        <v>292754108</v>
      </c>
      <c r="V558" s="406"/>
      <c r="X558" s="530" t="s">
        <v>4317</v>
      </c>
      <c r="Y558" s="491">
        <v>44372</v>
      </c>
      <c r="Z558" s="491">
        <v>44372</v>
      </c>
      <c r="AA558" s="697">
        <v>44561</v>
      </c>
      <c r="AB558" s="493" t="s">
        <v>3179</v>
      </c>
      <c r="AC558" s="530" t="s">
        <v>3347</v>
      </c>
      <c r="AD558" s="486" t="s">
        <v>3181</v>
      </c>
      <c r="AE558" s="486" t="s">
        <v>2741</v>
      </c>
      <c r="AF558" s="496">
        <v>292754108</v>
      </c>
      <c r="AG558" s="474">
        <f t="shared" si="9"/>
        <v>0</v>
      </c>
      <c r="AM558" s="212"/>
    </row>
    <row r="559" spans="1:39" ht="15.5" hidden="1" x14ac:dyDescent="0.35">
      <c r="A559" s="476" t="s">
        <v>2479</v>
      </c>
      <c r="B559" s="477">
        <v>52500000</v>
      </c>
      <c r="C559" s="212" t="s">
        <v>2544</v>
      </c>
      <c r="D559" s="478">
        <v>550</v>
      </c>
      <c r="E559" s="478">
        <v>20214000025633</v>
      </c>
      <c r="F559" s="479">
        <v>44327</v>
      </c>
      <c r="G559" s="478" t="s">
        <v>2578</v>
      </c>
      <c r="H559" s="212" t="s">
        <v>2579</v>
      </c>
      <c r="I559" s="212" t="s">
        <v>47</v>
      </c>
      <c r="J559" s="480">
        <v>49000000</v>
      </c>
      <c r="K559" s="212" t="s">
        <v>37</v>
      </c>
      <c r="L559" s="515" t="s">
        <v>2580</v>
      </c>
      <c r="M559" s="212" t="s">
        <v>44</v>
      </c>
      <c r="N559" s="212" t="s">
        <v>45</v>
      </c>
      <c r="O559" s="212" t="s">
        <v>310</v>
      </c>
      <c r="P559" s="212" t="s">
        <v>43</v>
      </c>
      <c r="R559" s="212">
        <v>597</v>
      </c>
      <c r="S559" s="490">
        <v>44327</v>
      </c>
      <c r="T559" s="486" t="s">
        <v>4318</v>
      </c>
      <c r="U559" s="475">
        <v>49000000</v>
      </c>
      <c r="V559" s="406"/>
      <c r="W559" s="362"/>
      <c r="X559" s="483" t="s">
        <v>4319</v>
      </c>
      <c r="Y559" s="484">
        <v>44336</v>
      </c>
      <c r="Z559" s="484">
        <v>44336</v>
      </c>
      <c r="AA559" s="484">
        <v>44549</v>
      </c>
      <c r="AB559" s="486" t="s">
        <v>2548</v>
      </c>
      <c r="AC559" s="483" t="s">
        <v>4070</v>
      </c>
      <c r="AD559" s="486" t="s">
        <v>4320</v>
      </c>
      <c r="AE559" s="486" t="s">
        <v>4321</v>
      </c>
      <c r="AF559" s="473">
        <v>49000000</v>
      </c>
      <c r="AG559" s="474">
        <f t="shared" si="9"/>
        <v>0</v>
      </c>
      <c r="AM559" s="306">
        <v>2566667</v>
      </c>
    </row>
    <row r="560" spans="1:39" hidden="1" x14ac:dyDescent="0.35">
      <c r="A560" s="466" t="s">
        <v>2346</v>
      </c>
      <c r="B560" s="467">
        <v>18600000</v>
      </c>
      <c r="C560" s="212" t="s">
        <v>2544</v>
      </c>
      <c r="D560" s="469">
        <v>551</v>
      </c>
      <c r="E560" s="469">
        <v>20217000025593</v>
      </c>
      <c r="F560" s="470">
        <v>44327</v>
      </c>
      <c r="G560" s="469" t="s">
        <v>2545</v>
      </c>
      <c r="H560" s="468" t="s">
        <v>2546</v>
      </c>
      <c r="I560" s="468" t="s">
        <v>164</v>
      </c>
      <c r="J560" s="471">
        <v>14536416</v>
      </c>
      <c r="K560" s="468" t="s">
        <v>138</v>
      </c>
      <c r="L560" s="468" t="s">
        <v>139</v>
      </c>
      <c r="M560" s="468" t="s">
        <v>44</v>
      </c>
      <c r="N560" s="468" t="s">
        <v>45</v>
      </c>
      <c r="O560" s="468" t="s">
        <v>142</v>
      </c>
      <c r="P560" s="468" t="s">
        <v>43</v>
      </c>
      <c r="Q560" s="468"/>
      <c r="R560" s="468">
        <v>595</v>
      </c>
      <c r="S560" s="528">
        <v>44327</v>
      </c>
      <c r="T560" s="529" t="s">
        <v>4322</v>
      </c>
      <c r="U560" s="471">
        <v>14536416</v>
      </c>
      <c r="V560" s="414"/>
      <c r="X560" s="483" t="s">
        <v>4323</v>
      </c>
      <c r="Y560" s="484">
        <v>44351</v>
      </c>
      <c r="Z560" s="484">
        <v>44351</v>
      </c>
      <c r="AA560" s="696">
        <v>44472</v>
      </c>
      <c r="AB560" s="486" t="s">
        <v>2548</v>
      </c>
      <c r="AC560" s="483" t="s">
        <v>3675</v>
      </c>
      <c r="AD560" s="486" t="s">
        <v>3861</v>
      </c>
      <c r="AE560" s="486" t="s">
        <v>3862</v>
      </c>
      <c r="AF560" s="496">
        <v>14536416</v>
      </c>
      <c r="AG560" s="474">
        <f t="shared" si="9"/>
        <v>0</v>
      </c>
      <c r="AI560" s="471"/>
      <c r="AJ560" s="471"/>
      <c r="AK560" s="471"/>
      <c r="AL560" s="471"/>
      <c r="AM560" s="212"/>
    </row>
    <row r="561" spans="1:39" hidden="1" x14ac:dyDescent="0.35">
      <c r="A561" s="476" t="s">
        <v>2101</v>
      </c>
      <c r="B561" s="477">
        <v>40000000</v>
      </c>
      <c r="C561" s="212" t="s">
        <v>2544</v>
      </c>
      <c r="D561" s="478">
        <v>552</v>
      </c>
      <c r="E561" s="478">
        <v>20211200025623</v>
      </c>
      <c r="F561" s="479">
        <v>44327</v>
      </c>
      <c r="G561" s="478" t="s">
        <v>2545</v>
      </c>
      <c r="H561" s="212" t="s">
        <v>2546</v>
      </c>
      <c r="I561" s="212" t="s">
        <v>143</v>
      </c>
      <c r="J561" s="475">
        <v>15000000</v>
      </c>
      <c r="K561" s="212" t="s">
        <v>138</v>
      </c>
      <c r="L561" s="212" t="s">
        <v>139</v>
      </c>
      <c r="M561" s="212" t="s">
        <v>44</v>
      </c>
      <c r="N561" s="212" t="s">
        <v>45</v>
      </c>
      <c r="O561" s="212" t="s">
        <v>142</v>
      </c>
      <c r="P561" s="212" t="s">
        <v>43</v>
      </c>
      <c r="R561" s="212">
        <v>596</v>
      </c>
      <c r="S561" s="490">
        <v>44327</v>
      </c>
      <c r="T561" s="486" t="s">
        <v>4324</v>
      </c>
      <c r="U561" s="475">
        <v>15000000</v>
      </c>
      <c r="V561" s="406"/>
      <c r="W561" s="362"/>
      <c r="X561" s="483" t="s">
        <v>4325</v>
      </c>
      <c r="Y561" s="484">
        <v>44337</v>
      </c>
      <c r="Z561" s="484">
        <v>44337</v>
      </c>
      <c r="AA561" s="484">
        <v>44428</v>
      </c>
      <c r="AB561" s="486" t="s">
        <v>2548</v>
      </c>
      <c r="AC561" s="483" t="s">
        <v>3482</v>
      </c>
      <c r="AD561" s="486" t="s">
        <v>4326</v>
      </c>
      <c r="AE561" s="486" t="s">
        <v>4327</v>
      </c>
      <c r="AF561" s="473">
        <v>15000000</v>
      </c>
      <c r="AG561" s="474">
        <f t="shared" si="9"/>
        <v>0</v>
      </c>
      <c r="AM561" s="306">
        <v>1666667</v>
      </c>
    </row>
    <row r="562" spans="1:39" hidden="1" x14ac:dyDescent="0.35">
      <c r="A562" s="476" t="s">
        <v>1842</v>
      </c>
      <c r="B562" s="477">
        <v>34850000</v>
      </c>
      <c r="C562" s="212" t="s">
        <v>2544</v>
      </c>
      <c r="D562" s="478">
        <v>553</v>
      </c>
      <c r="E562" s="478">
        <v>20212000025663</v>
      </c>
      <c r="F562" s="479">
        <v>44327</v>
      </c>
      <c r="G562" s="478" t="s">
        <v>2538</v>
      </c>
      <c r="H562" s="212" t="s">
        <v>2539</v>
      </c>
      <c r="I562" s="212" t="s">
        <v>391</v>
      </c>
      <c r="J562" s="475">
        <v>30660000</v>
      </c>
      <c r="K562" s="210" t="s">
        <v>2609</v>
      </c>
      <c r="L562" s="212" t="s">
        <v>2610</v>
      </c>
      <c r="M562" s="210" t="s">
        <v>44</v>
      </c>
      <c r="N562" s="210" t="s">
        <v>45</v>
      </c>
      <c r="O562" s="212" t="s">
        <v>63</v>
      </c>
      <c r="P562" s="212" t="s">
        <v>674</v>
      </c>
      <c r="R562" s="212">
        <v>607</v>
      </c>
      <c r="S562" s="490">
        <v>44329</v>
      </c>
      <c r="T562" s="486" t="s">
        <v>4328</v>
      </c>
      <c r="U562" s="475">
        <v>30660000</v>
      </c>
      <c r="V562" s="406"/>
      <c r="W562" s="362"/>
      <c r="X562" s="308">
        <v>557</v>
      </c>
      <c r="Y562" s="472">
        <v>44343</v>
      </c>
      <c r="Z562" s="484">
        <v>44343</v>
      </c>
      <c r="AA562" s="484">
        <v>44556</v>
      </c>
      <c r="AB562" s="486" t="s">
        <v>2548</v>
      </c>
      <c r="AC562" s="483" t="s">
        <v>3944</v>
      </c>
      <c r="AD562" s="486" t="s">
        <v>4329</v>
      </c>
      <c r="AE562" s="486" t="s">
        <v>4330</v>
      </c>
      <c r="AF562" s="473">
        <v>28616000</v>
      </c>
      <c r="AG562" s="474">
        <f t="shared" si="9"/>
        <v>2044000</v>
      </c>
      <c r="AM562" s="212"/>
    </row>
    <row r="563" spans="1:39" hidden="1" x14ac:dyDescent="0.35">
      <c r="A563" s="466" t="s">
        <v>2348</v>
      </c>
      <c r="B563" s="467">
        <v>17025000</v>
      </c>
      <c r="C563" s="212" t="s">
        <v>2544</v>
      </c>
      <c r="D563" s="469">
        <v>554</v>
      </c>
      <c r="E563" s="469">
        <v>20212000025673</v>
      </c>
      <c r="F563" s="470">
        <v>44327</v>
      </c>
      <c r="G563" s="469" t="s">
        <v>2538</v>
      </c>
      <c r="H563" s="468" t="s">
        <v>2539</v>
      </c>
      <c r="I563" s="468" t="s">
        <v>391</v>
      </c>
      <c r="J563" s="471">
        <v>17025000</v>
      </c>
      <c r="K563" s="377" t="s">
        <v>2609</v>
      </c>
      <c r="L563" s="468" t="s">
        <v>2610</v>
      </c>
      <c r="M563" s="377" t="s">
        <v>44</v>
      </c>
      <c r="N563" s="377" t="s">
        <v>45</v>
      </c>
      <c r="O563" s="468" t="s">
        <v>63</v>
      </c>
      <c r="P563" s="212" t="s">
        <v>674</v>
      </c>
      <c r="Q563" s="468"/>
      <c r="R563" s="468">
        <v>608</v>
      </c>
      <c r="S563" s="528">
        <v>44329</v>
      </c>
      <c r="T563" s="529" t="s">
        <v>4331</v>
      </c>
      <c r="U563" s="471">
        <v>17025000</v>
      </c>
      <c r="V563" s="414"/>
      <c r="X563" s="483" t="s">
        <v>4332</v>
      </c>
      <c r="Y563" s="484">
        <v>44355</v>
      </c>
      <c r="Z563" s="484">
        <v>44355</v>
      </c>
      <c r="AA563" s="696">
        <v>44554</v>
      </c>
      <c r="AB563" s="486" t="s">
        <v>2548</v>
      </c>
      <c r="AC563" s="483" t="s">
        <v>3899</v>
      </c>
      <c r="AD563" s="486" t="s">
        <v>4333</v>
      </c>
      <c r="AE563" s="486" t="s">
        <v>4334</v>
      </c>
      <c r="AF563" s="496">
        <v>14755000</v>
      </c>
      <c r="AG563" s="474">
        <f t="shared" si="9"/>
        <v>2270000</v>
      </c>
      <c r="AI563" s="471"/>
      <c r="AJ563" s="471"/>
      <c r="AK563" s="471"/>
      <c r="AL563" s="471"/>
      <c r="AM563" s="212"/>
    </row>
    <row r="564" spans="1:39" hidden="1" x14ac:dyDescent="0.35">
      <c r="A564" s="476" t="s">
        <v>2349</v>
      </c>
      <c r="B564" s="477">
        <v>42075000</v>
      </c>
      <c r="C564" s="212" t="s">
        <v>2544</v>
      </c>
      <c r="D564" s="478">
        <v>555</v>
      </c>
      <c r="E564" s="478">
        <v>20212000025683</v>
      </c>
      <c r="F564" s="479">
        <v>44327</v>
      </c>
      <c r="G564" s="478" t="s">
        <v>2538</v>
      </c>
      <c r="H564" s="212" t="s">
        <v>2539</v>
      </c>
      <c r="I564" s="212" t="s">
        <v>391</v>
      </c>
      <c r="J564" s="475">
        <v>42075000</v>
      </c>
      <c r="K564" s="210" t="s">
        <v>2609</v>
      </c>
      <c r="L564" s="212" t="s">
        <v>2610</v>
      </c>
      <c r="M564" s="210" t="s">
        <v>44</v>
      </c>
      <c r="N564" s="210" t="s">
        <v>45</v>
      </c>
      <c r="O564" s="212" t="s">
        <v>63</v>
      </c>
      <c r="P564" s="212" t="s">
        <v>674</v>
      </c>
      <c r="R564" s="212">
        <v>609</v>
      </c>
      <c r="S564" s="490">
        <v>44329</v>
      </c>
      <c r="T564" s="486" t="s">
        <v>4335</v>
      </c>
      <c r="U564" s="475">
        <v>42075000</v>
      </c>
      <c r="V564" s="406"/>
      <c r="X564" s="483" t="s">
        <v>4336</v>
      </c>
      <c r="Y564" s="484">
        <v>44355</v>
      </c>
      <c r="Z564" s="484">
        <v>44355</v>
      </c>
      <c r="AA564" s="696">
        <v>44553</v>
      </c>
      <c r="AB564" s="486" t="s">
        <v>2548</v>
      </c>
      <c r="AC564" s="483" t="s">
        <v>3506</v>
      </c>
      <c r="AD564" s="486" t="s">
        <v>4337</v>
      </c>
      <c r="AE564" s="486" t="s">
        <v>4338</v>
      </c>
      <c r="AF564" s="496">
        <v>36465000</v>
      </c>
      <c r="AG564" s="474">
        <f t="shared" si="9"/>
        <v>5610000</v>
      </c>
      <c r="AM564" s="212"/>
    </row>
    <row r="565" spans="1:39" hidden="1" x14ac:dyDescent="0.35">
      <c r="A565" s="476" t="s">
        <v>1828</v>
      </c>
      <c r="B565" s="477">
        <v>44517774</v>
      </c>
      <c r="C565" s="212" t="s">
        <v>2544</v>
      </c>
      <c r="D565" s="478">
        <v>556</v>
      </c>
      <c r="E565" s="478">
        <v>20217000025743</v>
      </c>
      <c r="F565" s="479">
        <v>44327</v>
      </c>
      <c r="G565" s="478" t="s">
        <v>2545</v>
      </c>
      <c r="H565" s="212" t="s">
        <v>2546</v>
      </c>
      <c r="I565" s="212" t="s">
        <v>164</v>
      </c>
      <c r="J565" s="475">
        <v>17530120</v>
      </c>
      <c r="K565" s="212" t="s">
        <v>138</v>
      </c>
      <c r="L565" s="212" t="s">
        <v>139</v>
      </c>
      <c r="M565" s="212" t="s">
        <v>44</v>
      </c>
      <c r="N565" s="212" t="s">
        <v>45</v>
      </c>
      <c r="O565" s="212" t="s">
        <v>142</v>
      </c>
      <c r="P565" s="212" t="s">
        <v>43</v>
      </c>
      <c r="R565" s="212">
        <v>610</v>
      </c>
      <c r="S565" s="490">
        <v>44329</v>
      </c>
      <c r="T565" s="486" t="s">
        <v>4339</v>
      </c>
      <c r="U565" s="475">
        <v>17530120</v>
      </c>
      <c r="V565" s="406"/>
      <c r="W565" s="362"/>
      <c r="X565" s="483" t="s">
        <v>4340</v>
      </c>
      <c r="Y565" s="484">
        <v>44341</v>
      </c>
      <c r="Z565" s="484">
        <v>44341</v>
      </c>
      <c r="AA565" s="484">
        <v>44463</v>
      </c>
      <c r="AB565" s="486" t="s">
        <v>2548</v>
      </c>
      <c r="AC565" s="483" t="s">
        <v>2995</v>
      </c>
      <c r="AD565" s="486" t="s">
        <v>3153</v>
      </c>
      <c r="AE565" s="486" t="s">
        <v>3154</v>
      </c>
      <c r="AF565" s="473">
        <v>17530120</v>
      </c>
      <c r="AG565" s="474">
        <f t="shared" si="9"/>
        <v>0</v>
      </c>
      <c r="AM565" s="212"/>
    </row>
    <row r="566" spans="1:39" hidden="1" x14ac:dyDescent="0.35">
      <c r="A566" s="476" t="s">
        <v>2301</v>
      </c>
      <c r="B566" s="477">
        <v>19078983</v>
      </c>
      <c r="C566" s="212" t="s">
        <v>2544</v>
      </c>
      <c r="D566" s="478">
        <v>557</v>
      </c>
      <c r="E566" s="478">
        <v>20211400025823</v>
      </c>
      <c r="F566" s="479">
        <v>44328</v>
      </c>
      <c r="G566" s="478" t="s">
        <v>2545</v>
      </c>
      <c r="H566" s="212" t="s">
        <v>2546</v>
      </c>
      <c r="I566" s="212" t="s">
        <v>184</v>
      </c>
      <c r="J566" s="475">
        <v>19078983</v>
      </c>
      <c r="K566" s="212" t="s">
        <v>138</v>
      </c>
      <c r="L566" s="212" t="s">
        <v>181</v>
      </c>
      <c r="M566" s="212" t="s">
        <v>44</v>
      </c>
      <c r="N566" s="212" t="s">
        <v>45</v>
      </c>
      <c r="O566" s="212" t="s">
        <v>142</v>
      </c>
      <c r="P566" s="212" t="s">
        <v>43</v>
      </c>
      <c r="R566" s="212">
        <v>604</v>
      </c>
      <c r="S566" s="490">
        <v>44328</v>
      </c>
      <c r="T566" s="486" t="s">
        <v>4341</v>
      </c>
      <c r="U566" s="475">
        <v>19078983</v>
      </c>
      <c r="V566" s="406"/>
      <c r="W566" s="362"/>
      <c r="X566" s="483" t="s">
        <v>4342</v>
      </c>
      <c r="Y566" s="484">
        <v>44341</v>
      </c>
      <c r="Z566" s="484">
        <v>44341</v>
      </c>
      <c r="AA566" s="484">
        <v>44554</v>
      </c>
      <c r="AB566" s="486" t="s">
        <v>2548</v>
      </c>
      <c r="AC566" s="483" t="s">
        <v>3016</v>
      </c>
      <c r="AD566" s="486" t="s">
        <v>4024</v>
      </c>
      <c r="AE566" s="486" t="s">
        <v>4025</v>
      </c>
      <c r="AF566" s="473">
        <v>19078983</v>
      </c>
      <c r="AG566" s="474">
        <f t="shared" si="9"/>
        <v>0</v>
      </c>
      <c r="AM566" s="212"/>
    </row>
    <row r="567" spans="1:39" hidden="1" x14ac:dyDescent="0.35">
      <c r="A567" s="476" t="s">
        <v>1724</v>
      </c>
      <c r="B567" s="477">
        <v>56000000</v>
      </c>
      <c r="C567" s="212" t="s">
        <v>2544</v>
      </c>
      <c r="D567" s="478">
        <v>558</v>
      </c>
      <c r="E567" s="478">
        <v>20215000025853</v>
      </c>
      <c r="F567" s="479">
        <v>44328</v>
      </c>
      <c r="G567" s="478" t="s">
        <v>2538</v>
      </c>
      <c r="H567" s="212" t="s">
        <v>2539</v>
      </c>
      <c r="I567" s="210" t="s">
        <v>228</v>
      </c>
      <c r="J567" s="475">
        <v>53900000</v>
      </c>
      <c r="K567" s="212" t="s">
        <v>223</v>
      </c>
      <c r="L567" s="212" t="s">
        <v>2656</v>
      </c>
      <c r="M567" s="212" t="s">
        <v>44</v>
      </c>
      <c r="N567" s="212" t="s">
        <v>45</v>
      </c>
      <c r="O567" s="212" t="s">
        <v>63</v>
      </c>
      <c r="P567" s="212" t="s">
        <v>674</v>
      </c>
      <c r="R567" s="212">
        <v>605</v>
      </c>
      <c r="S567" s="490">
        <v>44328</v>
      </c>
      <c r="T567" s="486" t="s">
        <v>4343</v>
      </c>
      <c r="U567" s="475">
        <v>53900000</v>
      </c>
      <c r="V567" s="406"/>
      <c r="W567" s="362"/>
      <c r="X567" s="483" t="s">
        <v>4344</v>
      </c>
      <c r="Y567" s="484">
        <v>44335</v>
      </c>
      <c r="Z567" s="484">
        <v>44335</v>
      </c>
      <c r="AA567" s="484">
        <v>44548</v>
      </c>
      <c r="AB567" s="486" t="s">
        <v>2548</v>
      </c>
      <c r="AC567" s="483" t="s">
        <v>4047</v>
      </c>
      <c r="AD567" s="486" t="s">
        <v>4345</v>
      </c>
      <c r="AE567" s="486" t="s">
        <v>4346</v>
      </c>
      <c r="AF567" s="473">
        <v>53900000</v>
      </c>
      <c r="AG567" s="474">
        <f t="shared" si="9"/>
        <v>0</v>
      </c>
      <c r="AM567" s="212"/>
    </row>
    <row r="568" spans="1:39" hidden="1" x14ac:dyDescent="0.35">
      <c r="A568" s="466" t="s">
        <v>2025</v>
      </c>
      <c r="B568" s="467">
        <v>42400000</v>
      </c>
      <c r="C568" s="212" t="s">
        <v>2544</v>
      </c>
      <c r="D568" s="469">
        <v>559</v>
      </c>
      <c r="E568" s="469">
        <v>20215000025873</v>
      </c>
      <c r="F568" s="470">
        <v>44328</v>
      </c>
      <c r="G568" s="378" t="s">
        <v>2538</v>
      </c>
      <c r="H568" s="377" t="s">
        <v>2539</v>
      </c>
      <c r="I568" s="377" t="s">
        <v>228</v>
      </c>
      <c r="J568" s="425">
        <v>42400000</v>
      </c>
      <c r="K568" s="377" t="s">
        <v>223</v>
      </c>
      <c r="L568" s="468" t="s">
        <v>236</v>
      </c>
      <c r="M568" s="377" t="s">
        <v>44</v>
      </c>
      <c r="N568" s="377" t="s">
        <v>45</v>
      </c>
      <c r="O568" s="377" t="s">
        <v>63</v>
      </c>
      <c r="P568" s="212" t="s">
        <v>674</v>
      </c>
      <c r="Q568" s="468"/>
      <c r="R568" s="468">
        <v>606</v>
      </c>
      <c r="S568" s="528">
        <v>44328</v>
      </c>
      <c r="T568" s="529" t="s">
        <v>4347</v>
      </c>
      <c r="U568" s="475">
        <f>42400000-18400000</f>
        <v>24000000</v>
      </c>
      <c r="V568" s="414">
        <v>18400000</v>
      </c>
      <c r="W568" s="680" t="s">
        <v>1428</v>
      </c>
      <c r="X568" s="483">
        <v>593</v>
      </c>
      <c r="Y568" s="484">
        <v>44362</v>
      </c>
      <c r="Z568" s="484">
        <v>44362</v>
      </c>
      <c r="AA568" s="484">
        <v>44544</v>
      </c>
      <c r="AB568" s="486" t="s">
        <v>2548</v>
      </c>
      <c r="AC568" s="483" t="s">
        <v>3780</v>
      </c>
      <c r="AD568" s="486" t="s">
        <v>4348</v>
      </c>
      <c r="AE568" s="486" t="s">
        <v>4349</v>
      </c>
      <c r="AF568" s="473">
        <v>24000000</v>
      </c>
      <c r="AG568" s="474">
        <f t="shared" si="9"/>
        <v>0</v>
      </c>
      <c r="AI568" s="471"/>
      <c r="AJ568" s="471"/>
      <c r="AK568" s="471"/>
      <c r="AL568" s="471"/>
      <c r="AM568" s="212"/>
    </row>
    <row r="569" spans="1:39" s="312" customFormat="1" hidden="1" x14ac:dyDescent="0.35">
      <c r="A569" s="361" t="s">
        <v>4350</v>
      </c>
      <c r="B569" s="417">
        <v>34000000</v>
      </c>
      <c r="C569" s="312" t="s">
        <v>2660</v>
      </c>
      <c r="D569" s="325">
        <v>560</v>
      </c>
      <c r="E569" s="325">
        <v>20211200025723</v>
      </c>
      <c r="F569" s="315">
        <v>44329</v>
      </c>
      <c r="G569" s="325" t="s">
        <v>2545</v>
      </c>
      <c r="H569" s="312" t="s">
        <v>2546</v>
      </c>
      <c r="I569" s="312" t="s">
        <v>143</v>
      </c>
      <c r="J569" s="405">
        <v>34000000</v>
      </c>
      <c r="K569" s="312" t="s">
        <v>138</v>
      </c>
      <c r="L569" s="312" t="s">
        <v>139</v>
      </c>
      <c r="M569" s="312" t="s">
        <v>44</v>
      </c>
      <c r="N569" s="312" t="s">
        <v>45</v>
      </c>
      <c r="O569" s="312" t="s">
        <v>142</v>
      </c>
      <c r="P569" s="312" t="s">
        <v>43</v>
      </c>
      <c r="R569" s="312">
        <v>611</v>
      </c>
      <c r="S569" s="363">
        <v>44330</v>
      </c>
      <c r="T569" s="360" t="s">
        <v>4351</v>
      </c>
      <c r="U569" s="405">
        <f>34000000</f>
        <v>34000000</v>
      </c>
      <c r="V569" s="406" t="s">
        <v>4352</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x14ac:dyDescent="0.35">
      <c r="A570" s="476" t="s">
        <v>1879</v>
      </c>
      <c r="B570" s="477">
        <v>32706936</v>
      </c>
      <c r="C570" s="212" t="s">
        <v>2544</v>
      </c>
      <c r="D570" s="478">
        <v>561</v>
      </c>
      <c r="E570" s="478">
        <v>20217000025973</v>
      </c>
      <c r="F570" s="479">
        <v>44329</v>
      </c>
      <c r="G570" s="478" t="s">
        <v>2545</v>
      </c>
      <c r="H570" s="212" t="s">
        <v>2546</v>
      </c>
      <c r="I570" s="212" t="s">
        <v>164</v>
      </c>
      <c r="J570" s="475">
        <v>21804624</v>
      </c>
      <c r="K570" s="212" t="s">
        <v>138</v>
      </c>
      <c r="L570" s="212" t="s">
        <v>139</v>
      </c>
      <c r="M570" s="212" t="s">
        <v>44</v>
      </c>
      <c r="N570" s="212" t="s">
        <v>45</v>
      </c>
      <c r="O570" s="212" t="s">
        <v>142</v>
      </c>
      <c r="P570" s="212" t="s">
        <v>43</v>
      </c>
      <c r="R570" s="212">
        <v>612</v>
      </c>
      <c r="S570" s="490">
        <v>44330</v>
      </c>
      <c r="T570" s="486" t="s">
        <v>4353</v>
      </c>
      <c r="U570" s="475">
        <v>21804624</v>
      </c>
      <c r="V570" s="406"/>
      <c r="W570" s="362"/>
      <c r="X570" s="483" t="s">
        <v>4354</v>
      </c>
      <c r="Y570" s="472">
        <v>44343</v>
      </c>
      <c r="Z570" s="484">
        <v>44343</v>
      </c>
      <c r="AA570" s="484">
        <v>44526</v>
      </c>
      <c r="AB570" s="486" t="s">
        <v>2548</v>
      </c>
      <c r="AC570" s="483" t="s">
        <v>4355</v>
      </c>
      <c r="AD570" s="486" t="s">
        <v>3756</v>
      </c>
      <c r="AE570" s="486" t="s">
        <v>3757</v>
      </c>
      <c r="AF570" s="473">
        <v>21804624</v>
      </c>
      <c r="AG570" s="474">
        <f t="shared" si="9"/>
        <v>0</v>
      </c>
      <c r="AM570" s="212"/>
    </row>
    <row r="571" spans="1:39" s="210" customFormat="1" hidden="1" x14ac:dyDescent="0.35">
      <c r="A571" s="313" t="s">
        <v>2417</v>
      </c>
      <c r="B571" s="419">
        <v>96000000</v>
      </c>
      <c r="C571" s="212" t="s">
        <v>2544</v>
      </c>
      <c r="D571" s="309">
        <v>562</v>
      </c>
      <c r="E571" s="366">
        <v>20213000026013</v>
      </c>
      <c r="F571" s="310">
        <v>44330</v>
      </c>
      <c r="G571" s="309" t="s">
        <v>2538</v>
      </c>
      <c r="H571" s="210" t="s">
        <v>2539</v>
      </c>
      <c r="I571" s="210" t="s">
        <v>432</v>
      </c>
      <c r="J571" s="407">
        <v>95340000</v>
      </c>
      <c r="K571" s="212" t="s">
        <v>342</v>
      </c>
      <c r="L571" s="210" t="s">
        <v>351</v>
      </c>
      <c r="M571" s="210" t="s">
        <v>44</v>
      </c>
      <c r="N571" s="210" t="s">
        <v>45</v>
      </c>
      <c r="O571" s="210" t="s">
        <v>63</v>
      </c>
      <c r="P571" s="212" t="s">
        <v>674</v>
      </c>
      <c r="R571" s="210">
        <v>613</v>
      </c>
      <c r="S571" s="490">
        <v>44330</v>
      </c>
      <c r="T571" s="486" t="s">
        <v>2417</v>
      </c>
      <c r="U571" s="407">
        <v>95340000</v>
      </c>
      <c r="V571" s="415"/>
      <c r="W571" s="401"/>
      <c r="X571" s="483" t="s">
        <v>4356</v>
      </c>
      <c r="Y571" s="484">
        <v>44336</v>
      </c>
      <c r="Z571" s="484">
        <v>44336</v>
      </c>
      <c r="AA571" s="484">
        <v>44549</v>
      </c>
      <c r="AB571" s="486" t="s">
        <v>2548</v>
      </c>
      <c r="AC571" s="483" t="s">
        <v>3797</v>
      </c>
      <c r="AD571" s="486" t="s">
        <v>4357</v>
      </c>
      <c r="AE571" s="486" t="s">
        <v>4358</v>
      </c>
      <c r="AF571" s="473">
        <v>95340000</v>
      </c>
      <c r="AG571" s="474">
        <f t="shared" si="9"/>
        <v>0</v>
      </c>
      <c r="AH571" s="407"/>
      <c r="AI571" s="407"/>
      <c r="AJ571" s="407"/>
      <c r="AK571" s="407"/>
      <c r="AL571" s="475"/>
      <c r="AM571" s="212"/>
    </row>
    <row r="572" spans="1:39" hidden="1" x14ac:dyDescent="0.35">
      <c r="A572" s="387" t="s">
        <v>2440</v>
      </c>
      <c r="B572" s="422">
        <v>90000000</v>
      </c>
      <c r="C572" s="212" t="s">
        <v>2544</v>
      </c>
      <c r="D572" s="469">
        <v>563</v>
      </c>
      <c r="E572" s="469">
        <v>20213000026073</v>
      </c>
      <c r="F572" s="385">
        <v>44330</v>
      </c>
      <c r="G572" s="378" t="s">
        <v>2538</v>
      </c>
      <c r="H572" s="377" t="s">
        <v>2539</v>
      </c>
      <c r="I572" s="377" t="s">
        <v>432</v>
      </c>
      <c r="J572" s="424">
        <v>90000000</v>
      </c>
      <c r="K572" s="468" t="s">
        <v>342</v>
      </c>
      <c r="L572" s="377" t="s">
        <v>351</v>
      </c>
      <c r="M572" s="377" t="s">
        <v>44</v>
      </c>
      <c r="N572" s="377" t="s">
        <v>45</v>
      </c>
      <c r="O572" s="377" t="s">
        <v>63</v>
      </c>
      <c r="P572" s="212" t="s">
        <v>674</v>
      </c>
      <c r="Q572" s="468"/>
      <c r="R572" s="468">
        <v>614</v>
      </c>
      <c r="S572" s="528">
        <v>44330</v>
      </c>
      <c r="T572" s="529" t="s">
        <v>2440</v>
      </c>
      <c r="U572" s="471">
        <v>90000000</v>
      </c>
      <c r="V572" s="414"/>
      <c r="W572" s="379"/>
      <c r="AG572" s="474">
        <f t="shared" si="9"/>
        <v>90000000</v>
      </c>
      <c r="AI572" s="471"/>
      <c r="AJ572" s="471"/>
      <c r="AK572" s="471"/>
      <c r="AL572" s="471"/>
      <c r="AM572" s="212"/>
    </row>
    <row r="573" spans="1:39" hidden="1" x14ac:dyDescent="0.35">
      <c r="A573" s="313" t="s">
        <v>2347</v>
      </c>
      <c r="B573" s="419">
        <v>18000000</v>
      </c>
      <c r="C573" s="212" t="s">
        <v>2544</v>
      </c>
      <c r="D573" s="478">
        <v>564</v>
      </c>
      <c r="E573" s="478">
        <v>20217000025983</v>
      </c>
      <c r="F573" s="310">
        <v>44334</v>
      </c>
      <c r="G573" s="478" t="s">
        <v>2545</v>
      </c>
      <c r="H573" s="212" t="s">
        <v>2546</v>
      </c>
      <c r="I573" s="212" t="s">
        <v>164</v>
      </c>
      <c r="J573" s="475">
        <v>17928246</v>
      </c>
      <c r="K573" s="212" t="s">
        <v>138</v>
      </c>
      <c r="L573" s="212" t="s">
        <v>139</v>
      </c>
      <c r="M573" s="212" t="s">
        <v>44</v>
      </c>
      <c r="N573" s="212" t="s">
        <v>45</v>
      </c>
      <c r="O573" s="212" t="s">
        <v>142</v>
      </c>
      <c r="P573" s="212" t="s">
        <v>43</v>
      </c>
      <c r="R573" s="212">
        <v>615</v>
      </c>
      <c r="S573" s="490">
        <v>44335</v>
      </c>
      <c r="T573" s="212" t="s">
        <v>2347</v>
      </c>
      <c r="U573" s="475">
        <v>17928246</v>
      </c>
      <c r="V573" s="406"/>
      <c r="X573" s="483" t="s">
        <v>4359</v>
      </c>
      <c r="Y573" s="484">
        <v>44351</v>
      </c>
      <c r="Z573" s="484">
        <v>44351</v>
      </c>
      <c r="AA573" s="484">
        <v>44489</v>
      </c>
      <c r="AB573" s="486" t="s">
        <v>2548</v>
      </c>
      <c r="AC573" s="483" t="s">
        <v>4063</v>
      </c>
      <c r="AD573" s="486" t="s">
        <v>3226</v>
      </c>
      <c r="AE573" s="486" t="s">
        <v>3227</v>
      </c>
      <c r="AF573" s="496">
        <v>16353468</v>
      </c>
      <c r="AG573" s="474">
        <f t="shared" si="9"/>
        <v>1574778</v>
      </c>
      <c r="AM573" s="212"/>
    </row>
    <row r="574" spans="1:39" hidden="1" x14ac:dyDescent="0.35">
      <c r="B574" s="477" t="s">
        <v>4288</v>
      </c>
      <c r="C574" s="212" t="s">
        <v>4360</v>
      </c>
      <c r="D574" s="478">
        <v>565</v>
      </c>
      <c r="E574" s="478">
        <v>20217000026343</v>
      </c>
      <c r="F574" s="310">
        <v>44336</v>
      </c>
      <c r="G574" s="478" t="s">
        <v>2545</v>
      </c>
      <c r="H574" s="212" t="s">
        <v>2546</v>
      </c>
      <c r="I574" s="212" t="s">
        <v>164</v>
      </c>
      <c r="J574" s="475">
        <v>3474800</v>
      </c>
      <c r="K574" s="212" t="s">
        <v>138</v>
      </c>
      <c r="L574" s="212" t="s">
        <v>4225</v>
      </c>
      <c r="M574" s="212" t="s">
        <v>44</v>
      </c>
      <c r="N574" s="212" t="s">
        <v>45</v>
      </c>
      <c r="O574" s="212" t="s">
        <v>310</v>
      </c>
      <c r="P574" s="212" t="s">
        <v>43</v>
      </c>
      <c r="R574" s="486">
        <v>618</v>
      </c>
      <c r="S574" s="490">
        <v>44337</v>
      </c>
      <c r="T574" s="486" t="s">
        <v>4361</v>
      </c>
      <c r="U574" s="475">
        <v>3474800</v>
      </c>
      <c r="V574" s="406"/>
      <c r="X574" s="483" t="s">
        <v>4362</v>
      </c>
      <c r="Y574" s="484">
        <v>44362</v>
      </c>
      <c r="Z574" s="484">
        <v>44383</v>
      </c>
      <c r="AA574" s="484">
        <v>44444</v>
      </c>
      <c r="AB574" s="486" t="s">
        <v>2548</v>
      </c>
      <c r="AC574" s="483" t="s">
        <v>4363</v>
      </c>
      <c r="AD574" s="486" t="s">
        <v>4364</v>
      </c>
      <c r="AE574" s="486" t="s">
        <v>4365</v>
      </c>
      <c r="AF574" s="496">
        <v>3474800</v>
      </c>
      <c r="AG574" s="474">
        <f t="shared" si="9"/>
        <v>0</v>
      </c>
      <c r="AM574" s="212"/>
    </row>
    <row r="575" spans="1:39" hidden="1" x14ac:dyDescent="0.35">
      <c r="A575" s="476" t="s">
        <v>2269</v>
      </c>
      <c r="B575" s="417">
        <v>21000000</v>
      </c>
      <c r="C575" s="212" t="s">
        <v>2544</v>
      </c>
      <c r="D575" s="478">
        <v>566</v>
      </c>
      <c r="E575" s="478">
        <v>20211200026553</v>
      </c>
      <c r="F575" s="310">
        <v>44336</v>
      </c>
      <c r="G575" s="478" t="s">
        <v>2545</v>
      </c>
      <c r="H575" s="212" t="s">
        <v>2546</v>
      </c>
      <c r="I575" s="212" t="s">
        <v>143</v>
      </c>
      <c r="J575" s="475">
        <v>21000000</v>
      </c>
      <c r="K575" s="212" t="s">
        <v>138</v>
      </c>
      <c r="L575" s="212" t="s">
        <v>139</v>
      </c>
      <c r="M575" s="212" t="s">
        <v>44</v>
      </c>
      <c r="N575" s="212" t="s">
        <v>45</v>
      </c>
      <c r="O575" s="212" t="s">
        <v>142</v>
      </c>
      <c r="P575" s="212" t="s">
        <v>43</v>
      </c>
      <c r="R575" s="486">
        <v>619</v>
      </c>
      <c r="S575" s="490">
        <v>44337</v>
      </c>
      <c r="T575" s="486" t="s">
        <v>4366</v>
      </c>
      <c r="U575" s="475">
        <v>21000000</v>
      </c>
      <c r="V575" s="406"/>
      <c r="W575" s="362"/>
      <c r="X575" s="483" t="s">
        <v>4367</v>
      </c>
      <c r="Y575" s="484">
        <v>44347</v>
      </c>
      <c r="Z575" s="484">
        <v>44347</v>
      </c>
      <c r="AA575" s="484">
        <v>44560</v>
      </c>
      <c r="AB575" s="486" t="s">
        <v>2548</v>
      </c>
      <c r="AC575" s="483" t="s">
        <v>4060</v>
      </c>
      <c r="AD575" s="486" t="s">
        <v>4368</v>
      </c>
      <c r="AE575" s="486" t="s">
        <v>3070</v>
      </c>
      <c r="AF575" s="473">
        <v>21000000</v>
      </c>
      <c r="AG575" s="474">
        <f t="shared" si="9"/>
        <v>0</v>
      </c>
      <c r="AM575" s="212"/>
    </row>
    <row r="576" spans="1:39" hidden="1" x14ac:dyDescent="0.35">
      <c r="A576" s="466" t="s">
        <v>1878</v>
      </c>
      <c r="B576" s="467">
        <v>36795303</v>
      </c>
      <c r="C576" s="212" t="s">
        <v>2544</v>
      </c>
      <c r="D576" s="469">
        <v>567</v>
      </c>
      <c r="E576" s="469">
        <v>20217000026563</v>
      </c>
      <c r="F576" s="385">
        <v>44336</v>
      </c>
      <c r="G576" s="469" t="s">
        <v>2545</v>
      </c>
      <c r="H576" s="468" t="s">
        <v>2546</v>
      </c>
      <c r="I576" s="468" t="s">
        <v>164</v>
      </c>
      <c r="J576" s="471">
        <v>24530202</v>
      </c>
      <c r="K576" s="468" t="s">
        <v>138</v>
      </c>
      <c r="L576" s="468" t="s">
        <v>139</v>
      </c>
      <c r="M576" s="468" t="s">
        <v>44</v>
      </c>
      <c r="N576" s="468" t="s">
        <v>45</v>
      </c>
      <c r="O576" s="468" t="s">
        <v>142</v>
      </c>
      <c r="P576" s="468" t="s">
        <v>43</v>
      </c>
      <c r="Q576" s="468"/>
      <c r="R576" s="529">
        <v>620</v>
      </c>
      <c r="S576" s="528">
        <v>44337</v>
      </c>
      <c r="T576" s="529" t="s">
        <v>4369</v>
      </c>
      <c r="U576" s="475">
        <v>24530202</v>
      </c>
      <c r="V576" s="414"/>
      <c r="X576" s="483" t="s">
        <v>4370</v>
      </c>
      <c r="Y576" s="484">
        <v>44349</v>
      </c>
      <c r="Z576" s="484">
        <v>44349</v>
      </c>
      <c r="AA576" s="484">
        <v>44532</v>
      </c>
      <c r="AB576" s="486" t="s">
        <v>2548</v>
      </c>
      <c r="AC576" s="483" t="s">
        <v>3833</v>
      </c>
      <c r="AD576" s="486" t="s">
        <v>3777</v>
      </c>
      <c r="AE576" s="486" t="s">
        <v>3778</v>
      </c>
      <c r="AF576" s="496">
        <v>24530202</v>
      </c>
      <c r="AG576" s="474">
        <f t="shared" si="9"/>
        <v>0</v>
      </c>
      <c r="AI576" s="471"/>
      <c r="AJ576" s="471"/>
      <c r="AK576" s="471"/>
      <c r="AL576" s="471"/>
      <c r="AM576" s="212"/>
    </row>
    <row r="577" spans="1:39" hidden="1" x14ac:dyDescent="0.35">
      <c r="A577" s="476" t="s">
        <v>2351</v>
      </c>
      <c r="B577" s="477">
        <v>14536416</v>
      </c>
      <c r="C577" s="212" t="s">
        <v>2544</v>
      </c>
      <c r="D577" s="478">
        <v>568</v>
      </c>
      <c r="E577" s="478">
        <v>20211300026663</v>
      </c>
      <c r="F577" s="310">
        <v>44336</v>
      </c>
      <c r="G577" s="478" t="s">
        <v>2545</v>
      </c>
      <c r="H577" s="212" t="s">
        <v>2546</v>
      </c>
      <c r="I577" s="212" t="s">
        <v>210</v>
      </c>
      <c r="J577" s="475">
        <v>14536416</v>
      </c>
      <c r="K577" s="212" t="s">
        <v>138</v>
      </c>
      <c r="L577" s="212" t="s">
        <v>139</v>
      </c>
      <c r="M577" s="212" t="s">
        <v>44</v>
      </c>
      <c r="N577" s="212" t="s">
        <v>45</v>
      </c>
      <c r="O577" s="212" t="s">
        <v>142</v>
      </c>
      <c r="P577" s="212" t="s">
        <v>43</v>
      </c>
      <c r="R577" s="486">
        <v>621</v>
      </c>
      <c r="S577" s="490">
        <v>44337</v>
      </c>
      <c r="T577" s="486" t="s">
        <v>4371</v>
      </c>
      <c r="U577" s="475">
        <v>14536416</v>
      </c>
      <c r="V577" s="406"/>
      <c r="X577" s="483" t="s">
        <v>4372</v>
      </c>
      <c r="Y577" s="484">
        <v>44355</v>
      </c>
      <c r="Z577" s="484">
        <v>44355</v>
      </c>
      <c r="AA577" s="484">
        <v>44476</v>
      </c>
      <c r="AB577" s="486" t="s">
        <v>2548</v>
      </c>
      <c r="AC577" s="483" t="s">
        <v>3670</v>
      </c>
      <c r="AD577" s="486" t="s">
        <v>3984</v>
      </c>
      <c r="AE577" s="486" t="s">
        <v>3985</v>
      </c>
      <c r="AF577" s="496">
        <v>14536416</v>
      </c>
      <c r="AG577" s="474">
        <f t="shared" si="9"/>
        <v>0</v>
      </c>
      <c r="AM577" s="212"/>
    </row>
    <row r="578" spans="1:39" hidden="1" x14ac:dyDescent="0.35">
      <c r="A578" s="476" t="s">
        <v>2350</v>
      </c>
      <c r="B578" s="477">
        <v>35432514</v>
      </c>
      <c r="C578" s="212" t="s">
        <v>2544</v>
      </c>
      <c r="D578" s="478">
        <v>569</v>
      </c>
      <c r="E578" s="478">
        <v>20211300026673</v>
      </c>
      <c r="F578" s="310">
        <v>44336</v>
      </c>
      <c r="G578" s="478" t="s">
        <v>2545</v>
      </c>
      <c r="H578" s="212" t="s">
        <v>2546</v>
      </c>
      <c r="I578" s="212" t="s">
        <v>210</v>
      </c>
      <c r="J578" s="475">
        <v>29527095</v>
      </c>
      <c r="K578" s="212" t="s">
        <v>138</v>
      </c>
      <c r="L578" s="212" t="s">
        <v>139</v>
      </c>
      <c r="M578" s="212" t="s">
        <v>44</v>
      </c>
      <c r="N578" s="212" t="s">
        <v>45</v>
      </c>
      <c r="O578" s="212" t="s">
        <v>142</v>
      </c>
      <c r="P578" s="212" t="s">
        <v>43</v>
      </c>
      <c r="R578" s="486">
        <v>622</v>
      </c>
      <c r="S578" s="490">
        <v>44337</v>
      </c>
      <c r="T578" s="486" t="s">
        <v>4373</v>
      </c>
      <c r="U578" s="475">
        <v>29527095</v>
      </c>
      <c r="V578" s="406"/>
      <c r="X578" s="483" t="s">
        <v>4374</v>
      </c>
      <c r="Y578" s="484">
        <v>44355</v>
      </c>
      <c r="Z578" s="484">
        <v>44355</v>
      </c>
      <c r="AA578" s="484">
        <v>44507</v>
      </c>
      <c r="AB578" s="486" t="s">
        <v>2548</v>
      </c>
      <c r="AC578" s="483" t="s">
        <v>3522</v>
      </c>
      <c r="AD578" s="486" t="s">
        <v>3961</v>
      </c>
      <c r="AE578" s="486" t="s">
        <v>3962</v>
      </c>
      <c r="AF578" s="496">
        <v>29527095</v>
      </c>
      <c r="AG578" s="474">
        <f t="shared" si="9"/>
        <v>0</v>
      </c>
      <c r="AM578" s="212"/>
    </row>
    <row r="579" spans="1:39" s="210" customFormat="1" hidden="1" x14ac:dyDescent="0.35">
      <c r="A579" s="313" t="s">
        <v>2278</v>
      </c>
      <c r="B579" s="419">
        <v>32706936</v>
      </c>
      <c r="C579" s="212" t="s">
        <v>2544</v>
      </c>
      <c r="D579" s="309">
        <v>570</v>
      </c>
      <c r="E579" s="309">
        <v>20217000026753</v>
      </c>
      <c r="F579" s="310">
        <v>44336</v>
      </c>
      <c r="G579" s="309" t="s">
        <v>2545</v>
      </c>
      <c r="H579" s="210" t="s">
        <v>2546</v>
      </c>
      <c r="I579" s="210" t="s">
        <v>164</v>
      </c>
      <c r="J579" s="407">
        <v>22081128</v>
      </c>
      <c r="K579" s="210" t="s">
        <v>138</v>
      </c>
      <c r="L579" s="210" t="s">
        <v>139</v>
      </c>
      <c r="M579" s="210" t="s">
        <v>44</v>
      </c>
      <c r="N579" s="210" t="s">
        <v>45</v>
      </c>
      <c r="O579" s="210" t="s">
        <v>142</v>
      </c>
      <c r="P579" s="210" t="s">
        <v>43</v>
      </c>
      <c r="R579" s="486">
        <v>623</v>
      </c>
      <c r="S579" s="490">
        <v>44337</v>
      </c>
      <c r="T579" s="486" t="s">
        <v>4375</v>
      </c>
      <c r="U579" s="475">
        <v>22081128</v>
      </c>
      <c r="V579" s="415"/>
      <c r="W579" s="463"/>
      <c r="X579" s="483" t="s">
        <v>4376</v>
      </c>
      <c r="Y579" s="484">
        <v>44351</v>
      </c>
      <c r="Z579" s="484">
        <v>44351</v>
      </c>
      <c r="AA579" s="484">
        <v>44533</v>
      </c>
      <c r="AB579" s="486" t="s">
        <v>2548</v>
      </c>
      <c r="AC579" s="483" t="s">
        <v>3492</v>
      </c>
      <c r="AD579" s="486" t="s">
        <v>3785</v>
      </c>
      <c r="AE579" s="486" t="s">
        <v>3786</v>
      </c>
      <c r="AF579" s="496">
        <v>21804624</v>
      </c>
      <c r="AG579" s="474">
        <f t="shared" si="9"/>
        <v>276504</v>
      </c>
      <c r="AH579" s="407"/>
      <c r="AI579" s="407"/>
      <c r="AJ579" s="407"/>
      <c r="AK579" s="407"/>
      <c r="AL579" s="475"/>
      <c r="AM579" s="212"/>
    </row>
    <row r="580" spans="1:39" hidden="1" x14ac:dyDescent="0.35">
      <c r="C580" s="212" t="s">
        <v>4377</v>
      </c>
      <c r="D580" s="478">
        <v>571</v>
      </c>
      <c r="E580" s="478">
        <v>20213000026803</v>
      </c>
      <c r="F580" s="310">
        <v>44337</v>
      </c>
      <c r="G580" s="478" t="s">
        <v>2538</v>
      </c>
      <c r="H580" s="212" t="s">
        <v>2539</v>
      </c>
      <c r="I580" s="212" t="s">
        <v>432</v>
      </c>
      <c r="J580" s="407">
        <v>22516000</v>
      </c>
      <c r="K580" s="212" t="s">
        <v>342</v>
      </c>
      <c r="L580" s="212" t="s">
        <v>343</v>
      </c>
      <c r="M580" s="212" t="s">
        <v>44</v>
      </c>
      <c r="N580" s="212" t="s">
        <v>45</v>
      </c>
      <c r="O580" s="212" t="s">
        <v>310</v>
      </c>
      <c r="P580" s="212" t="s">
        <v>674</v>
      </c>
      <c r="R580" s="698">
        <v>625</v>
      </c>
      <c r="S580" s="490">
        <v>44337</v>
      </c>
      <c r="T580" s="486" t="s">
        <v>4378</v>
      </c>
      <c r="U580" s="475">
        <v>22516000</v>
      </c>
      <c r="V580" s="406"/>
      <c r="W580" s="362"/>
      <c r="AG580" s="474">
        <f t="shared" si="9"/>
        <v>22516000</v>
      </c>
      <c r="AM580" s="212"/>
    </row>
    <row r="581" spans="1:39" hidden="1" x14ac:dyDescent="0.35">
      <c r="A581" s="313" t="s">
        <v>1981</v>
      </c>
      <c r="B581" s="419">
        <v>36000000</v>
      </c>
      <c r="C581" s="212" t="s">
        <v>2544</v>
      </c>
      <c r="D581" s="478">
        <v>572</v>
      </c>
      <c r="E581" s="478">
        <v>20214000026953</v>
      </c>
      <c r="F581" s="310">
        <v>44337</v>
      </c>
      <c r="G581" s="478" t="s">
        <v>2578</v>
      </c>
      <c r="H581" s="212" t="s">
        <v>2579</v>
      </c>
      <c r="I581" s="212" t="s">
        <v>47</v>
      </c>
      <c r="J581" s="475">
        <v>36000000</v>
      </c>
      <c r="K581" s="212" t="s">
        <v>37</v>
      </c>
      <c r="L581" s="212" t="s">
        <v>2580</v>
      </c>
      <c r="M581" s="212" t="s">
        <v>44</v>
      </c>
      <c r="N581" s="212" t="s">
        <v>45</v>
      </c>
      <c r="O581" s="212" t="s">
        <v>310</v>
      </c>
      <c r="P581" s="212" t="s">
        <v>43</v>
      </c>
      <c r="R581" s="536">
        <v>626</v>
      </c>
      <c r="S581" s="490">
        <v>44337</v>
      </c>
      <c r="T581" s="486" t="s">
        <v>4379</v>
      </c>
      <c r="U581" s="475">
        <v>36000000</v>
      </c>
      <c r="V581" s="406"/>
      <c r="X581" s="483" t="s">
        <v>4380</v>
      </c>
      <c r="Y581" s="484">
        <v>44358</v>
      </c>
      <c r="Z581" s="484">
        <v>44358</v>
      </c>
      <c r="AA581" s="484">
        <v>44540</v>
      </c>
      <c r="AB581" s="486" t="s">
        <v>2548</v>
      </c>
      <c r="AC581" s="483" t="s">
        <v>3841</v>
      </c>
      <c r="AD581" s="486" t="s">
        <v>4381</v>
      </c>
      <c r="AE581" s="486" t="s">
        <v>4382</v>
      </c>
      <c r="AF581" s="496">
        <v>30857142</v>
      </c>
      <c r="AG581" s="474">
        <f t="shared" si="9"/>
        <v>5142858</v>
      </c>
      <c r="AM581" s="212"/>
    </row>
    <row r="582" spans="1:39" hidden="1" x14ac:dyDescent="0.35">
      <c r="A582" s="313" t="s">
        <v>2075</v>
      </c>
      <c r="B582" s="419">
        <v>310700000</v>
      </c>
      <c r="C582" s="212" t="s">
        <v>4233</v>
      </c>
      <c r="D582" s="478">
        <v>573</v>
      </c>
      <c r="E582" s="478">
        <v>20215000027033</v>
      </c>
      <c r="F582" s="310">
        <v>44337</v>
      </c>
      <c r="G582" s="309" t="s">
        <v>2538</v>
      </c>
      <c r="H582" s="210" t="s">
        <v>2539</v>
      </c>
      <c r="I582" s="210" t="s">
        <v>228</v>
      </c>
      <c r="J582" s="415">
        <v>150000000</v>
      </c>
      <c r="K582" s="210" t="s">
        <v>223</v>
      </c>
      <c r="L582" s="212" t="s">
        <v>236</v>
      </c>
      <c r="M582" s="210" t="s">
        <v>44</v>
      </c>
      <c r="N582" s="210" t="s">
        <v>45</v>
      </c>
      <c r="O582" s="210" t="s">
        <v>265</v>
      </c>
      <c r="P582" s="212" t="s">
        <v>674</v>
      </c>
      <c r="R582" s="536">
        <v>627</v>
      </c>
      <c r="S582" s="490">
        <v>44337</v>
      </c>
      <c r="T582" s="486" t="s">
        <v>4234</v>
      </c>
      <c r="U582" s="693">
        <v>150000000</v>
      </c>
      <c r="V582" s="406"/>
      <c r="W582" s="362"/>
      <c r="AG582" s="474">
        <f t="shared" si="9"/>
        <v>150000000</v>
      </c>
      <c r="AM582" s="212"/>
    </row>
    <row r="583" spans="1:39" s="312" customFormat="1" hidden="1" x14ac:dyDescent="0.35">
      <c r="A583" s="361"/>
      <c r="B583" s="417" t="s">
        <v>4288</v>
      </c>
      <c r="C583" s="312" t="s">
        <v>4383</v>
      </c>
      <c r="D583" s="325">
        <v>574</v>
      </c>
      <c r="E583" s="325">
        <v>20215000027133</v>
      </c>
      <c r="F583" s="315">
        <v>44342</v>
      </c>
      <c r="G583" s="325" t="s">
        <v>2538</v>
      </c>
      <c r="H583" s="312" t="s">
        <v>2539</v>
      </c>
      <c r="I583" s="312" t="s">
        <v>228</v>
      </c>
      <c r="J583" s="406">
        <v>57120000</v>
      </c>
      <c r="K583" s="312" t="s">
        <v>223</v>
      </c>
      <c r="L583" s="312" t="s">
        <v>236</v>
      </c>
      <c r="M583" s="312" t="s">
        <v>44</v>
      </c>
      <c r="N583" s="312" t="s">
        <v>45</v>
      </c>
      <c r="O583" s="312" t="s">
        <v>63</v>
      </c>
      <c r="P583" s="312" t="s">
        <v>674</v>
      </c>
      <c r="R583" s="388">
        <v>630</v>
      </c>
      <c r="S583" s="315">
        <v>44343</v>
      </c>
      <c r="T583" s="312" t="s">
        <v>4383</v>
      </c>
      <c r="U583" s="405">
        <f>57120000-57120000</f>
        <v>0</v>
      </c>
      <c r="V583" s="406">
        <v>57120000</v>
      </c>
      <c r="W583" s="362" t="s">
        <v>1428</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x14ac:dyDescent="0.35">
      <c r="A584" s="361" t="s">
        <v>4384</v>
      </c>
      <c r="B584" s="417">
        <v>20000000</v>
      </c>
      <c r="C584" s="312" t="s">
        <v>4385</v>
      </c>
      <c r="D584" s="325">
        <v>575</v>
      </c>
      <c r="E584" s="325">
        <v>20213000027343</v>
      </c>
      <c r="F584" s="315">
        <v>44342</v>
      </c>
      <c r="G584" s="325" t="s">
        <v>2538</v>
      </c>
      <c r="H584" s="312" t="s">
        <v>2539</v>
      </c>
      <c r="I584" s="312" t="s">
        <v>432</v>
      </c>
      <c r="J584" s="406">
        <v>20000000</v>
      </c>
      <c r="K584" s="312" t="s">
        <v>342</v>
      </c>
      <c r="L584" s="312" t="s">
        <v>351</v>
      </c>
      <c r="M584" s="312" t="s">
        <v>44</v>
      </c>
      <c r="N584" s="312" t="s">
        <v>45</v>
      </c>
      <c r="O584" s="312" t="s">
        <v>63</v>
      </c>
      <c r="P584" s="312" t="s">
        <v>4386</v>
      </c>
      <c r="Q584" s="312" t="s">
        <v>3198</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x14ac:dyDescent="0.35">
      <c r="A585" s="361" t="s">
        <v>4387</v>
      </c>
      <c r="B585" s="417">
        <v>100000000</v>
      </c>
      <c r="C585" s="312" t="s">
        <v>4388</v>
      </c>
      <c r="D585" s="325">
        <v>576</v>
      </c>
      <c r="E585" s="325">
        <v>20213000027353</v>
      </c>
      <c r="F585" s="315">
        <v>44342</v>
      </c>
      <c r="G585" s="325" t="s">
        <v>2538</v>
      </c>
      <c r="H585" s="312" t="s">
        <v>2539</v>
      </c>
      <c r="I585" s="312" t="s">
        <v>432</v>
      </c>
      <c r="J585" s="406">
        <v>100000000</v>
      </c>
      <c r="K585" s="312" t="s">
        <v>342</v>
      </c>
      <c r="L585" s="312" t="s">
        <v>351</v>
      </c>
      <c r="M585" s="312" t="s">
        <v>44</v>
      </c>
      <c r="N585" s="312" t="s">
        <v>45</v>
      </c>
      <c r="O585" s="312" t="s">
        <v>63</v>
      </c>
      <c r="P585" s="312" t="s">
        <v>4386</v>
      </c>
      <c r="Q585" s="312" t="s">
        <v>3198</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x14ac:dyDescent="0.35">
      <c r="A586" s="313" t="s">
        <v>2114</v>
      </c>
      <c r="B586" s="419">
        <v>29072832</v>
      </c>
      <c r="C586" s="212" t="s">
        <v>2544</v>
      </c>
      <c r="D586" s="478">
        <v>577</v>
      </c>
      <c r="E586" s="478">
        <v>20211300027503</v>
      </c>
      <c r="F586" s="310">
        <v>44342</v>
      </c>
      <c r="G586" s="478" t="s">
        <v>2545</v>
      </c>
      <c r="H586" s="212" t="s">
        <v>2546</v>
      </c>
      <c r="I586" s="212" t="s">
        <v>210</v>
      </c>
      <c r="J586" s="475">
        <v>29072832</v>
      </c>
      <c r="K586" s="212" t="s">
        <v>138</v>
      </c>
      <c r="L586" s="212" t="s">
        <v>139</v>
      </c>
      <c r="M586" s="212" t="s">
        <v>44</v>
      </c>
      <c r="N586" s="212" t="s">
        <v>45</v>
      </c>
      <c r="O586" s="212" t="s">
        <v>142</v>
      </c>
      <c r="P586" s="212" t="s">
        <v>43</v>
      </c>
      <c r="R586" s="212">
        <v>631</v>
      </c>
      <c r="S586" s="479">
        <v>44343</v>
      </c>
      <c r="T586" s="212" t="s">
        <v>2114</v>
      </c>
      <c r="U586" s="475">
        <v>29072832</v>
      </c>
      <c r="V586" s="406"/>
      <c r="W586" s="362"/>
      <c r="AG586" s="474">
        <f t="shared" si="9"/>
        <v>29072832</v>
      </c>
      <c r="AM586" s="212"/>
    </row>
    <row r="587" spans="1:39" hidden="1" x14ac:dyDescent="0.35">
      <c r="A587" s="313" t="s">
        <v>1976</v>
      </c>
      <c r="B587" s="419">
        <v>28800000</v>
      </c>
      <c r="C587" s="212" t="s">
        <v>2544</v>
      </c>
      <c r="D587" s="478">
        <v>578</v>
      </c>
      <c r="E587" s="478">
        <v>20215000027553</v>
      </c>
      <c r="F587" s="310">
        <v>44342</v>
      </c>
      <c r="G587" s="309" t="s">
        <v>2538</v>
      </c>
      <c r="H587" s="210" t="s">
        <v>2539</v>
      </c>
      <c r="I587" s="210" t="s">
        <v>228</v>
      </c>
      <c r="J587" s="415">
        <v>13666667</v>
      </c>
      <c r="K587" s="210" t="s">
        <v>223</v>
      </c>
      <c r="L587" s="212" t="s">
        <v>236</v>
      </c>
      <c r="M587" s="210" t="s">
        <v>44</v>
      </c>
      <c r="N587" s="210" t="s">
        <v>45</v>
      </c>
      <c r="O587" s="210" t="s">
        <v>63</v>
      </c>
      <c r="P587" s="212" t="s">
        <v>674</v>
      </c>
      <c r="R587" s="212">
        <v>632</v>
      </c>
      <c r="S587" s="479">
        <v>44343</v>
      </c>
      <c r="T587" s="212" t="s">
        <v>1976</v>
      </c>
      <c r="U587" s="475">
        <f>13666667-666667</f>
        <v>13000000</v>
      </c>
      <c r="V587" s="406">
        <v>666667</v>
      </c>
      <c r="W587" s="680" t="s">
        <v>1428</v>
      </c>
      <c r="X587" s="483" t="s">
        <v>4389</v>
      </c>
      <c r="Y587" s="484">
        <v>44363</v>
      </c>
      <c r="Z587" s="484">
        <v>44363</v>
      </c>
      <c r="AA587" s="484">
        <v>44560</v>
      </c>
      <c r="AB587" s="486" t="s">
        <v>2548</v>
      </c>
      <c r="AC587" s="483" t="s">
        <v>4077</v>
      </c>
      <c r="AD587" s="486" t="s">
        <v>4390</v>
      </c>
      <c r="AE587" s="486" t="s">
        <v>4391</v>
      </c>
      <c r="AF587" s="496">
        <v>13000000</v>
      </c>
      <c r="AG587" s="474">
        <f t="shared" si="9"/>
        <v>0</v>
      </c>
      <c r="AM587" s="212"/>
    </row>
    <row r="588" spans="1:39" hidden="1" x14ac:dyDescent="0.35">
      <c r="A588" s="313" t="s">
        <v>2147</v>
      </c>
      <c r="B588" s="419">
        <v>39900000</v>
      </c>
      <c r="C588" s="212" t="s">
        <v>2544</v>
      </c>
      <c r="D588" s="478">
        <v>579</v>
      </c>
      <c r="E588" s="478">
        <v>20214000027603</v>
      </c>
      <c r="F588" s="310">
        <v>44344</v>
      </c>
      <c r="G588" s="311" t="s">
        <v>2571</v>
      </c>
      <c r="H588" s="441" t="s">
        <v>2572</v>
      </c>
      <c r="I588" s="441" t="s">
        <v>117</v>
      </c>
      <c r="J588" s="426">
        <v>34972000</v>
      </c>
      <c r="K588" s="441" t="s">
        <v>112</v>
      </c>
      <c r="L588" s="441" t="s">
        <v>2573</v>
      </c>
      <c r="M588" s="441" t="s">
        <v>44</v>
      </c>
      <c r="N588" s="441" t="s">
        <v>45</v>
      </c>
      <c r="O588" s="441" t="s">
        <v>63</v>
      </c>
      <c r="P588" s="441" t="s">
        <v>43</v>
      </c>
      <c r="R588" s="212">
        <v>634</v>
      </c>
      <c r="S588" s="490">
        <v>44347</v>
      </c>
      <c r="T588" s="486" t="s">
        <v>4392</v>
      </c>
      <c r="U588" s="475">
        <v>34972000</v>
      </c>
      <c r="V588" s="406"/>
      <c r="X588" s="483" t="s">
        <v>4393</v>
      </c>
      <c r="Y588" s="484">
        <v>44355</v>
      </c>
      <c r="Z588" s="484">
        <v>44355</v>
      </c>
      <c r="AA588" s="484">
        <v>44557</v>
      </c>
      <c r="AB588" s="486" t="s">
        <v>2548</v>
      </c>
      <c r="AC588" s="483" t="s">
        <v>3825</v>
      </c>
      <c r="AD588" s="486" t="s">
        <v>4394</v>
      </c>
      <c r="AE588" s="486" t="s">
        <v>2668</v>
      </c>
      <c r="AF588" s="496">
        <v>33306666</v>
      </c>
      <c r="AG588" s="474">
        <f t="shared" si="9"/>
        <v>1665334</v>
      </c>
      <c r="AM588" s="212"/>
    </row>
    <row r="589" spans="1:39" hidden="1" x14ac:dyDescent="0.35">
      <c r="A589" s="313" t="s">
        <v>2117</v>
      </c>
      <c r="B589" s="419">
        <v>32704000</v>
      </c>
      <c r="C589" s="212" t="s">
        <v>2544</v>
      </c>
      <c r="D589" s="478">
        <v>580</v>
      </c>
      <c r="E589" s="478">
        <v>20214000027783</v>
      </c>
      <c r="F589" s="310">
        <v>44344</v>
      </c>
      <c r="G589" s="311" t="s">
        <v>2571</v>
      </c>
      <c r="H589" s="441" t="s">
        <v>2572</v>
      </c>
      <c r="I589" s="441" t="s">
        <v>117</v>
      </c>
      <c r="J589" s="426">
        <v>24528000</v>
      </c>
      <c r="K589" s="441" t="s">
        <v>112</v>
      </c>
      <c r="L589" s="441" t="s">
        <v>2573</v>
      </c>
      <c r="M589" s="441" t="s">
        <v>44</v>
      </c>
      <c r="N589" s="441" t="s">
        <v>45</v>
      </c>
      <c r="O589" s="441" t="s">
        <v>63</v>
      </c>
      <c r="P589" s="441" t="s">
        <v>43</v>
      </c>
      <c r="R589" s="212">
        <v>636</v>
      </c>
      <c r="S589" s="490">
        <v>44347</v>
      </c>
      <c r="T589" s="486" t="s">
        <v>4395</v>
      </c>
      <c r="U589" s="475">
        <v>24528000</v>
      </c>
      <c r="V589" s="406"/>
      <c r="W589" s="464"/>
      <c r="X589" s="483" t="s">
        <v>4396</v>
      </c>
      <c r="Y589" s="484">
        <v>44358</v>
      </c>
      <c r="Z589" s="484">
        <v>44358</v>
      </c>
      <c r="AA589" s="484">
        <v>44540</v>
      </c>
      <c r="AB589" s="486" t="s">
        <v>2548</v>
      </c>
      <c r="AC589" s="483" t="s">
        <v>3974</v>
      </c>
      <c r="AD589" s="486" t="s">
        <v>4397</v>
      </c>
      <c r="AE589" s="486" t="s">
        <v>4398</v>
      </c>
      <c r="AF589" s="496">
        <v>24528000</v>
      </c>
      <c r="AG589" s="474">
        <f t="shared" si="9"/>
        <v>0</v>
      </c>
      <c r="AM589" s="212"/>
    </row>
    <row r="590" spans="1:39" hidden="1" x14ac:dyDescent="0.35">
      <c r="A590" s="313" t="s">
        <v>2237</v>
      </c>
      <c r="B590" s="419">
        <v>85500000</v>
      </c>
      <c r="C590" s="212" t="s">
        <v>2544</v>
      </c>
      <c r="D590" s="478">
        <v>581</v>
      </c>
      <c r="E590" s="478">
        <v>20216000027703</v>
      </c>
      <c r="F590" s="310">
        <v>44344</v>
      </c>
      <c r="G590" s="478" t="s">
        <v>2545</v>
      </c>
      <c r="H590" s="212" t="s">
        <v>2546</v>
      </c>
      <c r="I590" s="212" t="s">
        <v>214</v>
      </c>
      <c r="J590" s="480">
        <v>56000000</v>
      </c>
      <c r="K590" s="212" t="s">
        <v>138</v>
      </c>
      <c r="L590" s="212" t="s">
        <v>139</v>
      </c>
      <c r="M590" s="212" t="s">
        <v>44</v>
      </c>
      <c r="N590" s="212" t="s">
        <v>45</v>
      </c>
      <c r="O590" s="212" t="s">
        <v>142</v>
      </c>
      <c r="P590" s="212" t="s">
        <v>43</v>
      </c>
      <c r="R590" s="212">
        <v>635</v>
      </c>
      <c r="S590" s="490">
        <v>44347</v>
      </c>
      <c r="T590" s="486" t="s">
        <v>4399</v>
      </c>
      <c r="U590" s="475">
        <v>56000000</v>
      </c>
      <c r="V590" s="406"/>
      <c r="X590" s="483" t="s">
        <v>4400</v>
      </c>
      <c r="Y590" s="484">
        <v>44370</v>
      </c>
      <c r="Z590" s="484">
        <v>44370</v>
      </c>
      <c r="AA590" s="484">
        <v>44552</v>
      </c>
      <c r="AB590" s="486" t="s">
        <v>2548</v>
      </c>
      <c r="AC590" s="483" t="s">
        <v>4162</v>
      </c>
      <c r="AD590" s="486" t="s">
        <v>4401</v>
      </c>
      <c r="AE590" s="486" t="s">
        <v>4402</v>
      </c>
      <c r="AF590" s="496">
        <v>48000000</v>
      </c>
      <c r="AG590" s="474">
        <f t="shared" si="9"/>
        <v>8000000</v>
      </c>
      <c r="AM590" s="212"/>
    </row>
    <row r="591" spans="1:39" hidden="1" x14ac:dyDescent="0.35">
      <c r="A591" s="313" t="s">
        <v>2111</v>
      </c>
      <c r="B591" s="419">
        <v>41337934</v>
      </c>
      <c r="C591" s="212" t="s">
        <v>2544</v>
      </c>
      <c r="D591" s="478">
        <v>582</v>
      </c>
      <c r="E591" s="478">
        <v>20211300027863</v>
      </c>
      <c r="F591" s="310">
        <v>44344</v>
      </c>
      <c r="G591" s="478" t="s">
        <v>2545</v>
      </c>
      <c r="H591" s="212" t="s">
        <v>2546</v>
      </c>
      <c r="I591" s="212" t="s">
        <v>210</v>
      </c>
      <c r="J591" s="480">
        <v>29527096</v>
      </c>
      <c r="K591" s="212" t="s">
        <v>138</v>
      </c>
      <c r="L591" s="212" t="s">
        <v>139</v>
      </c>
      <c r="M591" s="212" t="s">
        <v>44</v>
      </c>
      <c r="N591" s="212" t="s">
        <v>45</v>
      </c>
      <c r="O591" s="212" t="s">
        <v>142</v>
      </c>
      <c r="P591" s="212" t="s">
        <v>43</v>
      </c>
      <c r="R591" s="212">
        <v>637</v>
      </c>
      <c r="S591" s="490">
        <v>44347</v>
      </c>
      <c r="T591" s="486" t="s">
        <v>4403</v>
      </c>
      <c r="U591" s="475">
        <v>29527096</v>
      </c>
      <c r="V591" s="406"/>
      <c r="X591" s="483" t="s">
        <v>4404</v>
      </c>
      <c r="Y591" s="484">
        <v>44365</v>
      </c>
      <c r="Z591" s="484">
        <v>44365</v>
      </c>
      <c r="AA591" s="484">
        <v>44517</v>
      </c>
      <c r="AB591" s="486" t="s">
        <v>2548</v>
      </c>
      <c r="AC591" s="483" t="s">
        <v>3939</v>
      </c>
      <c r="AD591" s="486" t="s">
        <v>3629</v>
      </c>
      <c r="AE591" s="486" t="s">
        <v>3630</v>
      </c>
      <c r="AF591" s="496">
        <v>29527095</v>
      </c>
      <c r="AG591" s="474">
        <f t="shared" si="9"/>
        <v>1</v>
      </c>
      <c r="AM591" s="212"/>
    </row>
    <row r="592" spans="1:39" hidden="1" x14ac:dyDescent="0.35">
      <c r="A592" s="313" t="s">
        <v>2112</v>
      </c>
      <c r="B592" s="419">
        <v>41337934</v>
      </c>
      <c r="C592" s="212" t="s">
        <v>2544</v>
      </c>
      <c r="D592" s="478">
        <v>583</v>
      </c>
      <c r="E592" s="478">
        <v>20211300027883</v>
      </c>
      <c r="F592" s="310">
        <v>44344</v>
      </c>
      <c r="G592" s="478" t="s">
        <v>2545</v>
      </c>
      <c r="H592" s="212" t="s">
        <v>2546</v>
      </c>
      <c r="I592" s="212" t="s">
        <v>210</v>
      </c>
      <c r="J592" s="480">
        <v>29527096</v>
      </c>
      <c r="K592" s="212" t="s">
        <v>138</v>
      </c>
      <c r="L592" s="212" t="s">
        <v>139</v>
      </c>
      <c r="M592" s="212" t="s">
        <v>44</v>
      </c>
      <c r="N592" s="212" t="s">
        <v>45</v>
      </c>
      <c r="O592" s="212" t="s">
        <v>142</v>
      </c>
      <c r="P592" s="212" t="s">
        <v>43</v>
      </c>
      <c r="R592" s="212">
        <v>638</v>
      </c>
      <c r="S592" s="490">
        <v>44347</v>
      </c>
      <c r="T592" s="486" t="s">
        <v>4405</v>
      </c>
      <c r="U592" s="475">
        <v>29527096</v>
      </c>
      <c r="V592" s="406"/>
      <c r="X592" s="483" t="s">
        <v>4406</v>
      </c>
      <c r="Y592" s="484">
        <v>44369</v>
      </c>
      <c r="Z592" s="484">
        <v>44369</v>
      </c>
      <c r="AA592" s="484">
        <v>44521</v>
      </c>
      <c r="AB592" s="486" t="s">
        <v>2548</v>
      </c>
      <c r="AC592" s="483" t="s">
        <v>4015</v>
      </c>
      <c r="AD592" s="486" t="s">
        <v>3886</v>
      </c>
      <c r="AE592" s="486" t="s">
        <v>3887</v>
      </c>
      <c r="AF592" s="496">
        <v>29527095</v>
      </c>
      <c r="AG592" s="474">
        <f t="shared" si="9"/>
        <v>1</v>
      </c>
      <c r="AM592" s="212"/>
    </row>
    <row r="593" spans="1:39" hidden="1" x14ac:dyDescent="0.35">
      <c r="C593" s="212" t="s">
        <v>4407</v>
      </c>
      <c r="D593" s="478">
        <v>584</v>
      </c>
      <c r="E593" s="478">
        <v>20217000027903</v>
      </c>
      <c r="F593" s="310">
        <v>44347</v>
      </c>
      <c r="G593" s="478" t="s">
        <v>2545</v>
      </c>
      <c r="H593" s="212" t="s">
        <v>2546</v>
      </c>
      <c r="I593" s="210" t="s">
        <v>164</v>
      </c>
      <c r="J593" s="475">
        <v>234069437</v>
      </c>
      <c r="K593" s="212" t="s">
        <v>138</v>
      </c>
      <c r="L593" s="212" t="s">
        <v>139</v>
      </c>
      <c r="M593" s="212" t="s">
        <v>44</v>
      </c>
      <c r="N593" s="212" t="s">
        <v>45</v>
      </c>
      <c r="O593" s="212" t="s">
        <v>142</v>
      </c>
      <c r="P593" s="212" t="s">
        <v>43</v>
      </c>
      <c r="R593" s="212">
        <v>639</v>
      </c>
      <c r="S593" s="490">
        <v>44347</v>
      </c>
      <c r="T593" s="212" t="s">
        <v>4407</v>
      </c>
      <c r="U593" s="475">
        <v>234069437</v>
      </c>
      <c r="V593" s="406"/>
      <c r="X593" s="483" t="s">
        <v>4408</v>
      </c>
      <c r="Y593" s="484">
        <v>44348</v>
      </c>
      <c r="Z593" s="484">
        <v>44348</v>
      </c>
      <c r="AA593" s="484">
        <v>44408</v>
      </c>
      <c r="AB593" s="486" t="s">
        <v>4409</v>
      </c>
      <c r="AC593" s="483" t="s">
        <v>3847</v>
      </c>
      <c r="AD593" s="486" t="s">
        <v>4410</v>
      </c>
      <c r="AE593" s="486" t="s">
        <v>4411</v>
      </c>
      <c r="AF593" s="699">
        <v>212260942</v>
      </c>
      <c r="AG593" s="474">
        <f t="shared" si="9"/>
        <v>21808495</v>
      </c>
      <c r="AM593" s="212"/>
    </row>
    <row r="594" spans="1:39" hidden="1" x14ac:dyDescent="0.35">
      <c r="C594" s="212" t="s">
        <v>4407</v>
      </c>
      <c r="D594" s="386">
        <v>584</v>
      </c>
      <c r="E594" s="478">
        <v>20217000027903</v>
      </c>
      <c r="F594" s="310">
        <v>44347</v>
      </c>
      <c r="G594" s="478" t="s">
        <v>2578</v>
      </c>
      <c r="H594" s="212" t="s">
        <v>2579</v>
      </c>
      <c r="I594" s="212" t="s">
        <v>47</v>
      </c>
      <c r="J594" s="475">
        <v>59008248</v>
      </c>
      <c r="K594" s="212" t="s">
        <v>37</v>
      </c>
      <c r="L594" s="212" t="s">
        <v>3078</v>
      </c>
      <c r="M594" s="212" t="s">
        <v>44</v>
      </c>
      <c r="N594" s="212" t="s">
        <v>45</v>
      </c>
      <c r="O594" s="212" t="s">
        <v>142</v>
      </c>
      <c r="P594" s="212" t="s">
        <v>43</v>
      </c>
      <c r="R594" s="329">
        <v>639</v>
      </c>
      <c r="S594" s="490">
        <v>44347</v>
      </c>
      <c r="T594" s="212" t="s">
        <v>4407</v>
      </c>
      <c r="U594" s="475">
        <v>59008248</v>
      </c>
      <c r="V594" s="406"/>
      <c r="X594" s="483" t="s">
        <v>4408</v>
      </c>
      <c r="Y594" s="484">
        <v>44348</v>
      </c>
      <c r="Z594" s="484">
        <v>44348</v>
      </c>
      <c r="AA594" s="484">
        <v>44408</v>
      </c>
      <c r="AB594" s="486" t="s">
        <v>4409</v>
      </c>
      <c r="AC594" s="483" t="s">
        <v>3847</v>
      </c>
      <c r="AD594" s="486" t="s">
        <v>4410</v>
      </c>
      <c r="AE594" s="486" t="s">
        <v>4411</v>
      </c>
      <c r="AF594" s="496">
        <v>53510388</v>
      </c>
      <c r="AG594" s="474">
        <f t="shared" si="9"/>
        <v>5497860</v>
      </c>
      <c r="AM594" s="212"/>
    </row>
    <row r="595" spans="1:39" hidden="1" x14ac:dyDescent="0.35">
      <c r="A595" s="476" t="s">
        <v>1850</v>
      </c>
      <c r="B595" s="477">
        <v>59500000</v>
      </c>
      <c r="C595" s="212" t="s">
        <v>2544</v>
      </c>
      <c r="D595" s="478">
        <v>585</v>
      </c>
      <c r="E595" s="478">
        <v>20216000028303</v>
      </c>
      <c r="F595" s="479">
        <v>44349</v>
      </c>
      <c r="G595" s="478" t="s">
        <v>2545</v>
      </c>
      <c r="H595" s="212" t="s">
        <v>2546</v>
      </c>
      <c r="I595" s="212" t="s">
        <v>214</v>
      </c>
      <c r="J595" s="475">
        <v>59500000</v>
      </c>
      <c r="K595" s="212" t="s">
        <v>138</v>
      </c>
      <c r="L595" s="212" t="s">
        <v>139</v>
      </c>
      <c r="M595" s="212" t="s">
        <v>44</v>
      </c>
      <c r="N595" s="212" t="s">
        <v>45</v>
      </c>
      <c r="O595" s="212" t="s">
        <v>142</v>
      </c>
      <c r="P595" s="212" t="s">
        <v>43</v>
      </c>
      <c r="R595" s="212">
        <v>641</v>
      </c>
      <c r="S595" s="490">
        <v>44349</v>
      </c>
      <c r="T595" s="212" t="s">
        <v>4412</v>
      </c>
      <c r="U595" s="480">
        <v>59500000</v>
      </c>
      <c r="V595" s="406"/>
      <c r="X595" s="483" t="s">
        <v>4048</v>
      </c>
      <c r="Y595" s="490">
        <v>44377</v>
      </c>
      <c r="Z595" s="490">
        <v>44377</v>
      </c>
      <c r="AA595" s="490">
        <v>44559</v>
      </c>
      <c r="AB595" s="486" t="s">
        <v>2548</v>
      </c>
      <c r="AC595" s="483" t="s">
        <v>4141</v>
      </c>
      <c r="AD595" s="486" t="s">
        <v>4413</v>
      </c>
      <c r="AE595" s="486" t="s">
        <v>4414</v>
      </c>
      <c r="AF595" s="496">
        <v>51000000</v>
      </c>
      <c r="AG595" s="474">
        <f t="shared" si="9"/>
        <v>8500000</v>
      </c>
      <c r="AM595" s="212"/>
    </row>
    <row r="596" spans="1:39" s="312" customFormat="1" hidden="1" x14ac:dyDescent="0.35">
      <c r="A596" s="361" t="s">
        <v>1867</v>
      </c>
      <c r="B596" s="417">
        <v>45500000</v>
      </c>
      <c r="C596" s="312" t="s">
        <v>2660</v>
      </c>
      <c r="D596" s="325">
        <v>586</v>
      </c>
      <c r="E596" s="325">
        <v>20216000028283</v>
      </c>
      <c r="F596" s="315">
        <v>44349</v>
      </c>
      <c r="G596" s="325" t="s">
        <v>2545</v>
      </c>
      <c r="H596" s="312" t="s">
        <v>2546</v>
      </c>
      <c r="I596" s="312" t="s">
        <v>214</v>
      </c>
      <c r="J596" s="405">
        <v>42000000</v>
      </c>
      <c r="K596" s="312" t="s">
        <v>138</v>
      </c>
      <c r="L596" s="312" t="s">
        <v>139</v>
      </c>
      <c r="M596" s="312" t="s">
        <v>44</v>
      </c>
      <c r="N596" s="312" t="s">
        <v>45</v>
      </c>
      <c r="O596" s="312" t="s">
        <v>142</v>
      </c>
      <c r="P596" s="312" t="s">
        <v>43</v>
      </c>
      <c r="R596" s="312">
        <v>642</v>
      </c>
      <c r="S596" s="363">
        <v>44349</v>
      </c>
      <c r="T596" s="312" t="s">
        <v>4415</v>
      </c>
      <c r="U596" s="406">
        <f>42000000-42000000</f>
        <v>0</v>
      </c>
      <c r="V596" s="406">
        <v>42000000</v>
      </c>
      <c r="W596" s="362" t="s">
        <v>1428</v>
      </c>
      <c r="X596" s="314"/>
      <c r="Y596" s="358"/>
      <c r="Z596" s="358"/>
      <c r="AA596" s="358"/>
      <c r="AB596" s="317"/>
      <c r="AC596" s="316"/>
      <c r="AD596" s="317"/>
      <c r="AF596" s="410"/>
      <c r="AG596" s="318">
        <f t="shared" si="9"/>
        <v>0</v>
      </c>
      <c r="AH596" s="405"/>
      <c r="AI596" s="405"/>
      <c r="AJ596" s="405"/>
      <c r="AK596" s="405"/>
      <c r="AL596" s="405"/>
      <c r="AM596" s="212"/>
    </row>
    <row r="597" spans="1:39" hidden="1" x14ac:dyDescent="0.35">
      <c r="A597" s="313" t="s">
        <v>2283</v>
      </c>
      <c r="B597" s="419">
        <v>35000000</v>
      </c>
      <c r="C597" s="212" t="s">
        <v>2544</v>
      </c>
      <c r="D597" s="478">
        <v>587</v>
      </c>
      <c r="E597" s="478">
        <v>20216000028273</v>
      </c>
      <c r="F597" s="479">
        <v>44349</v>
      </c>
      <c r="G597" s="478" t="s">
        <v>2545</v>
      </c>
      <c r="H597" s="212" t="s">
        <v>2546</v>
      </c>
      <c r="I597" s="212" t="s">
        <v>214</v>
      </c>
      <c r="J597" s="480">
        <v>35000000</v>
      </c>
      <c r="K597" s="212" t="s">
        <v>138</v>
      </c>
      <c r="L597" s="212" t="s">
        <v>139</v>
      </c>
      <c r="M597" s="212" t="s">
        <v>44</v>
      </c>
      <c r="N597" s="212" t="s">
        <v>45</v>
      </c>
      <c r="O597" s="212" t="s">
        <v>142</v>
      </c>
      <c r="P597" s="212" t="s">
        <v>43</v>
      </c>
      <c r="R597" s="212">
        <v>643</v>
      </c>
      <c r="S597" s="479">
        <v>44349</v>
      </c>
      <c r="T597" s="212" t="s">
        <v>4416</v>
      </c>
      <c r="U597" s="480">
        <v>35000000</v>
      </c>
      <c r="V597" s="406"/>
      <c r="X597" s="483" t="s">
        <v>4417</v>
      </c>
      <c r="Y597" s="484">
        <v>44355</v>
      </c>
      <c r="Z597" s="484">
        <v>44355</v>
      </c>
      <c r="AA597" s="484">
        <v>44554</v>
      </c>
      <c r="AB597" s="486" t="s">
        <v>2548</v>
      </c>
      <c r="AC597" s="483" t="s">
        <v>3876</v>
      </c>
      <c r="AD597" s="486" t="s">
        <v>4418</v>
      </c>
      <c r="AE597" s="486" t="s">
        <v>4419</v>
      </c>
      <c r="AF597" s="496">
        <v>31330000</v>
      </c>
      <c r="AG597" s="474">
        <f t="shared" si="9"/>
        <v>3670000</v>
      </c>
      <c r="AM597" s="212"/>
    </row>
    <row r="598" spans="1:39" hidden="1" x14ac:dyDescent="0.35">
      <c r="A598" s="313"/>
      <c r="B598" s="419"/>
      <c r="C598" s="212" t="s">
        <v>4420</v>
      </c>
      <c r="D598" s="478">
        <v>588</v>
      </c>
      <c r="E598" s="478">
        <v>20212000028203</v>
      </c>
      <c r="F598" s="479">
        <v>44349</v>
      </c>
      <c r="G598" s="478" t="s">
        <v>2538</v>
      </c>
      <c r="H598" s="212" t="s">
        <v>2539</v>
      </c>
      <c r="I598" s="212" t="s">
        <v>391</v>
      </c>
      <c r="J598" s="480">
        <v>490454490</v>
      </c>
      <c r="K598" s="212" t="s">
        <v>2609</v>
      </c>
      <c r="L598" s="212" t="s">
        <v>4421</v>
      </c>
      <c r="M598" s="212" t="s">
        <v>44</v>
      </c>
      <c r="N598" s="212" t="s">
        <v>2834</v>
      </c>
      <c r="O598" s="212" t="s">
        <v>255</v>
      </c>
      <c r="P598" s="212" t="s">
        <v>4305</v>
      </c>
      <c r="R598" s="212">
        <v>644</v>
      </c>
      <c r="S598" s="479">
        <v>44349</v>
      </c>
      <c r="T598" s="212" t="s">
        <v>4422</v>
      </c>
      <c r="U598" s="475">
        <v>490454490</v>
      </c>
      <c r="V598" s="406"/>
      <c r="X598" s="483" t="s">
        <v>4423</v>
      </c>
      <c r="Y598" s="484">
        <v>44355</v>
      </c>
      <c r="Z598" s="484">
        <v>44355</v>
      </c>
      <c r="AA598" s="484">
        <v>44561</v>
      </c>
      <c r="AB598" s="486" t="s">
        <v>3004</v>
      </c>
      <c r="AC598" s="483" t="s">
        <v>3418</v>
      </c>
      <c r="AD598" s="486" t="s">
        <v>3441</v>
      </c>
      <c r="AE598" s="486" t="s">
        <v>3442</v>
      </c>
      <c r="AF598" s="496">
        <v>490454490</v>
      </c>
      <c r="AG598" s="474">
        <f t="shared" si="9"/>
        <v>0</v>
      </c>
      <c r="AM598" s="306">
        <v>490454490</v>
      </c>
    </row>
    <row r="599" spans="1:39" hidden="1" x14ac:dyDescent="0.35">
      <c r="A599" s="313" t="s">
        <v>1634</v>
      </c>
      <c r="B599" s="419">
        <v>20000000</v>
      </c>
      <c r="C599" s="212" t="s">
        <v>4424</v>
      </c>
      <c r="D599" s="478">
        <v>589</v>
      </c>
      <c r="E599" s="478">
        <v>20213000027343</v>
      </c>
      <c r="F599" s="479">
        <v>44349</v>
      </c>
      <c r="G599" s="378" t="s">
        <v>2538</v>
      </c>
      <c r="H599" s="377" t="s">
        <v>2539</v>
      </c>
      <c r="I599" s="377" t="s">
        <v>432</v>
      </c>
      <c r="J599" s="424">
        <v>20000000</v>
      </c>
      <c r="K599" s="468" t="s">
        <v>342</v>
      </c>
      <c r="L599" s="377" t="s">
        <v>351</v>
      </c>
      <c r="M599" s="377" t="s">
        <v>44</v>
      </c>
      <c r="N599" s="377" t="s">
        <v>45</v>
      </c>
      <c r="O599" s="377" t="s">
        <v>63</v>
      </c>
      <c r="P599" s="377" t="s">
        <v>4386</v>
      </c>
      <c r="Q599" s="468"/>
      <c r="R599" s="212">
        <v>647</v>
      </c>
      <c r="S599" s="479">
        <v>44349</v>
      </c>
      <c r="T599" s="212" t="s">
        <v>1634</v>
      </c>
      <c r="U599" s="475">
        <v>20000000</v>
      </c>
      <c r="V599" s="406"/>
      <c r="W599" s="362"/>
      <c r="AF599" s="496"/>
      <c r="AG599" s="474">
        <f t="shared" si="9"/>
        <v>20000000</v>
      </c>
      <c r="AM599" s="212"/>
    </row>
    <row r="600" spans="1:39" hidden="1" x14ac:dyDescent="0.35">
      <c r="A600" s="313" t="s">
        <v>2173</v>
      </c>
      <c r="B600" s="419">
        <v>100000000</v>
      </c>
      <c r="C600" s="212" t="s">
        <v>4425</v>
      </c>
      <c r="D600" s="478">
        <v>590</v>
      </c>
      <c r="E600" s="478">
        <v>20213000027353</v>
      </c>
      <c r="F600" s="479">
        <v>44349</v>
      </c>
      <c r="G600" s="378" t="s">
        <v>2538</v>
      </c>
      <c r="H600" s="377" t="s">
        <v>2539</v>
      </c>
      <c r="I600" s="377" t="s">
        <v>432</v>
      </c>
      <c r="J600" s="424">
        <v>100000000</v>
      </c>
      <c r="K600" s="468" t="s">
        <v>342</v>
      </c>
      <c r="L600" s="377" t="s">
        <v>351</v>
      </c>
      <c r="M600" s="377" t="s">
        <v>44</v>
      </c>
      <c r="N600" s="377" t="s">
        <v>45</v>
      </c>
      <c r="O600" s="377" t="s">
        <v>63</v>
      </c>
      <c r="P600" s="377" t="s">
        <v>4386</v>
      </c>
      <c r="R600" s="212">
        <v>646</v>
      </c>
      <c r="S600" s="479">
        <v>44349</v>
      </c>
      <c r="T600" s="212" t="s">
        <v>2173</v>
      </c>
      <c r="U600" s="475">
        <v>100000000</v>
      </c>
      <c r="V600" s="406"/>
      <c r="W600" s="362"/>
      <c r="AF600" s="496"/>
      <c r="AG600" s="474">
        <f t="shared" si="9"/>
        <v>100000000</v>
      </c>
      <c r="AM600" s="212"/>
    </row>
    <row r="601" spans="1:39" hidden="1" x14ac:dyDescent="0.35">
      <c r="A601" s="313" t="s">
        <v>2362</v>
      </c>
      <c r="B601" s="419">
        <v>24589800</v>
      </c>
      <c r="C601" s="212" t="s">
        <v>2544</v>
      </c>
      <c r="D601" s="478">
        <v>591</v>
      </c>
      <c r="E601" s="478">
        <v>20213000027953</v>
      </c>
      <c r="F601" s="479">
        <v>44349</v>
      </c>
      <c r="G601" s="378" t="s">
        <v>2538</v>
      </c>
      <c r="H601" s="377" t="s">
        <v>2539</v>
      </c>
      <c r="I601" s="377" t="s">
        <v>432</v>
      </c>
      <c r="J601" s="424">
        <v>24530202</v>
      </c>
      <c r="K601" s="468" t="s">
        <v>342</v>
      </c>
      <c r="L601" s="377" t="s">
        <v>351</v>
      </c>
      <c r="M601" s="377" t="s">
        <v>44</v>
      </c>
      <c r="N601" s="377" t="s">
        <v>45</v>
      </c>
      <c r="O601" s="377" t="s">
        <v>63</v>
      </c>
      <c r="P601" s="377" t="s">
        <v>674</v>
      </c>
      <c r="R601" s="212">
        <v>645</v>
      </c>
      <c r="S601" s="479">
        <v>44349</v>
      </c>
      <c r="T601" s="212" t="s">
        <v>2362</v>
      </c>
      <c r="U601" s="475">
        <v>24530202</v>
      </c>
      <c r="V601" s="406"/>
      <c r="X601" s="483" t="s">
        <v>4426</v>
      </c>
      <c r="Y601" s="484">
        <v>44362</v>
      </c>
      <c r="Z601" s="484">
        <v>44362</v>
      </c>
      <c r="AA601" s="484">
        <v>44544</v>
      </c>
      <c r="AB601" s="486" t="s">
        <v>2548</v>
      </c>
      <c r="AC601" s="483" t="s">
        <v>4427</v>
      </c>
      <c r="AD601" s="486" t="s">
        <v>4428</v>
      </c>
      <c r="AE601" s="486" t="s">
        <v>2877</v>
      </c>
      <c r="AF601" s="496">
        <v>24530202</v>
      </c>
      <c r="AG601" s="474">
        <f t="shared" si="9"/>
        <v>0</v>
      </c>
      <c r="AM601" s="212"/>
    </row>
    <row r="602" spans="1:39" s="312" customFormat="1" hidden="1" x14ac:dyDescent="0.35">
      <c r="A602" s="361"/>
      <c r="B602" s="417"/>
      <c r="C602" s="312" t="s">
        <v>4429</v>
      </c>
      <c r="D602" s="325">
        <v>592</v>
      </c>
      <c r="E602" s="325">
        <v>20213000028183</v>
      </c>
      <c r="F602" s="315">
        <v>44349</v>
      </c>
      <c r="G602" s="381" t="s">
        <v>2538</v>
      </c>
      <c r="H602" s="364" t="s">
        <v>2539</v>
      </c>
      <c r="I602" s="364" t="s">
        <v>432</v>
      </c>
      <c r="J602" s="408">
        <v>8176734</v>
      </c>
      <c r="K602" s="364" t="s">
        <v>342</v>
      </c>
      <c r="L602" s="364" t="s">
        <v>351</v>
      </c>
      <c r="M602" s="364" t="s">
        <v>44</v>
      </c>
      <c r="N602" s="364" t="s">
        <v>45</v>
      </c>
      <c r="O602" s="364" t="s">
        <v>63</v>
      </c>
      <c r="P602" s="364" t="s">
        <v>674</v>
      </c>
      <c r="Q602" s="312" t="s">
        <v>3198</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x14ac:dyDescent="0.35">
      <c r="A603" s="313" t="s">
        <v>4042</v>
      </c>
      <c r="B603" s="419">
        <v>117952800</v>
      </c>
      <c r="C603" s="212" t="s">
        <v>4430</v>
      </c>
      <c r="D603" s="478">
        <v>593</v>
      </c>
      <c r="E603" s="478">
        <v>20215000028213</v>
      </c>
      <c r="F603" s="479">
        <v>44350</v>
      </c>
      <c r="G603" s="309" t="s">
        <v>2538</v>
      </c>
      <c r="H603" s="210" t="s">
        <v>2539</v>
      </c>
      <c r="I603" s="210" t="s">
        <v>228</v>
      </c>
      <c r="J603" s="415">
        <v>117952800</v>
      </c>
      <c r="K603" s="212" t="s">
        <v>223</v>
      </c>
      <c r="L603" s="212" t="s">
        <v>257</v>
      </c>
      <c r="M603" s="212" t="s">
        <v>44</v>
      </c>
      <c r="N603" s="212" t="s">
        <v>45</v>
      </c>
      <c r="O603" s="212" t="s">
        <v>46</v>
      </c>
      <c r="P603" s="212" t="s">
        <v>674</v>
      </c>
      <c r="R603" s="212">
        <v>650</v>
      </c>
      <c r="S603" s="479">
        <v>44350</v>
      </c>
      <c r="T603" s="212" t="s">
        <v>4431</v>
      </c>
      <c r="U603" s="415">
        <v>117952800</v>
      </c>
      <c r="V603" s="406"/>
      <c r="W603" s="362"/>
      <c r="AF603" s="496"/>
      <c r="AG603" s="474"/>
      <c r="AM603" s="212"/>
    </row>
    <row r="604" spans="1:39" hidden="1" x14ac:dyDescent="0.35">
      <c r="A604" s="313"/>
      <c r="B604" s="419" t="s">
        <v>4288</v>
      </c>
      <c r="C604" s="212" t="s">
        <v>4383</v>
      </c>
      <c r="D604" s="478">
        <v>594</v>
      </c>
      <c r="E604" s="478">
        <v>20215000028503</v>
      </c>
      <c r="F604" s="479">
        <v>44350</v>
      </c>
      <c r="G604" s="309" t="s">
        <v>2538</v>
      </c>
      <c r="H604" s="210" t="s">
        <v>2539</v>
      </c>
      <c r="I604" s="210" t="s">
        <v>228</v>
      </c>
      <c r="J604" s="415">
        <v>114240000</v>
      </c>
      <c r="K604" s="212" t="s">
        <v>223</v>
      </c>
      <c r="L604" s="212" t="s">
        <v>236</v>
      </c>
      <c r="M604" s="212" t="s">
        <v>44</v>
      </c>
      <c r="N604" s="212" t="s">
        <v>45</v>
      </c>
      <c r="O604" s="212" t="s">
        <v>63</v>
      </c>
      <c r="P604" s="212" t="s">
        <v>674</v>
      </c>
      <c r="R604" s="212">
        <v>652</v>
      </c>
      <c r="S604" s="479">
        <v>44350</v>
      </c>
      <c r="T604" s="212" t="s">
        <v>4432</v>
      </c>
      <c r="U604" s="693">
        <v>114240000</v>
      </c>
      <c r="V604" s="406"/>
      <c r="X604" s="483" t="s">
        <v>4433</v>
      </c>
      <c r="Y604" s="484">
        <v>44352</v>
      </c>
      <c r="Z604" s="484">
        <v>44322</v>
      </c>
      <c r="AA604" s="484">
        <v>44535</v>
      </c>
      <c r="AB604" s="486" t="s">
        <v>3940</v>
      </c>
      <c r="AC604" s="483" t="s">
        <v>3952</v>
      </c>
      <c r="AD604" s="486" t="s">
        <v>4434</v>
      </c>
      <c r="AE604" s="486" t="s">
        <v>4435</v>
      </c>
      <c r="AF604" s="496">
        <v>114240000</v>
      </c>
      <c r="AG604" s="474">
        <f t="shared" ref="AG604:AG617" si="10">+U604-AF604</f>
        <v>0</v>
      </c>
      <c r="AM604" s="212"/>
    </row>
    <row r="605" spans="1:39" hidden="1" x14ac:dyDescent="0.35">
      <c r="A605" s="313" t="s">
        <v>1753</v>
      </c>
      <c r="B605" s="419">
        <v>120000000</v>
      </c>
      <c r="C605" s="212" t="s">
        <v>4436</v>
      </c>
      <c r="D605" s="478">
        <v>595</v>
      </c>
      <c r="E605" s="478">
        <v>20215000028193</v>
      </c>
      <c r="F605" s="479">
        <v>44350</v>
      </c>
      <c r="G605" s="309" t="s">
        <v>2538</v>
      </c>
      <c r="H605" s="210" t="s">
        <v>2539</v>
      </c>
      <c r="I605" s="210" t="s">
        <v>228</v>
      </c>
      <c r="J605" s="415">
        <v>120000000</v>
      </c>
      <c r="K605" s="212" t="s">
        <v>223</v>
      </c>
      <c r="L605" s="212" t="s">
        <v>236</v>
      </c>
      <c r="M605" s="212" t="s">
        <v>44</v>
      </c>
      <c r="N605" s="212" t="s">
        <v>45</v>
      </c>
      <c r="O605" s="212" t="s">
        <v>63</v>
      </c>
      <c r="P605" s="212" t="s">
        <v>674</v>
      </c>
      <c r="R605" s="212">
        <v>649</v>
      </c>
      <c r="S605" s="479">
        <v>44350</v>
      </c>
      <c r="T605" s="212" t="s">
        <v>4437</v>
      </c>
      <c r="U605" s="693">
        <v>120000000</v>
      </c>
      <c r="V605" s="406"/>
      <c r="W605" s="362"/>
      <c r="AF605" s="496"/>
      <c r="AG605" s="474">
        <f t="shared" si="10"/>
        <v>120000000</v>
      </c>
      <c r="AM605" s="212"/>
    </row>
    <row r="606" spans="1:39" hidden="1" x14ac:dyDescent="0.35">
      <c r="A606" s="313"/>
      <c r="B606" s="419"/>
      <c r="C606" s="212" t="s">
        <v>4429</v>
      </c>
      <c r="D606" s="478">
        <v>596</v>
      </c>
      <c r="E606" s="478">
        <v>20213000028523</v>
      </c>
      <c r="F606" s="479">
        <v>44350</v>
      </c>
      <c r="G606" s="478" t="s">
        <v>2538</v>
      </c>
      <c r="H606" s="212" t="s">
        <v>2539</v>
      </c>
      <c r="I606" s="212" t="s">
        <v>432</v>
      </c>
      <c r="J606" s="480">
        <v>8176734</v>
      </c>
      <c r="K606" s="212" t="s">
        <v>358</v>
      </c>
      <c r="L606" s="212" t="s">
        <v>4203</v>
      </c>
      <c r="M606" s="212" t="s">
        <v>44</v>
      </c>
      <c r="N606" s="212" t="s">
        <v>45</v>
      </c>
      <c r="O606" s="212" t="s">
        <v>63</v>
      </c>
      <c r="P606" s="212" t="s">
        <v>674</v>
      </c>
      <c r="R606" s="212">
        <v>653</v>
      </c>
      <c r="S606" s="479">
        <v>44350</v>
      </c>
      <c r="T606" s="212" t="s">
        <v>4438</v>
      </c>
      <c r="U606" s="480">
        <v>8176734</v>
      </c>
      <c r="V606" s="406"/>
      <c r="X606" s="483" t="s">
        <v>4439</v>
      </c>
      <c r="Y606" s="484">
        <v>44356</v>
      </c>
      <c r="Z606" s="484">
        <v>44356</v>
      </c>
      <c r="AA606" s="484">
        <v>44416</v>
      </c>
      <c r="AB606" s="486" t="s">
        <v>2548</v>
      </c>
      <c r="AC606" s="483" t="s">
        <v>4440</v>
      </c>
      <c r="AD606" s="486" t="s">
        <v>4441</v>
      </c>
      <c r="AE606" s="486" t="s">
        <v>2879</v>
      </c>
      <c r="AF606" s="496">
        <v>8176734</v>
      </c>
      <c r="AG606" s="474">
        <f t="shared" si="10"/>
        <v>0</v>
      </c>
      <c r="AM606" s="212"/>
    </row>
    <row r="607" spans="1:39" hidden="1" x14ac:dyDescent="0.35">
      <c r="A607" s="313" t="s">
        <v>1985</v>
      </c>
      <c r="B607" s="419">
        <v>24000000</v>
      </c>
      <c r="C607" s="212" t="s">
        <v>2544</v>
      </c>
      <c r="D607" s="478">
        <v>597</v>
      </c>
      <c r="E607" s="478">
        <v>20213000028423</v>
      </c>
      <c r="F607" s="479">
        <v>44350</v>
      </c>
      <c r="G607" s="478" t="s">
        <v>2538</v>
      </c>
      <c r="H607" s="212" t="s">
        <v>2539</v>
      </c>
      <c r="I607" s="212" t="s">
        <v>432</v>
      </c>
      <c r="J607" s="480">
        <v>24000000</v>
      </c>
      <c r="K607" s="212" t="s">
        <v>342</v>
      </c>
      <c r="L607" s="212" t="s">
        <v>351</v>
      </c>
      <c r="M607" s="212" t="s">
        <v>44</v>
      </c>
      <c r="N607" s="212" t="s">
        <v>45</v>
      </c>
      <c r="O607" s="212" t="s">
        <v>63</v>
      </c>
      <c r="P607" s="212" t="s">
        <v>674</v>
      </c>
      <c r="R607" s="212">
        <v>651</v>
      </c>
      <c r="S607" s="479">
        <v>44350</v>
      </c>
      <c r="T607" s="212" t="s">
        <v>4442</v>
      </c>
      <c r="U607" s="480">
        <v>24000000</v>
      </c>
      <c r="V607" s="406"/>
      <c r="X607" s="530" t="s">
        <v>4443</v>
      </c>
      <c r="Y607" s="491">
        <v>44371</v>
      </c>
      <c r="Z607" s="491">
        <v>44371</v>
      </c>
      <c r="AA607" s="491">
        <v>44553</v>
      </c>
      <c r="AB607" s="493" t="s">
        <v>2548</v>
      </c>
      <c r="AC607" s="530" t="s">
        <v>2843</v>
      </c>
      <c r="AD607" s="493" t="s">
        <v>4444</v>
      </c>
      <c r="AE607" s="493" t="s">
        <v>4445</v>
      </c>
      <c r="AF607" s="496">
        <v>24000000</v>
      </c>
      <c r="AG607" s="474">
        <f t="shared" si="10"/>
        <v>0</v>
      </c>
      <c r="AM607" s="212"/>
    </row>
    <row r="608" spans="1:39" hidden="1" x14ac:dyDescent="0.35">
      <c r="A608" s="313" t="s">
        <v>1764</v>
      </c>
      <c r="B608" s="419">
        <v>18000000</v>
      </c>
      <c r="C608" s="212" t="s">
        <v>2544</v>
      </c>
      <c r="D608" s="478">
        <v>598</v>
      </c>
      <c r="E608" s="478">
        <v>20213000027333</v>
      </c>
      <c r="F608" s="479">
        <v>44350</v>
      </c>
      <c r="G608" s="478" t="s">
        <v>2538</v>
      </c>
      <c r="H608" s="212" t="s">
        <v>2539</v>
      </c>
      <c r="I608" s="212" t="s">
        <v>432</v>
      </c>
      <c r="J608" s="480">
        <v>18000000</v>
      </c>
      <c r="K608" s="212" t="s">
        <v>342</v>
      </c>
      <c r="L608" s="212" t="s">
        <v>351</v>
      </c>
      <c r="M608" s="212" t="s">
        <v>44</v>
      </c>
      <c r="N608" s="212" t="s">
        <v>45</v>
      </c>
      <c r="O608" s="212" t="s">
        <v>63</v>
      </c>
      <c r="P608" s="212" t="s">
        <v>674</v>
      </c>
      <c r="R608" s="212">
        <v>648</v>
      </c>
      <c r="S608" s="479">
        <v>44350</v>
      </c>
      <c r="T608" s="212" t="s">
        <v>4446</v>
      </c>
      <c r="U608" s="480">
        <v>18000000</v>
      </c>
      <c r="V608" s="406"/>
      <c r="X608" s="483" t="s">
        <v>4447</v>
      </c>
      <c r="Y608" s="484">
        <v>44363</v>
      </c>
      <c r="Z608" s="484">
        <v>44364</v>
      </c>
      <c r="AA608" s="484">
        <v>44546</v>
      </c>
      <c r="AB608" s="486" t="s">
        <v>2548</v>
      </c>
      <c r="AC608" s="483" t="s">
        <v>3987</v>
      </c>
      <c r="AD608" s="486" t="s">
        <v>4448</v>
      </c>
      <c r="AE608" s="486" t="s">
        <v>4449</v>
      </c>
      <c r="AF608" s="496">
        <v>18000000</v>
      </c>
      <c r="AG608" s="474">
        <f t="shared" si="10"/>
        <v>0</v>
      </c>
      <c r="AM608" s="212"/>
    </row>
    <row r="609" spans="1:39" hidden="1" x14ac:dyDescent="0.35">
      <c r="A609" s="313" t="s">
        <v>2487</v>
      </c>
      <c r="B609" s="419">
        <v>21000000</v>
      </c>
      <c r="C609" s="212" t="s">
        <v>2544</v>
      </c>
      <c r="D609" s="478">
        <v>599</v>
      </c>
      <c r="E609" s="478">
        <v>20214000029113</v>
      </c>
      <c r="F609" s="479">
        <v>44356</v>
      </c>
      <c r="G609" s="478" t="s">
        <v>2571</v>
      </c>
      <c r="H609" s="212" t="s">
        <v>2572</v>
      </c>
      <c r="I609" s="212" t="s">
        <v>117</v>
      </c>
      <c r="J609" s="480">
        <v>15000000</v>
      </c>
      <c r="K609" s="212" t="s">
        <v>112</v>
      </c>
      <c r="L609" s="212" t="s">
        <v>2573</v>
      </c>
      <c r="M609" s="212" t="s">
        <v>44</v>
      </c>
      <c r="N609" s="212" t="s">
        <v>45</v>
      </c>
      <c r="O609" s="212" t="s">
        <v>63</v>
      </c>
      <c r="P609" s="212" t="s">
        <v>43</v>
      </c>
      <c r="R609" s="212">
        <v>661</v>
      </c>
      <c r="S609" s="479">
        <v>44357</v>
      </c>
      <c r="T609" s="212" t="s">
        <v>4450</v>
      </c>
      <c r="U609" s="480">
        <v>15000000</v>
      </c>
      <c r="V609" s="406"/>
      <c r="X609" s="483" t="s">
        <v>4451</v>
      </c>
      <c r="Y609" s="490">
        <v>44376</v>
      </c>
      <c r="Z609" s="490">
        <v>44376</v>
      </c>
      <c r="AA609" s="490">
        <v>44528</v>
      </c>
      <c r="AB609" s="486" t="s">
        <v>2548</v>
      </c>
      <c r="AC609" s="483" t="s">
        <v>3811</v>
      </c>
      <c r="AD609" s="486" t="s">
        <v>4452</v>
      </c>
      <c r="AE609" s="486" t="s">
        <v>2919</v>
      </c>
      <c r="AF609" s="692">
        <v>15000000</v>
      </c>
      <c r="AG609" s="474">
        <f t="shared" si="10"/>
        <v>0</v>
      </c>
      <c r="AM609" s="212"/>
    </row>
    <row r="610" spans="1:39" hidden="1" x14ac:dyDescent="0.35">
      <c r="A610" s="313" t="s">
        <v>2121</v>
      </c>
      <c r="B610" s="419">
        <v>42000000</v>
      </c>
      <c r="C610" s="212" t="s">
        <v>2544</v>
      </c>
      <c r="D610" s="478">
        <v>600</v>
      </c>
      <c r="E610" s="478">
        <v>20214000029123</v>
      </c>
      <c r="F610" s="479">
        <v>44356</v>
      </c>
      <c r="G610" s="478" t="s">
        <v>2578</v>
      </c>
      <c r="H610" s="212" t="s">
        <v>2579</v>
      </c>
      <c r="I610" s="212" t="s">
        <v>47</v>
      </c>
      <c r="J610" s="480">
        <v>30000000</v>
      </c>
      <c r="K610" s="212" t="s">
        <v>37</v>
      </c>
      <c r="L610" s="212" t="s">
        <v>2580</v>
      </c>
      <c r="M610" s="212" t="s">
        <v>44</v>
      </c>
      <c r="N610" s="212" t="s">
        <v>45</v>
      </c>
      <c r="O610" s="212" t="s">
        <v>310</v>
      </c>
      <c r="P610" s="212" t="s">
        <v>43</v>
      </c>
      <c r="R610" s="212">
        <v>658</v>
      </c>
      <c r="S610" s="479">
        <v>44357</v>
      </c>
      <c r="T610" s="212" t="s">
        <v>4453</v>
      </c>
      <c r="U610" s="480">
        <v>30000000</v>
      </c>
      <c r="V610" s="406"/>
      <c r="W610" s="362"/>
      <c r="AF610" s="496"/>
      <c r="AG610" s="474">
        <f t="shared" si="10"/>
        <v>30000000</v>
      </c>
      <c r="AM610" s="212"/>
    </row>
    <row r="611" spans="1:39" hidden="1" x14ac:dyDescent="0.35">
      <c r="A611" s="313" t="s">
        <v>2138</v>
      </c>
      <c r="B611" s="419">
        <v>39900000</v>
      </c>
      <c r="C611" s="212" t="s">
        <v>2544</v>
      </c>
      <c r="D611" s="212">
        <v>601</v>
      </c>
      <c r="E611" s="478">
        <v>20214000029133</v>
      </c>
      <c r="F611" s="479">
        <v>44356</v>
      </c>
      <c r="G611" s="478" t="s">
        <v>2571</v>
      </c>
      <c r="H611" s="212" t="s">
        <v>2572</v>
      </c>
      <c r="I611" s="212" t="s">
        <v>117</v>
      </c>
      <c r="J611" s="475">
        <v>28500000</v>
      </c>
      <c r="K611" s="212" t="s">
        <v>112</v>
      </c>
      <c r="L611" s="212" t="s">
        <v>2573</v>
      </c>
      <c r="M611" s="212" t="s">
        <v>44</v>
      </c>
      <c r="N611" s="212" t="s">
        <v>45</v>
      </c>
      <c r="O611" s="212" t="s">
        <v>63</v>
      </c>
      <c r="P611" s="212" t="s">
        <v>43</v>
      </c>
      <c r="R611" s="212">
        <v>659</v>
      </c>
      <c r="S611" s="479">
        <v>44357</v>
      </c>
      <c r="T611" s="212" t="s">
        <v>4454</v>
      </c>
      <c r="U611" s="475">
        <v>28500000</v>
      </c>
      <c r="V611" s="539"/>
      <c r="W611" s="212"/>
      <c r="X611" s="483" t="s">
        <v>4455</v>
      </c>
      <c r="Y611" s="484">
        <v>44365</v>
      </c>
      <c r="Z611" s="484">
        <v>44365</v>
      </c>
      <c r="AA611" s="484">
        <v>44517</v>
      </c>
      <c r="AB611" s="486" t="s">
        <v>2548</v>
      </c>
      <c r="AC611" s="483" t="s">
        <v>3990</v>
      </c>
      <c r="AD611" s="486" t="s">
        <v>4456</v>
      </c>
      <c r="AE611" s="486" t="s">
        <v>2962</v>
      </c>
      <c r="AF611" s="496">
        <v>28500000</v>
      </c>
      <c r="AG611" s="474">
        <f t="shared" si="10"/>
        <v>0</v>
      </c>
      <c r="AM611" s="212"/>
    </row>
    <row r="612" spans="1:39" s="312" customFormat="1" hidden="1" x14ac:dyDescent="0.35">
      <c r="A612" s="361" t="s">
        <v>1902</v>
      </c>
      <c r="B612" s="417">
        <v>39975144</v>
      </c>
      <c r="C612" s="312" t="s">
        <v>2660</v>
      </c>
      <c r="D612" s="312">
        <v>602</v>
      </c>
      <c r="E612" s="325">
        <v>20217000029143</v>
      </c>
      <c r="F612" s="315">
        <v>44356</v>
      </c>
      <c r="G612" s="325" t="s">
        <v>2545</v>
      </c>
      <c r="H612" s="312" t="s">
        <v>2546</v>
      </c>
      <c r="I612" s="312" t="s">
        <v>164</v>
      </c>
      <c r="J612" s="406">
        <v>19079046</v>
      </c>
      <c r="K612" s="312" t="s">
        <v>138</v>
      </c>
      <c r="L612" s="312" t="s">
        <v>139</v>
      </c>
      <c r="M612" s="312" t="s">
        <v>44</v>
      </c>
      <c r="N612" s="312" t="s">
        <v>45</v>
      </c>
      <c r="O612" s="312" t="s">
        <v>142</v>
      </c>
      <c r="P612" s="312" t="s">
        <v>43</v>
      </c>
      <c r="R612" s="312">
        <v>660</v>
      </c>
      <c r="S612" s="315">
        <v>44357</v>
      </c>
      <c r="T612" s="312" t="s">
        <v>4457</v>
      </c>
      <c r="U612" s="406">
        <f>19079046-19079046</f>
        <v>0</v>
      </c>
      <c r="V612" s="406">
        <v>19079046</v>
      </c>
      <c r="W612" s="388" t="s">
        <v>1428</v>
      </c>
      <c r="X612" s="316"/>
      <c r="Y612" s="316"/>
      <c r="Z612" s="316"/>
      <c r="AA612" s="316"/>
      <c r="AC612" s="316"/>
      <c r="AF612" s="496"/>
      <c r="AG612" s="318">
        <f t="shared" si="10"/>
        <v>0</v>
      </c>
      <c r="AH612" s="405"/>
      <c r="AI612" s="405"/>
      <c r="AJ612" s="405"/>
      <c r="AK612" s="405"/>
      <c r="AL612" s="405"/>
      <c r="AM612" s="212"/>
    </row>
    <row r="613" spans="1:39" hidden="1" x14ac:dyDescent="0.35">
      <c r="A613" s="313" t="s">
        <v>1867</v>
      </c>
      <c r="B613" s="419">
        <v>45500000</v>
      </c>
      <c r="C613" s="212" t="s">
        <v>2544</v>
      </c>
      <c r="D613" s="212">
        <v>603</v>
      </c>
      <c r="E613" s="478">
        <v>20216000029073</v>
      </c>
      <c r="F613" s="479">
        <v>44356</v>
      </c>
      <c r="G613" s="311" t="s">
        <v>2545</v>
      </c>
      <c r="H613" s="441" t="s">
        <v>2546</v>
      </c>
      <c r="I613" s="441" t="s">
        <v>214</v>
      </c>
      <c r="J613" s="480">
        <v>42000000</v>
      </c>
      <c r="K613" s="212" t="s">
        <v>138</v>
      </c>
      <c r="L613" s="212" t="s">
        <v>139</v>
      </c>
      <c r="M613" s="212" t="s">
        <v>44</v>
      </c>
      <c r="N613" s="212" t="s">
        <v>45</v>
      </c>
      <c r="O613" s="212" t="s">
        <v>142</v>
      </c>
      <c r="P613" s="212" t="s">
        <v>43</v>
      </c>
      <c r="R613" s="212">
        <v>656</v>
      </c>
      <c r="S613" s="479">
        <v>44357</v>
      </c>
      <c r="T613" s="212" t="s">
        <v>4458</v>
      </c>
      <c r="U613" s="480">
        <v>42000000</v>
      </c>
      <c r="V613" s="539"/>
      <c r="W613" s="212"/>
      <c r="X613" s="483" t="s">
        <v>4459</v>
      </c>
      <c r="Y613" s="484">
        <v>44362</v>
      </c>
      <c r="Z613" s="484">
        <v>44362</v>
      </c>
      <c r="AA613" s="484">
        <v>44559</v>
      </c>
      <c r="AB613" s="486" t="s">
        <v>2548</v>
      </c>
      <c r="AC613" s="483" t="s">
        <v>3599</v>
      </c>
      <c r="AD613" s="486" t="s">
        <v>4460</v>
      </c>
      <c r="AE613" s="486" t="s">
        <v>4461</v>
      </c>
      <c r="AF613" s="496">
        <v>39000000</v>
      </c>
      <c r="AG613" s="474">
        <f t="shared" si="10"/>
        <v>3000000</v>
      </c>
      <c r="AM613" s="212"/>
    </row>
    <row r="614" spans="1:39" hidden="1" x14ac:dyDescent="0.35">
      <c r="A614" s="313" t="s">
        <v>2109</v>
      </c>
      <c r="B614" s="419">
        <v>41337934</v>
      </c>
      <c r="C614" s="212" t="s">
        <v>2544</v>
      </c>
      <c r="D614" s="212">
        <v>604</v>
      </c>
      <c r="E614" s="478">
        <v>20211300029263</v>
      </c>
      <c r="F614" s="479">
        <v>44357</v>
      </c>
      <c r="G614" s="311" t="s">
        <v>2545</v>
      </c>
      <c r="H614" s="441" t="s">
        <v>2546</v>
      </c>
      <c r="I614" s="441" t="s">
        <v>210</v>
      </c>
      <c r="J614" s="480">
        <v>29527095</v>
      </c>
      <c r="K614" s="212" t="s">
        <v>138</v>
      </c>
      <c r="L614" s="212" t="s">
        <v>139</v>
      </c>
      <c r="M614" s="212" t="s">
        <v>44</v>
      </c>
      <c r="N614" s="212" t="s">
        <v>45</v>
      </c>
      <c r="O614" s="212" t="s">
        <v>142</v>
      </c>
      <c r="P614" s="212" t="s">
        <v>43</v>
      </c>
      <c r="R614" s="212">
        <v>664</v>
      </c>
      <c r="S614" s="479">
        <v>44358</v>
      </c>
      <c r="T614" s="212" t="s">
        <v>4462</v>
      </c>
      <c r="U614" s="480">
        <v>29527095</v>
      </c>
      <c r="V614" s="539"/>
      <c r="W614" s="540"/>
      <c r="X614" s="211"/>
      <c r="Y614" s="211"/>
      <c r="Z614" s="211"/>
      <c r="AA614" s="211"/>
      <c r="AB614" s="212"/>
      <c r="AD614" s="212"/>
      <c r="AF614" s="496"/>
      <c r="AG614" s="474">
        <f t="shared" si="10"/>
        <v>29527095</v>
      </c>
      <c r="AM614" s="212"/>
    </row>
    <row r="615" spans="1:39" hidden="1" x14ac:dyDescent="0.35">
      <c r="A615" s="313" t="s">
        <v>1707</v>
      </c>
      <c r="B615" s="419">
        <v>300000000</v>
      </c>
      <c r="C615" s="212" t="s">
        <v>4463</v>
      </c>
      <c r="D615" s="212">
        <v>605</v>
      </c>
      <c r="E615" s="478">
        <v>20213000029273</v>
      </c>
      <c r="F615" s="479">
        <v>44357</v>
      </c>
      <c r="G615" s="478" t="s">
        <v>2538</v>
      </c>
      <c r="H615" s="212" t="s">
        <v>2539</v>
      </c>
      <c r="I615" s="212" t="s">
        <v>432</v>
      </c>
      <c r="J615" s="480">
        <v>300000000</v>
      </c>
      <c r="K615" s="212" t="s">
        <v>342</v>
      </c>
      <c r="L615" s="212" t="s">
        <v>351</v>
      </c>
      <c r="M615" s="212" t="s">
        <v>44</v>
      </c>
      <c r="N615" s="212" t="s">
        <v>45</v>
      </c>
      <c r="O615" s="212" t="s">
        <v>63</v>
      </c>
      <c r="P615" s="212" t="s">
        <v>4464</v>
      </c>
      <c r="R615" s="212">
        <v>665</v>
      </c>
      <c r="S615" s="479">
        <v>44358</v>
      </c>
      <c r="T615" s="212" t="s">
        <v>4465</v>
      </c>
      <c r="U615" s="480">
        <v>300000000</v>
      </c>
      <c r="V615" s="539"/>
      <c r="W615" s="540"/>
      <c r="X615" s="211"/>
      <c r="Y615" s="211"/>
      <c r="Z615" s="211"/>
      <c r="AA615" s="211"/>
      <c r="AB615" s="212"/>
      <c r="AD615" s="212"/>
      <c r="AF615" s="496"/>
      <c r="AG615" s="474">
        <f t="shared" si="10"/>
        <v>300000000</v>
      </c>
      <c r="AM615" s="212"/>
    </row>
    <row r="616" spans="1:39" x14ac:dyDescent="0.35">
      <c r="A616" s="313" t="s">
        <v>1816</v>
      </c>
      <c r="B616" s="419">
        <v>42500000</v>
      </c>
      <c r="C616" s="212" t="s">
        <v>2544</v>
      </c>
      <c r="D616" s="212">
        <v>606</v>
      </c>
      <c r="E616" s="478">
        <v>20215000029803</v>
      </c>
      <c r="F616" s="479">
        <v>44362</v>
      </c>
      <c r="G616" s="478" t="s">
        <v>2538</v>
      </c>
      <c r="H616" s="212" t="s">
        <v>2539</v>
      </c>
      <c r="I616" s="212" t="s">
        <v>228</v>
      </c>
      <c r="J616" s="480">
        <v>42500000</v>
      </c>
      <c r="K616" s="212" t="s">
        <v>223</v>
      </c>
      <c r="L616" s="212" t="s">
        <v>236</v>
      </c>
      <c r="M616" s="212" t="s">
        <v>44</v>
      </c>
      <c r="N616" s="212" t="s">
        <v>45</v>
      </c>
      <c r="O616" s="212" t="s">
        <v>63</v>
      </c>
      <c r="P616" s="212" t="s">
        <v>674</v>
      </c>
      <c r="R616" s="212">
        <v>674</v>
      </c>
      <c r="S616" s="479">
        <v>44363</v>
      </c>
      <c r="T616" s="212" t="s">
        <v>4466</v>
      </c>
      <c r="U616" s="480">
        <v>42500000</v>
      </c>
      <c r="V616" s="539"/>
      <c r="W616" s="212"/>
      <c r="X616" s="483" t="s">
        <v>4467</v>
      </c>
      <c r="Y616" s="490">
        <v>44377</v>
      </c>
      <c r="Z616" s="490">
        <v>44377</v>
      </c>
      <c r="AA616" s="490">
        <v>44559</v>
      </c>
      <c r="AB616" s="486" t="s">
        <v>2548</v>
      </c>
      <c r="AC616" s="483" t="s">
        <v>3805</v>
      </c>
      <c r="AD616" s="486" t="s">
        <v>4468</v>
      </c>
      <c r="AE616" s="486" t="s">
        <v>4469</v>
      </c>
      <c r="AF616" s="692">
        <v>24000000</v>
      </c>
      <c r="AG616" s="474">
        <f t="shared" si="10"/>
        <v>18500000</v>
      </c>
      <c r="AM616" s="212"/>
    </row>
    <row r="617" spans="1:39" x14ac:dyDescent="0.35">
      <c r="A617" s="313" t="s">
        <v>2177</v>
      </c>
      <c r="B617" s="419">
        <v>50000000</v>
      </c>
      <c r="C617" s="212" t="s">
        <v>4470</v>
      </c>
      <c r="D617" s="212">
        <v>607</v>
      </c>
      <c r="E617" s="478">
        <v>20213000029723</v>
      </c>
      <c r="F617" s="479">
        <v>44362</v>
      </c>
      <c r="G617" s="478" t="s">
        <v>2538</v>
      </c>
      <c r="H617" s="212" t="s">
        <v>2539</v>
      </c>
      <c r="I617" s="212" t="s">
        <v>432</v>
      </c>
      <c r="J617" s="480">
        <v>50000000</v>
      </c>
      <c r="K617" s="212" t="s">
        <v>342</v>
      </c>
      <c r="L617" s="212" t="s">
        <v>351</v>
      </c>
      <c r="M617" s="212" t="s">
        <v>44</v>
      </c>
      <c r="N617" s="212" t="s">
        <v>45</v>
      </c>
      <c r="O617" s="212" t="s">
        <v>63</v>
      </c>
      <c r="P617" s="212" t="s">
        <v>4464</v>
      </c>
      <c r="R617" s="212">
        <v>668</v>
      </c>
      <c r="S617" s="479">
        <v>44363</v>
      </c>
      <c r="T617" s="212" t="s">
        <v>4471</v>
      </c>
      <c r="U617" s="480">
        <v>50000000</v>
      </c>
      <c r="V617" s="539"/>
      <c r="W617" s="540"/>
      <c r="X617" s="211"/>
      <c r="Y617" s="211"/>
      <c r="Z617" s="211"/>
      <c r="AA617" s="211"/>
      <c r="AB617" s="212"/>
      <c r="AD617" s="212"/>
      <c r="AF617" s="496"/>
      <c r="AG617" s="474">
        <f t="shared" si="10"/>
        <v>50000000</v>
      </c>
      <c r="AM617" s="212"/>
    </row>
    <row r="618" spans="1:39" x14ac:dyDescent="0.35">
      <c r="A618" s="313" t="s">
        <v>2171</v>
      </c>
      <c r="B618" s="419">
        <v>50000000</v>
      </c>
      <c r="C618" s="212" t="s">
        <v>4472</v>
      </c>
      <c r="D618" s="212">
        <v>608</v>
      </c>
      <c r="E618" s="478">
        <v>20213000029733</v>
      </c>
      <c r="F618" s="479">
        <v>44362</v>
      </c>
      <c r="G618" s="478" t="s">
        <v>2538</v>
      </c>
      <c r="H618" s="212" t="s">
        <v>2539</v>
      </c>
      <c r="I618" s="212" t="s">
        <v>432</v>
      </c>
      <c r="J618" s="480">
        <v>50000000</v>
      </c>
      <c r="K618" s="212" t="s">
        <v>342</v>
      </c>
      <c r="L618" s="212" t="s">
        <v>351</v>
      </c>
      <c r="M618" s="212" t="s">
        <v>44</v>
      </c>
      <c r="N618" s="212" t="s">
        <v>45</v>
      </c>
      <c r="O618" s="212" t="s">
        <v>63</v>
      </c>
      <c r="P618" s="212" t="s">
        <v>4464</v>
      </c>
      <c r="R618" s="212">
        <v>669</v>
      </c>
      <c r="S618" s="479">
        <v>44363</v>
      </c>
      <c r="T618" s="212" t="s">
        <v>2171</v>
      </c>
      <c r="U618" s="480">
        <v>50000000</v>
      </c>
      <c r="V618" s="539"/>
      <c r="W618" s="540"/>
      <c r="X618" s="211"/>
      <c r="Y618" s="211"/>
      <c r="Z618" s="211"/>
      <c r="AA618" s="211"/>
      <c r="AB618" s="212"/>
      <c r="AD618" s="212"/>
      <c r="AF618" s="496"/>
      <c r="AM618" s="212"/>
    </row>
    <row r="619" spans="1:39" x14ac:dyDescent="0.35">
      <c r="A619" s="313" t="s">
        <v>1717</v>
      </c>
      <c r="B619" s="419">
        <v>210000000</v>
      </c>
      <c r="C619" s="212" t="s">
        <v>4473</v>
      </c>
      <c r="D619" s="212">
        <v>609</v>
      </c>
      <c r="E619" s="478">
        <v>20213000029743</v>
      </c>
      <c r="F619" s="479">
        <v>44362</v>
      </c>
      <c r="G619" s="478" t="s">
        <v>2538</v>
      </c>
      <c r="H619" s="212" t="s">
        <v>2539</v>
      </c>
      <c r="I619" s="212" t="s">
        <v>432</v>
      </c>
      <c r="J619" s="480">
        <v>200000000</v>
      </c>
      <c r="K619" s="212" t="s">
        <v>342</v>
      </c>
      <c r="L619" s="212" t="s">
        <v>351</v>
      </c>
      <c r="M619" s="212" t="s">
        <v>44</v>
      </c>
      <c r="N619" s="212" t="s">
        <v>45</v>
      </c>
      <c r="O619" s="212" t="s">
        <v>63</v>
      </c>
      <c r="P619" s="212" t="s">
        <v>4474</v>
      </c>
      <c r="R619" s="212">
        <v>670</v>
      </c>
      <c r="S619" s="479">
        <v>44363</v>
      </c>
      <c r="T619" s="212" t="s">
        <v>4475</v>
      </c>
      <c r="U619" s="480">
        <v>200000000</v>
      </c>
      <c r="V619" s="539"/>
      <c r="W619" s="540"/>
      <c r="X619" s="211"/>
      <c r="Y619" s="211"/>
      <c r="Z619" s="211"/>
      <c r="AA619" s="211"/>
      <c r="AB619" s="212"/>
      <c r="AD619" s="212"/>
      <c r="AF619" s="496"/>
      <c r="AM619" s="212"/>
    </row>
    <row r="620" spans="1:39" x14ac:dyDescent="0.35">
      <c r="A620" s="313" t="s">
        <v>1786</v>
      </c>
      <c r="B620" s="419">
        <v>370678608</v>
      </c>
      <c r="C620" s="212" t="s">
        <v>4239</v>
      </c>
      <c r="D620" s="212">
        <v>610</v>
      </c>
      <c r="E620" s="478">
        <v>20213000029823</v>
      </c>
      <c r="F620" s="479">
        <v>44362</v>
      </c>
      <c r="G620" s="478" t="s">
        <v>2538</v>
      </c>
      <c r="H620" s="212" t="s">
        <v>2539</v>
      </c>
      <c r="I620" s="212" t="s">
        <v>432</v>
      </c>
      <c r="J620" s="480">
        <v>370678608</v>
      </c>
      <c r="K620" s="212" t="s">
        <v>342</v>
      </c>
      <c r="L620" s="212" t="s">
        <v>351</v>
      </c>
      <c r="M620" s="212" t="s">
        <v>44</v>
      </c>
      <c r="N620" s="212" t="s">
        <v>45</v>
      </c>
      <c r="O620" s="212" t="s">
        <v>63</v>
      </c>
      <c r="P620" s="212" t="s">
        <v>674</v>
      </c>
      <c r="R620" s="212">
        <v>671</v>
      </c>
      <c r="S620" s="479">
        <v>44363</v>
      </c>
      <c r="T620" s="212" t="s">
        <v>4476</v>
      </c>
      <c r="U620" s="480">
        <v>370678608</v>
      </c>
      <c r="V620" s="539"/>
      <c r="W620" s="540"/>
      <c r="X620" s="211"/>
      <c r="Y620" s="211"/>
      <c r="Z620" s="211"/>
      <c r="AA620" s="211"/>
      <c r="AB620" s="212"/>
      <c r="AD620" s="212"/>
      <c r="AF620" s="496"/>
      <c r="AM620" s="212"/>
    </row>
    <row r="621" spans="1:39" x14ac:dyDescent="0.35">
      <c r="A621" s="313" t="s">
        <v>1784</v>
      </c>
      <c r="B621" s="419">
        <v>648968200</v>
      </c>
      <c r="C621" s="212" t="s">
        <v>4231</v>
      </c>
      <c r="D621" s="478">
        <v>611</v>
      </c>
      <c r="E621" s="478">
        <v>20213000029833</v>
      </c>
      <c r="F621" s="479">
        <v>44362</v>
      </c>
      <c r="G621" s="478" t="s">
        <v>2538</v>
      </c>
      <c r="H621" s="212" t="s">
        <v>2539</v>
      </c>
      <c r="I621" s="212" t="s">
        <v>432</v>
      </c>
      <c r="J621" s="475">
        <v>648968200</v>
      </c>
      <c r="K621" s="212" t="s">
        <v>342</v>
      </c>
      <c r="L621" s="212" t="s">
        <v>351</v>
      </c>
      <c r="M621" s="212" t="s">
        <v>44</v>
      </c>
      <c r="N621" s="212" t="s">
        <v>45</v>
      </c>
      <c r="O621" s="212" t="s">
        <v>63</v>
      </c>
      <c r="P621" s="212" t="s">
        <v>674</v>
      </c>
      <c r="R621" s="212">
        <v>672</v>
      </c>
      <c r="S621" s="479">
        <v>44363</v>
      </c>
      <c r="T621" s="212" t="s">
        <v>4477</v>
      </c>
      <c r="U621" s="475">
        <v>648968200</v>
      </c>
      <c r="V621" s="539"/>
      <c r="W621" s="540"/>
      <c r="X621" s="211"/>
      <c r="Y621" s="211"/>
      <c r="Z621" s="211"/>
      <c r="AA621" s="211"/>
      <c r="AB621" s="212"/>
      <c r="AD621" s="212"/>
      <c r="AF621" s="496"/>
      <c r="AM621" s="212"/>
    </row>
    <row r="622" spans="1:39" x14ac:dyDescent="0.35">
      <c r="A622" s="313" t="s">
        <v>2276</v>
      </c>
      <c r="B622" s="419">
        <v>65394432</v>
      </c>
      <c r="C622" s="212" t="s">
        <v>2544</v>
      </c>
      <c r="D622" s="309">
        <v>612</v>
      </c>
      <c r="E622" s="309">
        <v>20217000029893</v>
      </c>
      <c r="F622" s="479">
        <v>44362</v>
      </c>
      <c r="G622" s="309" t="s">
        <v>2545</v>
      </c>
      <c r="H622" s="210" t="s">
        <v>2546</v>
      </c>
      <c r="I622" s="210" t="s">
        <v>164</v>
      </c>
      <c r="J622" s="415">
        <v>35000000</v>
      </c>
      <c r="K622" s="210" t="s">
        <v>138</v>
      </c>
      <c r="L622" s="210" t="s">
        <v>139</v>
      </c>
      <c r="M622" s="210" t="s">
        <v>44</v>
      </c>
      <c r="N622" s="210" t="s">
        <v>45</v>
      </c>
      <c r="O622" s="210" t="s">
        <v>142</v>
      </c>
      <c r="P622" s="210" t="s">
        <v>43</v>
      </c>
      <c r="Q622" s="312"/>
      <c r="R622" s="212">
        <v>673</v>
      </c>
      <c r="S622" s="479">
        <v>44363</v>
      </c>
      <c r="T622" s="212" t="s">
        <v>4478</v>
      </c>
      <c r="U622" s="539">
        <v>35000000</v>
      </c>
      <c r="V622" s="539"/>
      <c r="W622" s="540"/>
      <c r="X622" s="211"/>
      <c r="Y622" s="211"/>
      <c r="Z622" s="211"/>
      <c r="AA622" s="211"/>
      <c r="AB622" s="212"/>
      <c r="AD622" s="212"/>
      <c r="AF622" s="496"/>
      <c r="AM622" s="212"/>
    </row>
    <row r="623" spans="1:39" x14ac:dyDescent="0.35">
      <c r="A623" s="313" t="s">
        <v>1690</v>
      </c>
      <c r="B623" s="419">
        <v>25000000</v>
      </c>
      <c r="C623" s="212" t="s">
        <v>2544</v>
      </c>
      <c r="D623" s="212">
        <v>613</v>
      </c>
      <c r="E623" s="309">
        <v>20217000030013</v>
      </c>
      <c r="F623" s="479">
        <v>44363</v>
      </c>
      <c r="G623" s="311" t="s">
        <v>2545</v>
      </c>
      <c r="H623" s="441" t="s">
        <v>2546</v>
      </c>
      <c r="I623" s="441" t="s">
        <v>164</v>
      </c>
      <c r="J623" s="480">
        <v>19998000</v>
      </c>
      <c r="K623" s="212" t="s">
        <v>138</v>
      </c>
      <c r="L623" s="212" t="s">
        <v>139</v>
      </c>
      <c r="M623" s="212" t="s">
        <v>44</v>
      </c>
      <c r="N623" s="212" t="s">
        <v>45</v>
      </c>
      <c r="O623" s="212" t="s">
        <v>142</v>
      </c>
      <c r="P623" s="427" t="s">
        <v>116</v>
      </c>
      <c r="R623" s="212">
        <v>679</v>
      </c>
      <c r="S623" s="479">
        <v>44364</v>
      </c>
      <c r="T623" s="212" t="s">
        <v>4479</v>
      </c>
      <c r="U623" s="539">
        <v>19998000</v>
      </c>
      <c r="V623" s="539"/>
      <c r="W623" s="212"/>
      <c r="X623" s="530" t="s">
        <v>4480</v>
      </c>
      <c r="Y623" s="491">
        <v>44375</v>
      </c>
      <c r="Z623" s="491">
        <v>44375</v>
      </c>
      <c r="AA623" s="491">
        <v>44466</v>
      </c>
      <c r="AB623" s="493" t="s">
        <v>2548</v>
      </c>
      <c r="AC623" s="530" t="s">
        <v>4066</v>
      </c>
      <c r="AD623" s="493" t="s">
        <v>4481</v>
      </c>
      <c r="AE623" s="493" t="s">
        <v>4482</v>
      </c>
      <c r="AF623" s="496">
        <v>19998000</v>
      </c>
      <c r="AG623" s="474"/>
      <c r="AM623" s="212"/>
    </row>
    <row r="624" spans="1:39" x14ac:dyDescent="0.35">
      <c r="A624" s="313" t="s">
        <v>1955</v>
      </c>
      <c r="B624" s="419">
        <v>46410000</v>
      </c>
      <c r="C624" s="212" t="s">
        <v>2544</v>
      </c>
      <c r="D624" s="212">
        <v>614</v>
      </c>
      <c r="E624" s="309">
        <v>20212000029933</v>
      </c>
      <c r="F624" s="479">
        <v>44363</v>
      </c>
      <c r="G624" s="469" t="s">
        <v>2538</v>
      </c>
      <c r="H624" s="468" t="s">
        <v>2539</v>
      </c>
      <c r="I624" s="468" t="s">
        <v>391</v>
      </c>
      <c r="J624" s="471">
        <v>46410000</v>
      </c>
      <c r="K624" s="377" t="s">
        <v>2609</v>
      </c>
      <c r="L624" s="468" t="s">
        <v>2610</v>
      </c>
      <c r="M624" s="377" t="s">
        <v>44</v>
      </c>
      <c r="N624" s="377" t="s">
        <v>45</v>
      </c>
      <c r="O624" s="468" t="s">
        <v>63</v>
      </c>
      <c r="P624" s="212" t="s">
        <v>674</v>
      </c>
      <c r="Q624" s="468"/>
      <c r="R624" s="212">
        <v>675</v>
      </c>
      <c r="S624" s="479">
        <v>44364</v>
      </c>
      <c r="T624" s="212" t="s">
        <v>4483</v>
      </c>
      <c r="U624" s="539">
        <v>46410000</v>
      </c>
      <c r="V624" s="539"/>
      <c r="W624" s="212"/>
      <c r="X624" s="483" t="s">
        <v>4484</v>
      </c>
      <c r="Y624" s="490">
        <v>44376</v>
      </c>
      <c r="Z624" s="490">
        <v>44376</v>
      </c>
      <c r="AA624" s="490">
        <v>44558</v>
      </c>
      <c r="AB624" s="486" t="s">
        <v>2548</v>
      </c>
      <c r="AC624" s="483" t="s">
        <v>3609</v>
      </c>
      <c r="AD624" s="486" t="s">
        <v>4485</v>
      </c>
      <c r="AE624" s="486" t="s">
        <v>4486</v>
      </c>
      <c r="AF624" s="692">
        <v>42840000</v>
      </c>
      <c r="AG624" s="474"/>
      <c r="AM624" s="212"/>
    </row>
    <row r="625" spans="1:39" x14ac:dyDescent="0.35">
      <c r="A625" s="313" t="s">
        <v>1954</v>
      </c>
      <c r="B625" s="419">
        <v>24528000</v>
      </c>
      <c r="C625" s="212" t="s">
        <v>2544</v>
      </c>
      <c r="D625" s="212">
        <v>615</v>
      </c>
      <c r="E625" s="309">
        <v>20212000029943</v>
      </c>
      <c r="F625" s="479">
        <v>44363</v>
      </c>
      <c r="G625" s="469" t="s">
        <v>2538</v>
      </c>
      <c r="H625" s="468" t="s">
        <v>2539</v>
      </c>
      <c r="I625" s="468" t="s">
        <v>391</v>
      </c>
      <c r="J625" s="471">
        <v>24528000</v>
      </c>
      <c r="K625" s="377" t="s">
        <v>2609</v>
      </c>
      <c r="L625" s="468" t="s">
        <v>2610</v>
      </c>
      <c r="M625" s="377" t="s">
        <v>44</v>
      </c>
      <c r="N625" s="377" t="s">
        <v>45</v>
      </c>
      <c r="O625" s="468" t="s">
        <v>63</v>
      </c>
      <c r="P625" s="212" t="s">
        <v>674</v>
      </c>
      <c r="R625" s="212">
        <v>676</v>
      </c>
      <c r="S625" s="479">
        <v>44364</v>
      </c>
      <c r="T625" s="212" t="s">
        <v>4487</v>
      </c>
      <c r="U625" s="539">
        <v>24528000</v>
      </c>
      <c r="V625" s="539"/>
      <c r="W625" s="540"/>
      <c r="X625" s="211"/>
      <c r="Y625" s="211"/>
      <c r="Z625" s="211"/>
      <c r="AA625" s="211"/>
      <c r="AB625" s="212"/>
      <c r="AD625" s="212"/>
      <c r="AF625" s="496"/>
      <c r="AG625" s="474"/>
      <c r="AM625" s="212"/>
    </row>
    <row r="626" spans="1:39" x14ac:dyDescent="0.35">
      <c r="A626" s="313" t="s">
        <v>1952</v>
      </c>
      <c r="B626" s="419">
        <v>26572000</v>
      </c>
      <c r="C626" s="212" t="s">
        <v>2544</v>
      </c>
      <c r="D626" s="212">
        <v>616</v>
      </c>
      <c r="E626" s="309">
        <v>20212000029953</v>
      </c>
      <c r="F626" s="479">
        <v>44363</v>
      </c>
      <c r="G626" s="469" t="s">
        <v>2538</v>
      </c>
      <c r="H626" s="468" t="s">
        <v>2539</v>
      </c>
      <c r="I626" s="468" t="s">
        <v>391</v>
      </c>
      <c r="J626" s="471">
        <v>24528000</v>
      </c>
      <c r="K626" s="377" t="s">
        <v>2609</v>
      </c>
      <c r="L626" s="468" t="s">
        <v>2610</v>
      </c>
      <c r="M626" s="377" t="s">
        <v>44</v>
      </c>
      <c r="N626" s="377" t="s">
        <v>45</v>
      </c>
      <c r="O626" s="468" t="s">
        <v>63</v>
      </c>
      <c r="P626" s="212" t="s">
        <v>674</v>
      </c>
      <c r="R626" s="212">
        <v>677</v>
      </c>
      <c r="S626" s="479">
        <v>44364</v>
      </c>
      <c r="T626" s="212" t="s">
        <v>4488</v>
      </c>
      <c r="U626" s="539">
        <v>24528000</v>
      </c>
      <c r="V626" s="539"/>
      <c r="W626" s="540"/>
      <c r="X626" s="211"/>
      <c r="Y626" s="211"/>
      <c r="Z626" s="211"/>
      <c r="AA626" s="211"/>
      <c r="AB626" s="212"/>
      <c r="AD626" s="212"/>
      <c r="AF626" s="496"/>
      <c r="AG626" s="474"/>
      <c r="AM626" s="212"/>
    </row>
    <row r="627" spans="1:39" x14ac:dyDescent="0.35">
      <c r="A627" s="313" t="s">
        <v>2018</v>
      </c>
      <c r="B627" s="419">
        <v>34850000</v>
      </c>
      <c r="C627" s="212" t="s">
        <v>2544</v>
      </c>
      <c r="D627" s="212">
        <v>617</v>
      </c>
      <c r="E627" s="309">
        <v>20212000029993</v>
      </c>
      <c r="F627" s="479">
        <v>44363</v>
      </c>
      <c r="G627" s="469" t="s">
        <v>2538</v>
      </c>
      <c r="H627" s="468" t="s">
        <v>2539</v>
      </c>
      <c r="I627" s="468" t="s">
        <v>391</v>
      </c>
      <c r="J627" s="471">
        <v>26650000</v>
      </c>
      <c r="K627" s="377" t="s">
        <v>2609</v>
      </c>
      <c r="L627" s="468" t="s">
        <v>2610</v>
      </c>
      <c r="M627" s="377" t="s">
        <v>44</v>
      </c>
      <c r="N627" s="377" t="s">
        <v>45</v>
      </c>
      <c r="O627" s="468" t="s">
        <v>63</v>
      </c>
      <c r="P627" s="212" t="s">
        <v>674</v>
      </c>
      <c r="R627" s="212">
        <v>678</v>
      </c>
      <c r="S627" s="479">
        <v>44364</v>
      </c>
      <c r="T627" s="212" t="s">
        <v>4489</v>
      </c>
      <c r="U627" s="539">
        <v>26650000</v>
      </c>
      <c r="V627" s="539"/>
      <c r="W627" s="540"/>
      <c r="X627" s="211"/>
      <c r="Y627" s="211"/>
      <c r="Z627" s="211"/>
      <c r="AA627" s="211"/>
      <c r="AB627" s="212"/>
      <c r="AD627" s="212"/>
      <c r="AF627" s="496"/>
      <c r="AG627" s="474"/>
      <c r="AM627" s="212"/>
    </row>
    <row r="628" spans="1:39" x14ac:dyDescent="0.35">
      <c r="A628" s="313" t="s">
        <v>1882</v>
      </c>
      <c r="B628" s="419">
        <v>36795303</v>
      </c>
      <c r="C628" s="212" t="s">
        <v>2544</v>
      </c>
      <c r="D628" s="212">
        <v>618</v>
      </c>
      <c r="E628" s="309">
        <v>20217000030083</v>
      </c>
      <c r="F628" s="479">
        <v>44363</v>
      </c>
      <c r="G628" s="311" t="s">
        <v>2545</v>
      </c>
      <c r="H628" s="441" t="s">
        <v>2546</v>
      </c>
      <c r="I628" s="441" t="s">
        <v>164</v>
      </c>
      <c r="J628" s="480">
        <v>24530202</v>
      </c>
      <c r="K628" s="212" t="s">
        <v>138</v>
      </c>
      <c r="L628" s="212" t="s">
        <v>139</v>
      </c>
      <c r="M628" s="212" t="s">
        <v>44</v>
      </c>
      <c r="N628" s="212" t="s">
        <v>45</v>
      </c>
      <c r="O628" s="212" t="s">
        <v>142</v>
      </c>
      <c r="P628" s="210" t="s">
        <v>674</v>
      </c>
      <c r="R628" s="212">
        <v>680</v>
      </c>
      <c r="S628" s="479">
        <v>44364</v>
      </c>
      <c r="T628" s="212" t="s">
        <v>4490</v>
      </c>
      <c r="U628" s="539">
        <v>24530202</v>
      </c>
      <c r="V628" s="539"/>
      <c r="W628" s="212"/>
      <c r="X628" s="530" t="s">
        <v>4491</v>
      </c>
      <c r="Y628" s="491">
        <v>44372</v>
      </c>
      <c r="Z628" s="491">
        <v>44372</v>
      </c>
      <c r="AA628" s="491">
        <v>44554</v>
      </c>
      <c r="AB628" s="493" t="s">
        <v>2548</v>
      </c>
      <c r="AC628" s="530" t="s">
        <v>3948</v>
      </c>
      <c r="AD628" s="493" t="s">
        <v>4012</v>
      </c>
      <c r="AE628" s="493" t="s">
        <v>4013</v>
      </c>
      <c r="AF628" s="496">
        <v>24530202</v>
      </c>
      <c r="AG628" s="474"/>
      <c r="AM628" s="212"/>
    </row>
    <row r="629" spans="1:39" x14ac:dyDescent="0.35">
      <c r="A629" s="313" t="s">
        <v>1785</v>
      </c>
      <c r="B629" s="419">
        <v>199875720</v>
      </c>
      <c r="C629" s="212" t="s">
        <v>4492</v>
      </c>
      <c r="D629" s="212">
        <v>619</v>
      </c>
      <c r="E629" s="309">
        <v>20213000030143</v>
      </c>
      <c r="F629" s="479">
        <v>44363</v>
      </c>
      <c r="G629" s="478" t="s">
        <v>2538</v>
      </c>
      <c r="H629" s="212" t="s">
        <v>2539</v>
      </c>
      <c r="I629" s="212" t="s">
        <v>432</v>
      </c>
      <c r="J629" s="480">
        <v>199875720</v>
      </c>
      <c r="K629" s="212" t="s">
        <v>342</v>
      </c>
      <c r="L629" s="212" t="s">
        <v>351</v>
      </c>
      <c r="M629" s="212" t="s">
        <v>44</v>
      </c>
      <c r="N629" s="212" t="s">
        <v>45</v>
      </c>
      <c r="O629" s="212" t="s">
        <v>63</v>
      </c>
      <c r="P629" s="212" t="s">
        <v>674</v>
      </c>
      <c r="R629" s="212">
        <v>681</v>
      </c>
      <c r="S629" s="479">
        <v>44364</v>
      </c>
      <c r="T629" s="212" t="s">
        <v>4493</v>
      </c>
      <c r="U629" s="539">
        <v>199875720</v>
      </c>
      <c r="V629" s="539"/>
      <c r="W629" s="540"/>
      <c r="X629" s="211"/>
      <c r="Y629" s="211"/>
      <c r="Z629" s="211"/>
      <c r="AA629" s="211"/>
      <c r="AB629" s="212"/>
      <c r="AD629" s="212"/>
      <c r="AF629" s="496"/>
      <c r="AG629" s="474"/>
      <c r="AM629" s="212"/>
    </row>
    <row r="630" spans="1:39" s="210" customFormat="1" x14ac:dyDescent="0.35">
      <c r="A630" s="313"/>
      <c r="B630" s="419" t="s">
        <v>4288</v>
      </c>
      <c r="C630" s="210" t="s">
        <v>4494</v>
      </c>
      <c r="D630" s="210">
        <v>620</v>
      </c>
      <c r="E630" s="309">
        <v>20213000030153</v>
      </c>
      <c r="F630" s="310">
        <v>44363</v>
      </c>
      <c r="G630" s="309" t="s">
        <v>2538</v>
      </c>
      <c r="H630" s="210" t="s">
        <v>2539</v>
      </c>
      <c r="I630" s="210" t="s">
        <v>432</v>
      </c>
      <c r="J630" s="407">
        <v>241278049</v>
      </c>
      <c r="K630" s="210" t="s">
        <v>342</v>
      </c>
      <c r="L630" s="210" t="s">
        <v>343</v>
      </c>
      <c r="M630" s="210" t="s">
        <v>44</v>
      </c>
      <c r="N630" s="210" t="s">
        <v>45</v>
      </c>
      <c r="O630" s="212" t="s">
        <v>310</v>
      </c>
      <c r="P630" s="212" t="s">
        <v>674</v>
      </c>
      <c r="R630" s="212">
        <v>707</v>
      </c>
      <c r="S630" s="479">
        <v>44375</v>
      </c>
      <c r="T630" s="212" t="s">
        <v>4495</v>
      </c>
      <c r="U630" s="539">
        <v>241278049</v>
      </c>
      <c r="V630" s="459"/>
      <c r="W630" s="460"/>
      <c r="X630" s="322"/>
      <c r="Y630" s="322"/>
      <c r="Z630" s="322"/>
      <c r="AA630" s="322"/>
      <c r="AC630" s="322"/>
      <c r="AF630" s="496"/>
      <c r="AG630" s="474"/>
      <c r="AH630" s="407"/>
      <c r="AI630" s="407"/>
      <c r="AJ630" s="407"/>
      <c r="AK630" s="407"/>
      <c r="AL630" s="407"/>
      <c r="AM630" s="212"/>
    </row>
    <row r="631" spans="1:39" x14ac:dyDescent="0.35">
      <c r="A631" s="313" t="s">
        <v>2099</v>
      </c>
      <c r="B631" s="419">
        <v>34000000</v>
      </c>
      <c r="C631" s="212" t="s">
        <v>4496</v>
      </c>
      <c r="D631" s="212">
        <v>621</v>
      </c>
      <c r="E631" s="309">
        <v>20211200030103</v>
      </c>
      <c r="F631" s="479">
        <v>44363</v>
      </c>
      <c r="G631" s="212" t="s">
        <v>2545</v>
      </c>
      <c r="H631" s="212" t="s">
        <v>2546</v>
      </c>
      <c r="I631" s="212" t="s">
        <v>143</v>
      </c>
      <c r="J631" s="407">
        <v>34000000</v>
      </c>
      <c r="K631" s="212" t="s">
        <v>138</v>
      </c>
      <c r="L631" s="212" t="s">
        <v>139</v>
      </c>
      <c r="M631" s="212" t="s">
        <v>2740</v>
      </c>
      <c r="N631" s="212" t="s">
        <v>150</v>
      </c>
      <c r="O631" s="212" t="s">
        <v>151</v>
      </c>
      <c r="P631" s="212" t="s">
        <v>43</v>
      </c>
      <c r="Q631" s="312"/>
      <c r="R631" s="212">
        <v>682</v>
      </c>
      <c r="S631" s="479">
        <v>44365</v>
      </c>
      <c r="T631" s="212" t="s">
        <v>2099</v>
      </c>
      <c r="U631" s="539">
        <v>34000000</v>
      </c>
      <c r="V631" s="212"/>
      <c r="W631" s="212"/>
      <c r="X631" s="211"/>
      <c r="Y631" s="212"/>
      <c r="Z631" s="211"/>
      <c r="AA631" s="212"/>
      <c r="AB631" s="212"/>
      <c r="AD631" s="212"/>
      <c r="AF631" s="496"/>
      <c r="AG631" s="474"/>
      <c r="AH631" s="212"/>
      <c r="AI631" s="212"/>
      <c r="AJ631" s="212"/>
      <c r="AK631" s="212"/>
      <c r="AL631" s="212"/>
      <c r="AM631" s="212"/>
    </row>
    <row r="632" spans="1:39" x14ac:dyDescent="0.35">
      <c r="A632" s="313" t="s">
        <v>1876</v>
      </c>
      <c r="B632" s="419">
        <v>28618569</v>
      </c>
      <c r="C632" s="212" t="s">
        <v>2544</v>
      </c>
      <c r="D632" s="212">
        <v>622</v>
      </c>
      <c r="E632" s="309">
        <v>20217000030163</v>
      </c>
      <c r="F632" s="479">
        <v>44363</v>
      </c>
      <c r="G632" s="212" t="s">
        <v>2545</v>
      </c>
      <c r="H632" s="212" t="s">
        <v>2546</v>
      </c>
      <c r="I632" s="212" t="s">
        <v>164</v>
      </c>
      <c r="J632" s="407">
        <v>19079046</v>
      </c>
      <c r="K632" s="212" t="s">
        <v>138</v>
      </c>
      <c r="L632" s="212" t="s">
        <v>139</v>
      </c>
      <c r="M632" s="212" t="s">
        <v>44</v>
      </c>
      <c r="N632" s="212" t="s">
        <v>45</v>
      </c>
      <c r="O632" s="212" t="s">
        <v>142</v>
      </c>
      <c r="P632" s="212" t="s">
        <v>674</v>
      </c>
      <c r="Q632" s="312"/>
      <c r="R632" s="212">
        <v>683</v>
      </c>
      <c r="S632" s="479">
        <v>44365</v>
      </c>
      <c r="T632" s="212" t="s">
        <v>4497</v>
      </c>
      <c r="U632" s="539">
        <v>19079046</v>
      </c>
      <c r="V632" s="212"/>
      <c r="W632" s="212"/>
      <c r="X632" s="211"/>
      <c r="Y632" s="212"/>
      <c r="Z632" s="211"/>
      <c r="AA632" s="212"/>
      <c r="AB632" s="212"/>
      <c r="AD632" s="212"/>
      <c r="AF632" s="496"/>
      <c r="AG632" s="474"/>
      <c r="AH632" s="212"/>
      <c r="AI632" s="212"/>
      <c r="AJ632" s="212"/>
      <c r="AK632" s="212"/>
      <c r="AL632" s="212"/>
      <c r="AM632" s="212"/>
    </row>
    <row r="633" spans="1:39" x14ac:dyDescent="0.35">
      <c r="A633" s="313" t="s">
        <v>2345</v>
      </c>
      <c r="B633" s="419">
        <v>18600000</v>
      </c>
      <c r="C633" s="212" t="s">
        <v>2544</v>
      </c>
      <c r="D633" s="212">
        <v>623</v>
      </c>
      <c r="E633" s="309">
        <v>20217000030213</v>
      </c>
      <c r="F633" s="479">
        <v>44363</v>
      </c>
      <c r="G633" s="311" t="s">
        <v>2545</v>
      </c>
      <c r="H633" s="441" t="s">
        <v>2546</v>
      </c>
      <c r="I633" s="441" t="s">
        <v>164</v>
      </c>
      <c r="J633" s="480">
        <v>13627890</v>
      </c>
      <c r="K633" s="212" t="s">
        <v>138</v>
      </c>
      <c r="L633" s="212" t="s">
        <v>139</v>
      </c>
      <c r="M633" s="212" t="s">
        <v>44</v>
      </c>
      <c r="N633" s="212" t="s">
        <v>45</v>
      </c>
      <c r="O633" s="212" t="s">
        <v>142</v>
      </c>
      <c r="P633" s="212" t="s">
        <v>674</v>
      </c>
      <c r="Q633" s="312"/>
      <c r="R633" s="212">
        <v>684</v>
      </c>
      <c r="S633" s="479">
        <v>44365</v>
      </c>
      <c r="T633" s="212" t="s">
        <v>4498</v>
      </c>
      <c r="U633" s="539">
        <v>13627890</v>
      </c>
      <c r="V633" s="539"/>
      <c r="W633" s="212"/>
      <c r="X633" s="483" t="s">
        <v>4499</v>
      </c>
      <c r="Y633" s="490">
        <v>44377</v>
      </c>
      <c r="Z633" s="490">
        <v>44377</v>
      </c>
      <c r="AA633" s="490">
        <v>44559</v>
      </c>
      <c r="AB633" s="486" t="s">
        <v>2548</v>
      </c>
      <c r="AC633" s="483" t="s">
        <v>4056</v>
      </c>
      <c r="AD633" s="486" t="s">
        <v>4500</v>
      </c>
      <c r="AE633" s="486" t="s">
        <v>4501</v>
      </c>
      <c r="AF633" s="692">
        <v>13627890</v>
      </c>
      <c r="AG633" s="474"/>
      <c r="AM633" s="212"/>
    </row>
    <row r="634" spans="1:39" x14ac:dyDescent="0.35">
      <c r="A634" s="313"/>
      <c r="B634" s="419" t="s">
        <v>4297</v>
      </c>
      <c r="C634" s="212" t="s">
        <v>4502</v>
      </c>
      <c r="D634" s="212">
        <v>624</v>
      </c>
      <c r="E634" s="309">
        <v>20212000030183</v>
      </c>
      <c r="F634" s="479">
        <v>44365</v>
      </c>
      <c r="G634" s="311" t="s">
        <v>2538</v>
      </c>
      <c r="H634" s="441" t="s">
        <v>2539</v>
      </c>
      <c r="I634" s="441" t="s">
        <v>391</v>
      </c>
      <c r="J634" s="480">
        <v>28966366</v>
      </c>
      <c r="K634" s="212" t="s">
        <v>2609</v>
      </c>
      <c r="L634" s="212" t="s">
        <v>4421</v>
      </c>
      <c r="M634" s="212" t="s">
        <v>44</v>
      </c>
      <c r="N634" s="212" t="s">
        <v>2834</v>
      </c>
      <c r="O634" s="212" t="s">
        <v>255</v>
      </c>
      <c r="P634" s="212" t="s">
        <v>4305</v>
      </c>
      <c r="Q634" s="312"/>
      <c r="R634" s="212">
        <v>687</v>
      </c>
      <c r="S634" s="479">
        <v>44365</v>
      </c>
      <c r="T634" s="212" t="s">
        <v>4503</v>
      </c>
      <c r="U634" s="539">
        <v>28966366</v>
      </c>
      <c r="V634" s="539"/>
      <c r="W634" s="540"/>
      <c r="X634" s="211"/>
      <c r="Y634" s="211"/>
      <c r="Z634" s="211"/>
      <c r="AA634" s="211"/>
      <c r="AB634" s="212"/>
      <c r="AD634" s="212"/>
      <c r="AF634" s="496"/>
      <c r="AG634" s="474"/>
      <c r="AM634" s="212"/>
    </row>
    <row r="635" spans="1:39" x14ac:dyDescent="0.35">
      <c r="A635" s="313"/>
      <c r="B635" s="419" t="s">
        <v>4297</v>
      </c>
      <c r="C635" s="212" t="s">
        <v>4504</v>
      </c>
      <c r="D635" s="212">
        <v>625</v>
      </c>
      <c r="E635" s="309">
        <v>20212000030193</v>
      </c>
      <c r="F635" s="479">
        <v>44365</v>
      </c>
      <c r="G635" s="478" t="s">
        <v>2538</v>
      </c>
      <c r="H635" s="212" t="s">
        <v>2539</v>
      </c>
      <c r="I635" s="212" t="s">
        <v>391</v>
      </c>
      <c r="J635" s="480">
        <v>921121770</v>
      </c>
      <c r="K635" s="212" t="s">
        <v>2609</v>
      </c>
      <c r="L635" s="212" t="s">
        <v>4421</v>
      </c>
      <c r="M635" s="212" t="s">
        <v>44</v>
      </c>
      <c r="N635" s="212" t="s">
        <v>2834</v>
      </c>
      <c r="O635" s="212" t="s">
        <v>255</v>
      </c>
      <c r="P635" s="212" t="s">
        <v>4305</v>
      </c>
      <c r="Q635" s="312"/>
      <c r="R635" s="212">
        <v>688</v>
      </c>
      <c r="S635" s="479">
        <v>44365</v>
      </c>
      <c r="T635" s="212" t="s">
        <v>4505</v>
      </c>
      <c r="U635" s="539">
        <v>921121770</v>
      </c>
      <c r="V635" s="539"/>
      <c r="W635" s="540"/>
      <c r="X635" s="211"/>
      <c r="Y635" s="211"/>
      <c r="Z635" s="211"/>
      <c r="AA635" s="211"/>
      <c r="AB635" s="212"/>
      <c r="AD635" s="212"/>
      <c r="AF635" s="496"/>
      <c r="AG635" s="474"/>
      <c r="AM635" s="212"/>
    </row>
    <row r="636" spans="1:39" s="312" customFormat="1" x14ac:dyDescent="0.35">
      <c r="A636" s="361"/>
      <c r="B636" s="417" t="s">
        <v>4297</v>
      </c>
      <c r="C636" s="312" t="s">
        <v>4506</v>
      </c>
      <c r="D636" s="312">
        <v>626</v>
      </c>
      <c r="E636" s="325">
        <v>20212000030203</v>
      </c>
      <c r="F636" s="315">
        <v>44365</v>
      </c>
      <c r="G636" s="325" t="s">
        <v>2538</v>
      </c>
      <c r="H636" s="312" t="s">
        <v>2539</v>
      </c>
      <c r="I636" s="312" t="s">
        <v>391</v>
      </c>
      <c r="J636" s="406">
        <v>12092439</v>
      </c>
      <c r="K636" s="312" t="s">
        <v>2609</v>
      </c>
      <c r="L636" s="312" t="s">
        <v>4421</v>
      </c>
      <c r="M636" s="312" t="s">
        <v>44</v>
      </c>
      <c r="N636" s="312" t="s">
        <v>2834</v>
      </c>
      <c r="O636" s="312" t="s">
        <v>255</v>
      </c>
      <c r="P636" s="312" t="s">
        <v>4305</v>
      </c>
      <c r="R636" s="312">
        <v>689</v>
      </c>
      <c r="S636" s="315">
        <v>44365</v>
      </c>
      <c r="T636" s="312" t="s">
        <v>4507</v>
      </c>
      <c r="U636" s="447">
        <f>12092439-12092439</f>
        <v>0</v>
      </c>
      <c r="V636" s="447">
        <v>12092439</v>
      </c>
      <c r="W636" s="388" t="s">
        <v>1428</v>
      </c>
      <c r="X636" s="316"/>
      <c r="Y636" s="316"/>
      <c r="Z636" s="316"/>
      <c r="AA636" s="316"/>
      <c r="AC636" s="316"/>
      <c r="AF636" s="700"/>
      <c r="AG636" s="318"/>
      <c r="AH636" s="447"/>
      <c r="AI636" s="447"/>
      <c r="AJ636" s="447"/>
      <c r="AK636" s="447"/>
      <c r="AL636" s="447"/>
      <c r="AM636" s="212"/>
    </row>
    <row r="637" spans="1:39" s="312" customFormat="1" x14ac:dyDescent="0.35">
      <c r="A637" s="361" t="s">
        <v>1772</v>
      </c>
      <c r="B637" s="417">
        <v>566352000</v>
      </c>
      <c r="C637" s="312" t="s">
        <v>4508</v>
      </c>
      <c r="D637" s="448">
        <v>627</v>
      </c>
      <c r="E637" s="325">
        <v>20215000030673</v>
      </c>
      <c r="F637" s="315">
        <v>44368</v>
      </c>
      <c r="G637" s="325" t="s">
        <v>2538</v>
      </c>
      <c r="H637" s="312" t="s">
        <v>2539</v>
      </c>
      <c r="I637" s="312" t="s">
        <v>228</v>
      </c>
      <c r="J637" s="406">
        <v>566352000</v>
      </c>
      <c r="K637" s="312" t="s">
        <v>223</v>
      </c>
      <c r="L637" s="312" t="s">
        <v>257</v>
      </c>
      <c r="M637" s="312" t="s">
        <v>44</v>
      </c>
      <c r="N637" s="312" t="s">
        <v>45</v>
      </c>
      <c r="O637" s="312" t="s">
        <v>63</v>
      </c>
      <c r="P637" s="312" t="s">
        <v>674</v>
      </c>
      <c r="Q637" s="312" t="s">
        <v>3198</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x14ac:dyDescent="0.35">
      <c r="A638" s="313"/>
      <c r="B638" s="419" t="s">
        <v>4288</v>
      </c>
      <c r="C638" s="212" t="s">
        <v>4509</v>
      </c>
      <c r="D638" s="212">
        <v>628</v>
      </c>
      <c r="E638" s="309">
        <v>20213000030733</v>
      </c>
      <c r="F638" s="479">
        <v>44369</v>
      </c>
      <c r="G638" s="469" t="s">
        <v>2538</v>
      </c>
      <c r="H638" s="468" t="s">
        <v>2539</v>
      </c>
      <c r="I638" s="468" t="s">
        <v>432</v>
      </c>
      <c r="J638" s="471">
        <v>8176734</v>
      </c>
      <c r="K638" s="468" t="s">
        <v>358</v>
      </c>
      <c r="L638" s="468" t="s">
        <v>4203</v>
      </c>
      <c r="M638" s="468" t="s">
        <v>44</v>
      </c>
      <c r="N638" s="468" t="s">
        <v>45</v>
      </c>
      <c r="O638" s="468" t="s">
        <v>63</v>
      </c>
      <c r="P638" s="212" t="s">
        <v>674</v>
      </c>
      <c r="R638" s="212">
        <v>691</v>
      </c>
      <c r="S638" s="479">
        <v>44370</v>
      </c>
      <c r="T638" s="212" t="s">
        <v>4510</v>
      </c>
      <c r="U638" s="539">
        <v>8176734</v>
      </c>
      <c r="V638" s="539"/>
      <c r="W638" s="212"/>
      <c r="X638" s="483" t="s">
        <v>4511</v>
      </c>
      <c r="Y638" s="490">
        <v>44377</v>
      </c>
      <c r="Z638" s="490">
        <v>44377</v>
      </c>
      <c r="AA638" s="490">
        <v>44468</v>
      </c>
      <c r="AB638" s="486" t="s">
        <v>2548</v>
      </c>
      <c r="AC638" s="483" t="s">
        <v>4512</v>
      </c>
      <c r="AD638" s="486" t="s">
        <v>4513</v>
      </c>
      <c r="AE638" s="486" t="s">
        <v>3081</v>
      </c>
      <c r="AF638" s="496">
        <v>8176734</v>
      </c>
      <c r="AG638" s="474"/>
      <c r="AM638" s="212"/>
    </row>
    <row r="639" spans="1:39" x14ac:dyDescent="0.35">
      <c r="A639" s="313" t="s">
        <v>1751</v>
      </c>
      <c r="B639" s="419">
        <v>257000000</v>
      </c>
      <c r="C639" s="212" t="s">
        <v>4514</v>
      </c>
      <c r="D639" s="212">
        <v>629</v>
      </c>
      <c r="E639" s="309">
        <v>20215000030753</v>
      </c>
      <c r="F639" s="479">
        <v>44369</v>
      </c>
      <c r="G639" s="478" t="s">
        <v>2538</v>
      </c>
      <c r="H639" s="212" t="s">
        <v>2539</v>
      </c>
      <c r="I639" s="212" t="s">
        <v>228</v>
      </c>
      <c r="J639" s="480">
        <v>254659992</v>
      </c>
      <c r="K639" s="212" t="s">
        <v>223</v>
      </c>
      <c r="L639" s="468" t="s">
        <v>224</v>
      </c>
      <c r="M639" s="212" t="s">
        <v>44</v>
      </c>
      <c r="N639" s="212" t="s">
        <v>45</v>
      </c>
      <c r="O639" s="212" t="s">
        <v>63</v>
      </c>
      <c r="P639" s="212" t="s">
        <v>674</v>
      </c>
      <c r="R639" s="212">
        <v>692</v>
      </c>
      <c r="S639" s="479">
        <v>44370</v>
      </c>
      <c r="T639" s="212" t="s">
        <v>4515</v>
      </c>
      <c r="U639" s="539">
        <v>254659992</v>
      </c>
      <c r="V639" s="539"/>
      <c r="W639" s="540"/>
      <c r="X639" s="211"/>
      <c r="Y639" s="211"/>
      <c r="Z639" s="211"/>
      <c r="AA639" s="211"/>
      <c r="AB639" s="212"/>
      <c r="AD639" s="212"/>
      <c r="AF639" s="496"/>
      <c r="AG639" s="474"/>
      <c r="AM639" s="212"/>
    </row>
    <row r="640" spans="1:39" x14ac:dyDescent="0.35">
      <c r="A640" s="313" t="s">
        <v>1749</v>
      </c>
      <c r="B640" s="419">
        <v>356000000</v>
      </c>
      <c r="C640" s="212" t="s">
        <v>4516</v>
      </c>
      <c r="D640" s="212">
        <v>630</v>
      </c>
      <c r="E640" s="309">
        <v>20215000030763</v>
      </c>
      <c r="F640" s="479">
        <v>44369</v>
      </c>
      <c r="G640" s="478" t="s">
        <v>2538</v>
      </c>
      <c r="H640" s="212" t="s">
        <v>2539</v>
      </c>
      <c r="I640" s="212" t="s">
        <v>228</v>
      </c>
      <c r="J640" s="480">
        <v>324292404</v>
      </c>
      <c r="K640" s="212" t="s">
        <v>223</v>
      </c>
      <c r="L640" s="468" t="s">
        <v>224</v>
      </c>
      <c r="M640" s="212" t="s">
        <v>44</v>
      </c>
      <c r="N640" s="212" t="s">
        <v>45</v>
      </c>
      <c r="O640" s="212" t="s">
        <v>63</v>
      </c>
      <c r="P640" s="212" t="s">
        <v>674</v>
      </c>
      <c r="R640" s="212">
        <v>693</v>
      </c>
      <c r="S640" s="479">
        <v>44370</v>
      </c>
      <c r="T640" s="212" t="s">
        <v>4517</v>
      </c>
      <c r="U640" s="539">
        <v>324292404</v>
      </c>
      <c r="W640" s="540"/>
      <c r="X640" s="211"/>
      <c r="Y640" s="211"/>
      <c r="Z640" s="211"/>
      <c r="AA640" s="211"/>
      <c r="AB640" s="212"/>
      <c r="AD640" s="212"/>
      <c r="AF640" s="496"/>
      <c r="AG640" s="474"/>
      <c r="AM640" s="212"/>
    </row>
    <row r="641" spans="1:39" x14ac:dyDescent="0.35">
      <c r="A641" s="313" t="s">
        <v>1754</v>
      </c>
      <c r="B641" s="419">
        <v>381000000</v>
      </c>
      <c r="C641" s="212" t="s">
        <v>4514</v>
      </c>
      <c r="D641" s="212">
        <v>631</v>
      </c>
      <c r="E641" s="309">
        <v>20215000030773</v>
      </c>
      <c r="F641" s="479">
        <v>44369</v>
      </c>
      <c r="G641" s="478" t="s">
        <v>2538</v>
      </c>
      <c r="H641" s="212" t="s">
        <v>2539</v>
      </c>
      <c r="I641" s="212" t="s">
        <v>228</v>
      </c>
      <c r="J641" s="480">
        <v>272400000</v>
      </c>
      <c r="K641" s="212" t="s">
        <v>223</v>
      </c>
      <c r="L641" s="468" t="s">
        <v>224</v>
      </c>
      <c r="M641" s="212" t="s">
        <v>44</v>
      </c>
      <c r="N641" s="212" t="s">
        <v>45</v>
      </c>
      <c r="O641" s="212" t="s">
        <v>63</v>
      </c>
      <c r="P641" s="212" t="s">
        <v>674</v>
      </c>
      <c r="R641" s="212">
        <v>694</v>
      </c>
      <c r="S641" s="479">
        <v>44370</v>
      </c>
      <c r="T641" s="212" t="s">
        <v>4518</v>
      </c>
      <c r="U641" s="539">
        <v>272400000</v>
      </c>
      <c r="V641" s="539"/>
      <c r="W641" s="540"/>
      <c r="X641" s="211"/>
      <c r="Y641" s="211"/>
      <c r="Z641" s="211"/>
      <c r="AA641" s="211"/>
      <c r="AB641" s="212"/>
      <c r="AD641" s="212"/>
      <c r="AF641" s="496"/>
      <c r="AG641" s="474"/>
      <c r="AM641" s="212"/>
    </row>
    <row r="642" spans="1:39" x14ac:dyDescent="0.35">
      <c r="A642" s="313"/>
      <c r="B642" s="477" t="s">
        <v>3001</v>
      </c>
      <c r="C642" s="212" t="s">
        <v>4519</v>
      </c>
      <c r="D642" s="212">
        <v>632</v>
      </c>
      <c r="E642" s="309">
        <v>20217000030813</v>
      </c>
      <c r="F642" s="479">
        <v>44369</v>
      </c>
      <c r="G642" s="478" t="s">
        <v>2545</v>
      </c>
      <c r="H642" s="212" t="s">
        <v>2546</v>
      </c>
      <c r="I642" s="212" t="s">
        <v>164</v>
      </c>
      <c r="J642" s="473">
        <v>1800000</v>
      </c>
      <c r="K642" s="212" t="s">
        <v>138</v>
      </c>
      <c r="L642" s="212" t="s">
        <v>139</v>
      </c>
      <c r="M642" s="212" t="s">
        <v>44</v>
      </c>
      <c r="N642" s="212" t="s">
        <v>45</v>
      </c>
      <c r="O642" s="212" t="s">
        <v>142</v>
      </c>
      <c r="P642" s="212" t="s">
        <v>43</v>
      </c>
      <c r="R642" s="212">
        <v>695</v>
      </c>
      <c r="S642" s="479">
        <v>44370</v>
      </c>
      <c r="T642" s="212" t="s">
        <v>4520</v>
      </c>
      <c r="U642" s="539">
        <v>1300000</v>
      </c>
      <c r="V642" s="539"/>
      <c r="W642" s="212"/>
      <c r="X642" s="530" t="s">
        <v>4521</v>
      </c>
      <c r="Y642" s="491">
        <v>44371</v>
      </c>
      <c r="Z642" s="491">
        <v>44371</v>
      </c>
      <c r="AA642" s="491">
        <v>44377</v>
      </c>
      <c r="AB642" s="493" t="s">
        <v>3004</v>
      </c>
      <c r="AC642" s="530" t="s">
        <v>3279</v>
      </c>
      <c r="AD642" s="493" t="s">
        <v>3005</v>
      </c>
      <c r="AE642" s="493" t="s">
        <v>3006</v>
      </c>
      <c r="AF642" s="496">
        <v>1300000</v>
      </c>
      <c r="AG642" s="474"/>
      <c r="AM642" s="306">
        <v>203900</v>
      </c>
    </row>
    <row r="643" spans="1:39" x14ac:dyDescent="0.35">
      <c r="A643" s="313" t="s">
        <v>2118</v>
      </c>
      <c r="B643" s="419">
        <v>30000000</v>
      </c>
      <c r="C643" s="212" t="s">
        <v>2544</v>
      </c>
      <c r="D643" s="212">
        <v>633</v>
      </c>
      <c r="E643" s="309">
        <v>20214000030783</v>
      </c>
      <c r="F643" s="479">
        <v>44370</v>
      </c>
      <c r="G643" s="478" t="s">
        <v>2571</v>
      </c>
      <c r="H643" s="212" t="s">
        <v>2572</v>
      </c>
      <c r="I643" s="212" t="s">
        <v>117</v>
      </c>
      <c r="J643" s="475">
        <v>30000000</v>
      </c>
      <c r="K643" s="212" t="s">
        <v>112</v>
      </c>
      <c r="L643" s="212" t="s">
        <v>2573</v>
      </c>
      <c r="M643" s="212" t="s">
        <v>44</v>
      </c>
      <c r="N643" s="212" t="s">
        <v>45</v>
      </c>
      <c r="O643" s="212" t="s">
        <v>63</v>
      </c>
      <c r="P643" s="212" t="s">
        <v>43</v>
      </c>
      <c r="R643" s="212">
        <v>698</v>
      </c>
      <c r="S643" s="479">
        <v>44371</v>
      </c>
      <c r="T643" s="212" t="s">
        <v>4522</v>
      </c>
      <c r="U643" s="539">
        <v>30000000</v>
      </c>
      <c r="V643" s="539"/>
      <c r="W643" s="540"/>
      <c r="X643" s="211"/>
      <c r="Y643" s="211"/>
      <c r="Z643" s="211"/>
      <c r="AA643" s="211"/>
      <c r="AB643" s="212"/>
      <c r="AD643" s="212"/>
      <c r="AF643" s="475"/>
      <c r="AM643" s="212"/>
    </row>
    <row r="644" spans="1:39" x14ac:dyDescent="0.35">
      <c r="A644" s="313"/>
      <c r="B644" s="419" t="s">
        <v>4297</v>
      </c>
      <c r="C644" s="212" t="s">
        <v>4523</v>
      </c>
      <c r="D644" s="212">
        <v>634</v>
      </c>
      <c r="E644" s="309">
        <v>20214000030793</v>
      </c>
      <c r="F644" s="479">
        <v>44370</v>
      </c>
      <c r="G644" s="478" t="s">
        <v>2571</v>
      </c>
      <c r="H644" s="212" t="s">
        <v>2572</v>
      </c>
      <c r="I644" s="212" t="s">
        <v>117</v>
      </c>
      <c r="J644" s="475">
        <v>15627675</v>
      </c>
      <c r="K644" s="212" t="s">
        <v>112</v>
      </c>
      <c r="L644" s="212" t="s">
        <v>2573</v>
      </c>
      <c r="M644" s="212" t="s">
        <v>44</v>
      </c>
      <c r="N644" s="212" t="s">
        <v>45</v>
      </c>
      <c r="O644" s="212" t="s">
        <v>63</v>
      </c>
      <c r="P644" s="212" t="s">
        <v>4524</v>
      </c>
      <c r="R644" s="212">
        <v>699</v>
      </c>
      <c r="S644" s="479">
        <v>44371</v>
      </c>
      <c r="T644" s="212" t="s">
        <v>4525</v>
      </c>
      <c r="U644" s="539">
        <v>15627675</v>
      </c>
      <c r="V644" s="539"/>
      <c r="W644" s="540"/>
      <c r="X644" s="211"/>
      <c r="Y644" s="211"/>
      <c r="Z644" s="211"/>
      <c r="AA644" s="211"/>
      <c r="AB644" s="212"/>
      <c r="AD644" s="212"/>
      <c r="AF644" s="475"/>
      <c r="AM644" s="212"/>
    </row>
    <row r="645" spans="1:39" s="451" customFormat="1" x14ac:dyDescent="0.35">
      <c r="A645" s="449"/>
      <c r="B645" s="450"/>
      <c r="D645" s="451">
        <v>634</v>
      </c>
      <c r="E645" s="452">
        <v>20214000030793</v>
      </c>
      <c r="F645" s="453">
        <v>44370</v>
      </c>
      <c r="G645" s="452" t="s">
        <v>2578</v>
      </c>
      <c r="H645" s="451" t="s">
        <v>2579</v>
      </c>
      <c r="I645" s="451" t="s">
        <v>47</v>
      </c>
      <c r="J645" s="454">
        <v>5209225</v>
      </c>
      <c r="K645" s="451" t="s">
        <v>37</v>
      </c>
      <c r="L645" s="451" t="s">
        <v>2580</v>
      </c>
      <c r="M645" s="451" t="s">
        <v>44</v>
      </c>
      <c r="N645" s="451" t="s">
        <v>45</v>
      </c>
      <c r="O645" s="212" t="s">
        <v>310</v>
      </c>
      <c r="P645" s="451" t="s">
        <v>4524</v>
      </c>
      <c r="R645" s="212">
        <v>699</v>
      </c>
      <c r="S645" s="479">
        <v>44371</v>
      </c>
      <c r="T645" s="212" t="s">
        <v>4525</v>
      </c>
      <c r="U645" s="539">
        <v>5209225</v>
      </c>
      <c r="V645" s="455"/>
      <c r="W645" s="456"/>
      <c r="X645" s="457"/>
      <c r="Y645" s="457"/>
      <c r="Z645" s="457"/>
      <c r="AA645" s="457"/>
      <c r="AC645" s="457"/>
      <c r="AF645" s="458"/>
      <c r="AH645" s="458"/>
      <c r="AI645" s="458"/>
      <c r="AJ645" s="458"/>
      <c r="AK645" s="458"/>
      <c r="AL645" s="458"/>
      <c r="AM645" s="212"/>
    </row>
    <row r="646" spans="1:39" x14ac:dyDescent="0.35">
      <c r="A646" s="313" t="s">
        <v>1772</v>
      </c>
      <c r="B646" s="419">
        <v>566352000</v>
      </c>
      <c r="C646" s="212" t="s">
        <v>4526</v>
      </c>
      <c r="D646" s="541">
        <v>635</v>
      </c>
      <c r="E646" s="309">
        <v>20215000030673</v>
      </c>
      <c r="F646" s="479">
        <v>44370</v>
      </c>
      <c r="G646" s="478" t="s">
        <v>2538</v>
      </c>
      <c r="H646" s="212" t="s">
        <v>2539</v>
      </c>
      <c r="I646" s="212" t="s">
        <v>228</v>
      </c>
      <c r="J646" s="480">
        <v>566352000</v>
      </c>
      <c r="K646" s="212" t="s">
        <v>223</v>
      </c>
      <c r="L646" s="212" t="s">
        <v>257</v>
      </c>
      <c r="M646" s="212" t="s">
        <v>44</v>
      </c>
      <c r="N646" s="212" t="s">
        <v>45</v>
      </c>
      <c r="O646" s="212" t="s">
        <v>63</v>
      </c>
      <c r="P646" s="212" t="s">
        <v>674</v>
      </c>
      <c r="R646" s="212">
        <v>697</v>
      </c>
      <c r="S646" s="479">
        <v>44371</v>
      </c>
      <c r="T646" s="212" t="s">
        <v>4527</v>
      </c>
      <c r="U646" s="539">
        <v>566352000</v>
      </c>
      <c r="V646" s="539"/>
      <c r="W646" s="540"/>
      <c r="X646" s="211"/>
      <c r="Y646" s="211"/>
      <c r="Z646" s="211"/>
      <c r="AA646" s="211"/>
      <c r="AB646" s="212"/>
      <c r="AD646" s="212"/>
      <c r="AF646" s="475"/>
      <c r="AM646" s="212"/>
    </row>
    <row r="647" spans="1:39" x14ac:dyDescent="0.35">
      <c r="A647" s="476" t="s">
        <v>1787</v>
      </c>
      <c r="B647" s="477">
        <v>439581220</v>
      </c>
      <c r="C647" s="212" t="s">
        <v>4528</v>
      </c>
      <c r="D647" s="212">
        <v>636</v>
      </c>
      <c r="E647" s="478">
        <v>20213000031073</v>
      </c>
      <c r="F647" s="479">
        <v>44370</v>
      </c>
      <c r="G647" s="478" t="s">
        <v>2538</v>
      </c>
      <c r="H647" s="212" t="s">
        <v>2539</v>
      </c>
      <c r="I647" s="212" t="s">
        <v>432</v>
      </c>
      <c r="J647" s="480">
        <v>439581220</v>
      </c>
      <c r="K647" s="212" t="s">
        <v>342</v>
      </c>
      <c r="L647" s="212" t="s">
        <v>351</v>
      </c>
      <c r="M647" s="212" t="s">
        <v>44</v>
      </c>
      <c r="N647" s="212" t="s">
        <v>45</v>
      </c>
      <c r="O647" s="212" t="s">
        <v>63</v>
      </c>
      <c r="P647" s="212" t="s">
        <v>4464</v>
      </c>
      <c r="R647" s="212">
        <v>700</v>
      </c>
      <c r="S647" s="479">
        <v>44371</v>
      </c>
      <c r="T647" s="212" t="s">
        <v>4529</v>
      </c>
      <c r="U647" s="539">
        <v>439581220</v>
      </c>
      <c r="V647" s="539"/>
      <c r="W647" s="540"/>
      <c r="X647" s="211"/>
      <c r="Y647" s="211"/>
      <c r="Z647" s="211"/>
      <c r="AA647" s="211"/>
      <c r="AB647" s="212"/>
      <c r="AD647" s="212"/>
      <c r="AF647" s="475"/>
      <c r="AM647" s="212"/>
    </row>
    <row r="648" spans="1:39" x14ac:dyDescent="0.35">
      <c r="A648" s="449"/>
      <c r="B648" s="419" t="s">
        <v>4297</v>
      </c>
      <c r="C648" s="212" t="s">
        <v>4530</v>
      </c>
      <c r="D648" s="212">
        <v>637</v>
      </c>
      <c r="E648" s="478">
        <v>20212000031083</v>
      </c>
      <c r="F648" s="479">
        <v>44370</v>
      </c>
      <c r="G648" s="478" t="s">
        <v>2538</v>
      </c>
      <c r="H648" s="212" t="s">
        <v>2539</v>
      </c>
      <c r="I648" s="212" t="s">
        <v>391</v>
      </c>
      <c r="J648" s="480">
        <v>12092439</v>
      </c>
      <c r="K648" s="212" t="s">
        <v>2609</v>
      </c>
      <c r="L648" s="212" t="s">
        <v>4421</v>
      </c>
      <c r="M648" s="212" t="s">
        <v>44</v>
      </c>
      <c r="N648" s="212" t="s">
        <v>2834</v>
      </c>
      <c r="O648" s="212" t="s">
        <v>255</v>
      </c>
      <c r="P648" s="212" t="s">
        <v>4305</v>
      </c>
      <c r="R648" s="212">
        <v>701</v>
      </c>
      <c r="S648" s="479">
        <v>44371</v>
      </c>
      <c r="T648" s="212" t="s">
        <v>4531</v>
      </c>
      <c r="U648" s="539">
        <v>12092439</v>
      </c>
      <c r="V648" s="539"/>
      <c r="W648" s="540"/>
      <c r="X648" s="211"/>
      <c r="Y648" s="211"/>
      <c r="Z648" s="211"/>
      <c r="AA648" s="211"/>
      <c r="AB648" s="212"/>
      <c r="AD648" s="212"/>
      <c r="AF648" s="475"/>
      <c r="AM648" s="212"/>
    </row>
    <row r="649" spans="1:39" x14ac:dyDescent="0.35">
      <c r="A649" s="449"/>
      <c r="B649" s="419" t="s">
        <v>4297</v>
      </c>
      <c r="C649" s="212" t="s">
        <v>4532</v>
      </c>
      <c r="D649" s="212">
        <v>638</v>
      </c>
      <c r="E649" s="478">
        <v>20215000031193</v>
      </c>
      <c r="F649" s="479">
        <v>44371</v>
      </c>
      <c r="G649" s="478" t="s">
        <v>2538</v>
      </c>
      <c r="H649" s="212" t="s">
        <v>2539</v>
      </c>
      <c r="I649" s="212" t="s">
        <v>228</v>
      </c>
      <c r="J649" s="475">
        <v>3066667</v>
      </c>
      <c r="K649" s="212" t="s">
        <v>223</v>
      </c>
      <c r="L649" s="212" t="s">
        <v>233</v>
      </c>
      <c r="M649" s="212" t="s">
        <v>44</v>
      </c>
      <c r="N649" s="212" t="s">
        <v>45</v>
      </c>
      <c r="O649" s="212" t="s">
        <v>63</v>
      </c>
      <c r="P649" s="212" t="s">
        <v>4524</v>
      </c>
      <c r="R649" s="212">
        <v>702</v>
      </c>
      <c r="S649" s="479">
        <v>44372</v>
      </c>
      <c r="T649" s="212" t="s">
        <v>4533</v>
      </c>
      <c r="U649" s="539">
        <v>3066667</v>
      </c>
      <c r="V649" s="539"/>
      <c r="W649" s="540"/>
      <c r="X649" s="211"/>
      <c r="Y649" s="211"/>
      <c r="Z649" s="211"/>
      <c r="AA649" s="211"/>
      <c r="AB649" s="212"/>
      <c r="AD649" s="212"/>
      <c r="AF649" s="475"/>
      <c r="AM649" s="212"/>
    </row>
    <row r="650" spans="1:39" x14ac:dyDescent="0.35">
      <c r="A650" s="449"/>
      <c r="B650" s="419" t="s">
        <v>4297</v>
      </c>
      <c r="C650" s="212" t="s">
        <v>4534</v>
      </c>
      <c r="D650" s="212">
        <v>639</v>
      </c>
      <c r="E650" s="478">
        <v>20215000031203</v>
      </c>
      <c r="F650" s="479">
        <v>44371</v>
      </c>
      <c r="G650" s="478" t="s">
        <v>2538</v>
      </c>
      <c r="H650" s="212" t="s">
        <v>2539</v>
      </c>
      <c r="I650" s="212" t="s">
        <v>228</v>
      </c>
      <c r="J650" s="475">
        <v>53103705</v>
      </c>
      <c r="K650" s="212" t="s">
        <v>223</v>
      </c>
      <c r="L650" s="212" t="s">
        <v>233</v>
      </c>
      <c r="M650" s="212" t="s">
        <v>44</v>
      </c>
      <c r="N650" s="212" t="s">
        <v>45</v>
      </c>
      <c r="O650" s="212" t="s">
        <v>63</v>
      </c>
      <c r="P650" s="212" t="s">
        <v>4524</v>
      </c>
      <c r="R650" s="212">
        <v>703</v>
      </c>
      <c r="S650" s="479">
        <v>44372</v>
      </c>
      <c r="T650" s="212" t="s">
        <v>4535</v>
      </c>
      <c r="U650" s="539">
        <v>53103705</v>
      </c>
      <c r="V650" s="539"/>
      <c r="W650" s="540"/>
      <c r="X650" s="211"/>
      <c r="Y650" s="211"/>
      <c r="Z650" s="211"/>
      <c r="AA650" s="211"/>
      <c r="AB650" s="212"/>
      <c r="AD650" s="212"/>
      <c r="AF650" s="475"/>
      <c r="AM650" s="212"/>
    </row>
    <row r="651" spans="1:39" x14ac:dyDescent="0.35">
      <c r="A651" s="313" t="s">
        <v>2135</v>
      </c>
      <c r="B651" s="477">
        <v>5838000000</v>
      </c>
      <c r="C651" s="212" t="s">
        <v>4536</v>
      </c>
      <c r="D651" s="212">
        <v>640</v>
      </c>
      <c r="E651" s="478">
        <v>20214000031283</v>
      </c>
      <c r="F651" s="479">
        <v>44371</v>
      </c>
      <c r="G651" s="478" t="s">
        <v>2571</v>
      </c>
      <c r="H651" s="212" t="s">
        <v>2572</v>
      </c>
      <c r="I651" s="212" t="s">
        <v>117</v>
      </c>
      <c r="J651" s="475">
        <v>4180303080</v>
      </c>
      <c r="K651" s="212" t="s">
        <v>112</v>
      </c>
      <c r="L651" s="212" t="s">
        <v>113</v>
      </c>
      <c r="M651" s="212" t="s">
        <v>44</v>
      </c>
      <c r="N651" s="212" t="s">
        <v>45</v>
      </c>
      <c r="O651" s="212" t="s">
        <v>142</v>
      </c>
      <c r="P651" s="212" t="s">
        <v>674</v>
      </c>
      <c r="R651" s="212">
        <v>704</v>
      </c>
      <c r="S651" s="479">
        <v>44372</v>
      </c>
      <c r="T651" s="212" t="s">
        <v>4537</v>
      </c>
      <c r="U651" s="539">
        <v>4180303080</v>
      </c>
      <c r="V651" s="539"/>
      <c r="W651" s="540"/>
      <c r="X651" s="211"/>
      <c r="Y651" s="211"/>
      <c r="Z651" s="211"/>
      <c r="AA651" s="211"/>
      <c r="AB651" s="212"/>
      <c r="AD651" s="212"/>
      <c r="AF651" s="475"/>
      <c r="AM651" s="212"/>
    </row>
    <row r="652" spans="1:39" x14ac:dyDescent="0.35">
      <c r="A652" s="476" t="s">
        <v>2032</v>
      </c>
      <c r="B652" s="477">
        <v>28200000</v>
      </c>
      <c r="C652" s="212" t="s">
        <v>2544</v>
      </c>
      <c r="D652" s="212">
        <v>641</v>
      </c>
      <c r="E652" s="478">
        <v>20214000031303</v>
      </c>
      <c r="F652" s="479">
        <v>44371</v>
      </c>
      <c r="G652" s="478" t="s">
        <v>2578</v>
      </c>
      <c r="H652" s="212" t="s">
        <v>2579</v>
      </c>
      <c r="I652" s="212" t="s">
        <v>47</v>
      </c>
      <c r="J652" s="480">
        <v>23500000</v>
      </c>
      <c r="K652" s="212" t="s">
        <v>37</v>
      </c>
      <c r="L652" s="212" t="s">
        <v>2580</v>
      </c>
      <c r="M652" s="212" t="s">
        <v>44</v>
      </c>
      <c r="N652" s="212" t="s">
        <v>45</v>
      </c>
      <c r="O652" s="212" t="s">
        <v>310</v>
      </c>
      <c r="P652" s="210" t="s">
        <v>43</v>
      </c>
      <c r="R652" s="212">
        <v>705</v>
      </c>
      <c r="S652" s="479">
        <v>44372</v>
      </c>
      <c r="T652" s="212" t="s">
        <v>4538</v>
      </c>
      <c r="U652" s="539">
        <v>23500000</v>
      </c>
      <c r="V652" s="539"/>
      <c r="W652" s="540"/>
      <c r="X652" s="211"/>
      <c r="Y652" s="211"/>
      <c r="Z652" s="211"/>
      <c r="AA652" s="211"/>
      <c r="AB652" s="212"/>
      <c r="AD652" s="212"/>
      <c r="AF652" s="475"/>
      <c r="AM652" s="212"/>
    </row>
    <row r="653" spans="1:39" x14ac:dyDescent="0.35">
      <c r="A653" s="476" t="s">
        <v>2247</v>
      </c>
      <c r="B653" s="477">
        <v>100000000</v>
      </c>
      <c r="C653" s="212" t="s">
        <v>4539</v>
      </c>
      <c r="D653" s="212">
        <v>642</v>
      </c>
      <c r="E653" s="478">
        <v>20213000030273</v>
      </c>
      <c r="F653" s="479">
        <v>44372</v>
      </c>
      <c r="G653" s="478" t="s">
        <v>2538</v>
      </c>
      <c r="H653" s="212" t="s">
        <v>2539</v>
      </c>
      <c r="I653" s="212" t="s">
        <v>432</v>
      </c>
      <c r="J653" s="475">
        <v>100000000</v>
      </c>
      <c r="K653" s="212" t="s">
        <v>342</v>
      </c>
      <c r="L653" s="212" t="s">
        <v>351</v>
      </c>
      <c r="M653" s="212" t="s">
        <v>44</v>
      </c>
      <c r="N653" s="212" t="s">
        <v>45</v>
      </c>
      <c r="O653" s="212" t="s">
        <v>63</v>
      </c>
      <c r="P653" s="212" t="s">
        <v>4464</v>
      </c>
      <c r="R653" s="212">
        <v>706</v>
      </c>
      <c r="S653" s="479">
        <v>44372</v>
      </c>
      <c r="T653" s="212" t="s">
        <v>4540</v>
      </c>
      <c r="U653" s="539">
        <v>100000000</v>
      </c>
      <c r="V653" s="539"/>
      <c r="W653" s="540"/>
      <c r="X653" s="211"/>
      <c r="Y653" s="211"/>
      <c r="Z653" s="211"/>
      <c r="AA653" s="211"/>
      <c r="AB653" s="212"/>
      <c r="AD653" s="212"/>
      <c r="AF653" s="475"/>
      <c r="AM653" s="212"/>
    </row>
    <row r="654" spans="1:39" x14ac:dyDescent="0.35">
      <c r="B654" s="477" t="s">
        <v>4297</v>
      </c>
      <c r="C654" s="212" t="s">
        <v>4541</v>
      </c>
      <c r="D654" s="212">
        <v>643</v>
      </c>
      <c r="E654" s="478">
        <v>20215000031473</v>
      </c>
      <c r="F654" s="479">
        <v>44375</v>
      </c>
      <c r="G654" s="478" t="s">
        <v>2538</v>
      </c>
      <c r="H654" s="212" t="s">
        <v>2539</v>
      </c>
      <c r="I654" s="212" t="s">
        <v>228</v>
      </c>
      <c r="J654" s="480">
        <v>4290000</v>
      </c>
      <c r="K654" s="212" t="s">
        <v>223</v>
      </c>
      <c r="L654" s="212" t="s">
        <v>233</v>
      </c>
      <c r="M654" s="212" t="s">
        <v>44</v>
      </c>
      <c r="N654" s="212" t="s">
        <v>45</v>
      </c>
      <c r="O654" s="212" t="s">
        <v>63</v>
      </c>
      <c r="P654" s="212" t="s">
        <v>4524</v>
      </c>
      <c r="R654" s="212">
        <v>709</v>
      </c>
      <c r="S654" s="479">
        <v>44375</v>
      </c>
      <c r="T654" s="212" t="s">
        <v>4542</v>
      </c>
      <c r="U654" s="480">
        <v>4290000</v>
      </c>
      <c r="V654" s="539"/>
      <c r="W654" s="324"/>
      <c r="X654" s="211"/>
      <c r="Y654" s="211"/>
      <c r="Z654" s="211"/>
      <c r="AA654" s="211"/>
      <c r="AB654" s="212"/>
      <c r="AD654" s="212"/>
      <c r="AF654" s="480"/>
      <c r="AH654" s="480"/>
      <c r="AI654" s="480"/>
      <c r="AJ654" s="480"/>
      <c r="AK654" s="480"/>
      <c r="AL654" s="480"/>
      <c r="AM654" s="212"/>
    </row>
    <row r="655" spans="1:39" x14ac:dyDescent="0.35">
      <c r="A655" s="476" t="s">
        <v>4543</v>
      </c>
      <c r="B655" s="477">
        <v>2500000000</v>
      </c>
      <c r="C655" s="212" t="s">
        <v>4539</v>
      </c>
      <c r="D655" s="212">
        <v>644</v>
      </c>
      <c r="E655" s="478">
        <v>20215000031503</v>
      </c>
      <c r="F655" s="479">
        <v>44375</v>
      </c>
      <c r="G655" s="478" t="s">
        <v>2538</v>
      </c>
      <c r="H655" s="212" t="s">
        <v>2539</v>
      </c>
      <c r="I655" s="212" t="s">
        <v>228</v>
      </c>
      <c r="J655" s="480">
        <v>2500000000</v>
      </c>
      <c r="K655" s="212" t="s">
        <v>223</v>
      </c>
      <c r="L655" s="212" t="s">
        <v>257</v>
      </c>
      <c r="M655" s="212" t="s">
        <v>44</v>
      </c>
      <c r="N655" s="212" t="s">
        <v>45</v>
      </c>
      <c r="O655" s="212" t="s">
        <v>310</v>
      </c>
      <c r="P655" s="212" t="s">
        <v>770</v>
      </c>
      <c r="R655" s="212">
        <v>710</v>
      </c>
      <c r="S655" s="479">
        <v>44375</v>
      </c>
      <c r="T655" s="212" t="s">
        <v>4544</v>
      </c>
      <c r="U655" s="480">
        <v>2500000000</v>
      </c>
      <c r="V655" s="539"/>
      <c r="W655" s="542"/>
      <c r="X655" s="211"/>
      <c r="Y655" s="211"/>
      <c r="Z655" s="211"/>
      <c r="AA655" s="211"/>
      <c r="AB655" s="212"/>
      <c r="AD655" s="212"/>
      <c r="AF655" s="480"/>
      <c r="AH655" s="480"/>
      <c r="AI655" s="480"/>
      <c r="AJ655" s="480"/>
      <c r="AK655" s="480"/>
      <c r="AL655" s="480"/>
      <c r="AM655" s="212"/>
    </row>
    <row r="656" spans="1:39" x14ac:dyDescent="0.35">
      <c r="A656" s="476" t="s">
        <v>4545</v>
      </c>
      <c r="B656" s="477">
        <v>50150000</v>
      </c>
      <c r="C656" s="212" t="s">
        <v>2544</v>
      </c>
      <c r="D656" s="212">
        <v>645</v>
      </c>
      <c r="E656" s="478">
        <v>20215000031513</v>
      </c>
      <c r="F656" s="479">
        <v>44375</v>
      </c>
      <c r="G656" s="478" t="s">
        <v>2538</v>
      </c>
      <c r="H656" s="212" t="s">
        <v>2539</v>
      </c>
      <c r="I656" s="212" t="s">
        <v>228</v>
      </c>
      <c r="J656" s="480">
        <v>50150000</v>
      </c>
      <c r="K656" s="212" t="s">
        <v>223</v>
      </c>
      <c r="L656" s="212" t="s">
        <v>233</v>
      </c>
      <c r="M656" s="212" t="s">
        <v>44</v>
      </c>
      <c r="N656" s="212" t="s">
        <v>45</v>
      </c>
      <c r="O656" s="212" t="s">
        <v>63</v>
      </c>
      <c r="P656" s="212" t="s">
        <v>674</v>
      </c>
      <c r="R656" s="212">
        <v>711</v>
      </c>
      <c r="S656" s="479">
        <v>44375</v>
      </c>
      <c r="T656" s="212" t="s">
        <v>4546</v>
      </c>
      <c r="U656" s="480">
        <v>50150000</v>
      </c>
      <c r="V656" s="539"/>
      <c r="W656" s="324"/>
      <c r="X656" s="211"/>
      <c r="Y656" s="211"/>
      <c r="Z656" s="211"/>
      <c r="AA656" s="211"/>
      <c r="AB656" s="212"/>
      <c r="AD656" s="212"/>
      <c r="AF656" s="480"/>
      <c r="AH656" s="480"/>
      <c r="AI656" s="480"/>
      <c r="AJ656" s="480"/>
      <c r="AK656" s="480"/>
      <c r="AL656" s="480"/>
      <c r="AM656" s="212"/>
    </row>
    <row r="657" spans="1:39" x14ac:dyDescent="0.35">
      <c r="A657" s="476" t="s">
        <v>2249</v>
      </c>
      <c r="B657" s="477">
        <v>59000000</v>
      </c>
      <c r="C657" s="212" t="s">
        <v>4547</v>
      </c>
      <c r="D657" s="212">
        <v>646</v>
      </c>
      <c r="E657" s="478">
        <v>20213000031583</v>
      </c>
      <c r="F657" s="479">
        <v>44375</v>
      </c>
      <c r="G657" s="478" t="s">
        <v>2538</v>
      </c>
      <c r="H657" s="212" t="s">
        <v>2539</v>
      </c>
      <c r="I657" s="212" t="s">
        <v>432</v>
      </c>
      <c r="J657" s="475">
        <v>59000000</v>
      </c>
      <c r="K657" s="212" t="s">
        <v>342</v>
      </c>
      <c r="L657" s="212" t="s">
        <v>351</v>
      </c>
      <c r="M657" s="212" t="s">
        <v>44</v>
      </c>
      <c r="N657" s="212" t="s">
        <v>45</v>
      </c>
      <c r="O657" s="212" t="s">
        <v>63</v>
      </c>
      <c r="P657" s="212" t="s">
        <v>4464</v>
      </c>
      <c r="R657" s="212">
        <v>714</v>
      </c>
      <c r="S657" s="479">
        <v>44376</v>
      </c>
      <c r="T657" s="212" t="s">
        <v>4548</v>
      </c>
      <c r="U657" s="539">
        <v>59000000</v>
      </c>
      <c r="V657" s="539"/>
      <c r="W657" s="540"/>
      <c r="X657" s="211"/>
      <c r="Y657" s="211"/>
      <c r="Z657" s="211"/>
      <c r="AA657" s="211"/>
      <c r="AB657" s="212"/>
      <c r="AD657" s="212"/>
      <c r="AF657" s="475"/>
      <c r="AM657" s="212"/>
    </row>
    <row r="658" spans="1:39" x14ac:dyDescent="0.35">
      <c r="A658" s="476" t="s">
        <v>2211</v>
      </c>
      <c r="B658" s="477">
        <v>650000000</v>
      </c>
      <c r="C658" s="212" t="s">
        <v>4549</v>
      </c>
      <c r="D658" s="212">
        <v>647</v>
      </c>
      <c r="E658" s="478">
        <v>20211400031553</v>
      </c>
      <c r="F658" s="479">
        <v>44375</v>
      </c>
      <c r="G658" s="478" t="s">
        <v>2545</v>
      </c>
      <c r="H658" s="212" t="s">
        <v>2546</v>
      </c>
      <c r="I658" s="212" t="s">
        <v>184</v>
      </c>
      <c r="J658" s="475">
        <v>650000000</v>
      </c>
      <c r="K658" s="212" t="s">
        <v>138</v>
      </c>
      <c r="L658" s="212" t="s">
        <v>181</v>
      </c>
      <c r="M658" s="212" t="s">
        <v>44</v>
      </c>
      <c r="N658" s="212" t="s">
        <v>45</v>
      </c>
      <c r="O658" s="212" t="s">
        <v>194</v>
      </c>
      <c r="P658" s="212" t="s">
        <v>674</v>
      </c>
      <c r="R658" s="212">
        <v>712</v>
      </c>
      <c r="S658" s="479">
        <v>44376</v>
      </c>
      <c r="T658" s="486" t="s">
        <v>4550</v>
      </c>
      <c r="U658" s="692">
        <v>650000000</v>
      </c>
      <c r="V658" s="539"/>
      <c r="W658" s="540"/>
      <c r="X658" s="211"/>
      <c r="Y658" s="211"/>
      <c r="Z658" s="211"/>
      <c r="AA658" s="211"/>
      <c r="AB658" s="212"/>
      <c r="AD658" s="212"/>
      <c r="AF658" s="475"/>
      <c r="AM658" s="212"/>
    </row>
    <row r="659" spans="1:39" x14ac:dyDescent="0.35">
      <c r="B659" s="543" t="s">
        <v>4288</v>
      </c>
      <c r="C659" s="212" t="s">
        <v>4551</v>
      </c>
      <c r="D659" s="212">
        <v>648</v>
      </c>
      <c r="E659" s="478">
        <v>20211300031573</v>
      </c>
      <c r="F659" s="479">
        <v>44375</v>
      </c>
      <c r="G659" s="478" t="s">
        <v>2545</v>
      </c>
      <c r="H659" s="212" t="s">
        <v>2546</v>
      </c>
      <c r="I659" s="212" t="s">
        <v>210</v>
      </c>
      <c r="J659" s="475">
        <v>10902312</v>
      </c>
      <c r="K659" s="212" t="s">
        <v>138</v>
      </c>
      <c r="L659" s="212" t="s">
        <v>139</v>
      </c>
      <c r="M659" s="212" t="s">
        <v>44</v>
      </c>
      <c r="N659" s="212" t="s">
        <v>45</v>
      </c>
      <c r="O659" s="212" t="s">
        <v>142</v>
      </c>
      <c r="P659" s="212" t="s">
        <v>43</v>
      </c>
      <c r="R659" s="212">
        <v>713</v>
      </c>
      <c r="S659" s="490">
        <v>44376</v>
      </c>
      <c r="T659" s="486" t="s">
        <v>4552</v>
      </c>
      <c r="U659" s="692">
        <v>10902312</v>
      </c>
      <c r="V659" s="539"/>
      <c r="W659" s="540"/>
      <c r="X659" s="211"/>
      <c r="Y659" s="211"/>
      <c r="Z659" s="211"/>
      <c r="AA659" s="211"/>
      <c r="AB659" s="212"/>
      <c r="AD659" s="212"/>
      <c r="AF659" s="475"/>
      <c r="AM659" s="212"/>
    </row>
    <row r="660" spans="1:39" x14ac:dyDescent="0.35">
      <c r="A660" s="476" t="s">
        <v>2486</v>
      </c>
      <c r="B660" s="477">
        <v>21804000</v>
      </c>
      <c r="C660" s="212" t="s">
        <v>2544</v>
      </c>
      <c r="D660" s="212">
        <v>649</v>
      </c>
      <c r="E660" s="478">
        <v>20214000031653</v>
      </c>
      <c r="F660" s="479">
        <v>44376</v>
      </c>
      <c r="G660" s="478" t="s">
        <v>2571</v>
      </c>
      <c r="H660" s="212" t="s">
        <v>2572</v>
      </c>
      <c r="I660" s="212" t="s">
        <v>117</v>
      </c>
      <c r="J660" s="475">
        <v>18170000</v>
      </c>
      <c r="K660" s="212" t="s">
        <v>112</v>
      </c>
      <c r="L660" s="212" t="s">
        <v>2573</v>
      </c>
      <c r="M660" s="212" t="s">
        <v>44</v>
      </c>
      <c r="N660" s="212" t="s">
        <v>45</v>
      </c>
      <c r="O660" s="212" t="s">
        <v>63</v>
      </c>
      <c r="P660" s="212" t="s">
        <v>43</v>
      </c>
      <c r="R660" s="212">
        <v>716</v>
      </c>
      <c r="S660" s="479">
        <v>44377</v>
      </c>
      <c r="T660" s="212" t="s">
        <v>4553</v>
      </c>
      <c r="U660" s="539">
        <v>18170000</v>
      </c>
      <c r="V660" s="539"/>
      <c r="W660" s="540"/>
      <c r="X660" s="211"/>
      <c r="Y660" s="211"/>
      <c r="Z660" s="211"/>
      <c r="AA660" s="211"/>
      <c r="AB660" s="212"/>
      <c r="AD660" s="212"/>
      <c r="AF660" s="475"/>
      <c r="AM660" s="212"/>
    </row>
    <row r="661" spans="1:39" s="312" customFormat="1" x14ac:dyDescent="0.35">
      <c r="A661" s="361" t="s">
        <v>4554</v>
      </c>
      <c r="B661" s="417">
        <v>80000000</v>
      </c>
      <c r="C661" s="312" t="s">
        <v>4555</v>
      </c>
      <c r="D661" s="312">
        <v>650</v>
      </c>
      <c r="E661" s="325">
        <v>20216000031753</v>
      </c>
      <c r="F661" s="315">
        <v>44376</v>
      </c>
      <c r="G661" s="325" t="s">
        <v>2538</v>
      </c>
      <c r="H661" s="312" t="s">
        <v>2539</v>
      </c>
      <c r="I661" s="312" t="s">
        <v>228</v>
      </c>
      <c r="J661" s="406">
        <v>40000000</v>
      </c>
      <c r="K661" s="312" t="s">
        <v>223</v>
      </c>
      <c r="L661" s="364" t="s">
        <v>224</v>
      </c>
      <c r="M661" s="312" t="s">
        <v>44</v>
      </c>
      <c r="N661" s="312" t="s">
        <v>2834</v>
      </c>
      <c r="O661" s="312" t="s">
        <v>132</v>
      </c>
      <c r="P661" s="312" t="s">
        <v>674</v>
      </c>
      <c r="Q661" s="312" t="s">
        <v>3198</v>
      </c>
      <c r="U661" s="447"/>
      <c r="V661" s="447"/>
      <c r="W661" s="388"/>
      <c r="X661" s="316"/>
      <c r="Y661" s="316"/>
      <c r="Z661" s="316"/>
      <c r="AA661" s="316"/>
      <c r="AC661" s="316"/>
      <c r="AF661" s="405"/>
      <c r="AH661" s="405"/>
      <c r="AI661" s="405"/>
      <c r="AJ661" s="405"/>
      <c r="AK661" s="405"/>
      <c r="AL661" s="405"/>
      <c r="AM661" s="212"/>
    </row>
    <row r="662" spans="1:39" s="312" customFormat="1" x14ac:dyDescent="0.35">
      <c r="A662" s="361"/>
      <c r="B662" s="701"/>
      <c r="D662" s="312">
        <v>650</v>
      </c>
      <c r="E662" s="325">
        <v>20216000031753</v>
      </c>
      <c r="F662" s="315">
        <v>44376</v>
      </c>
      <c r="G662" s="381" t="s">
        <v>2538</v>
      </c>
      <c r="H662" s="364" t="s">
        <v>2539</v>
      </c>
      <c r="I662" s="364" t="s">
        <v>432</v>
      </c>
      <c r="J662" s="406">
        <v>40000000</v>
      </c>
      <c r="K662" s="312" t="s">
        <v>342</v>
      </c>
      <c r="L662" s="364" t="s">
        <v>351</v>
      </c>
      <c r="M662" s="312" t="s">
        <v>44</v>
      </c>
      <c r="N662" s="364" t="s">
        <v>150</v>
      </c>
      <c r="O662" s="364" t="s">
        <v>4556</v>
      </c>
      <c r="P662" s="312" t="s">
        <v>674</v>
      </c>
      <c r="Q662" s="312" t="s">
        <v>3198</v>
      </c>
      <c r="U662" s="447"/>
      <c r="V662" s="447"/>
      <c r="W662" s="388"/>
      <c r="X662" s="316"/>
      <c r="Y662" s="316"/>
      <c r="Z662" s="316"/>
      <c r="AA662" s="316"/>
      <c r="AC662" s="316"/>
      <c r="AF662" s="405"/>
      <c r="AH662" s="405"/>
      <c r="AI662" s="405"/>
      <c r="AJ662" s="405"/>
      <c r="AK662" s="405"/>
      <c r="AL662" s="405"/>
      <c r="AM662" s="212"/>
    </row>
    <row r="663" spans="1:39" x14ac:dyDescent="0.35">
      <c r="A663" s="476" t="s">
        <v>2387</v>
      </c>
      <c r="B663" s="477">
        <v>21725000</v>
      </c>
      <c r="C663" s="212" t="s">
        <v>2544</v>
      </c>
      <c r="D663" s="212">
        <v>651</v>
      </c>
      <c r="E663" s="478">
        <v>20212000031763</v>
      </c>
      <c r="F663" s="479">
        <v>44376</v>
      </c>
      <c r="G663" s="469" t="s">
        <v>2538</v>
      </c>
      <c r="H663" s="468" t="s">
        <v>2539</v>
      </c>
      <c r="I663" s="468" t="s">
        <v>391</v>
      </c>
      <c r="J663" s="471">
        <v>21725000</v>
      </c>
      <c r="K663" s="377" t="s">
        <v>2609</v>
      </c>
      <c r="L663" s="468" t="s">
        <v>2610</v>
      </c>
      <c r="M663" s="377" t="s">
        <v>44</v>
      </c>
      <c r="N663" s="377" t="s">
        <v>45</v>
      </c>
      <c r="O663" s="468" t="s">
        <v>63</v>
      </c>
      <c r="P663" s="212" t="s">
        <v>674</v>
      </c>
      <c r="Q663" s="468"/>
      <c r="R663" s="212">
        <v>717</v>
      </c>
      <c r="S663" s="479">
        <v>44377</v>
      </c>
      <c r="T663" s="212" t="s">
        <v>4557</v>
      </c>
      <c r="U663" s="539">
        <v>21725000</v>
      </c>
      <c r="V663" s="539"/>
      <c r="W663" s="540"/>
      <c r="X663" s="211"/>
      <c r="Y663" s="211"/>
      <c r="Z663" s="211"/>
      <c r="AA663" s="211"/>
      <c r="AB663" s="212"/>
      <c r="AD663" s="212"/>
      <c r="AF663" s="475"/>
      <c r="AM663" s="212"/>
    </row>
    <row r="664" spans="1:39" x14ac:dyDescent="0.35">
      <c r="A664" s="476" t="s">
        <v>2394</v>
      </c>
      <c r="B664" s="477">
        <v>24600000</v>
      </c>
      <c r="C664" s="212" t="s">
        <v>2544</v>
      </c>
      <c r="D664" s="212">
        <v>652</v>
      </c>
      <c r="E664" s="478">
        <v>20212000031773</v>
      </c>
      <c r="F664" s="479">
        <v>44376</v>
      </c>
      <c r="G664" s="469" t="s">
        <v>2538</v>
      </c>
      <c r="H664" s="468" t="s">
        <v>2539</v>
      </c>
      <c r="I664" s="468" t="s">
        <v>391</v>
      </c>
      <c r="J664" s="471">
        <v>24600000</v>
      </c>
      <c r="K664" s="377" t="s">
        <v>2609</v>
      </c>
      <c r="L664" s="468" t="s">
        <v>2610</v>
      </c>
      <c r="M664" s="377" t="s">
        <v>44</v>
      </c>
      <c r="N664" s="377" t="s">
        <v>45</v>
      </c>
      <c r="O664" s="468" t="s">
        <v>63</v>
      </c>
      <c r="P664" s="212" t="s">
        <v>674</v>
      </c>
      <c r="R664" s="212">
        <v>718</v>
      </c>
      <c r="S664" s="479">
        <v>44377</v>
      </c>
      <c r="T664" s="212" t="s">
        <v>4558</v>
      </c>
      <c r="U664" s="539">
        <v>24600000</v>
      </c>
      <c r="V664" s="539"/>
      <c r="W664" s="540"/>
      <c r="X664" s="211"/>
      <c r="Y664" s="211"/>
      <c r="Z664" s="211"/>
      <c r="AA664" s="211"/>
      <c r="AB664" s="212"/>
      <c r="AD664" s="212"/>
      <c r="AF664" s="475"/>
      <c r="AM664" s="212"/>
    </row>
    <row r="665" spans="1:39" x14ac:dyDescent="0.35">
      <c r="A665" s="476" t="s">
        <v>2255</v>
      </c>
      <c r="B665" s="477">
        <v>45100000</v>
      </c>
      <c r="C665" s="212" t="s">
        <v>2544</v>
      </c>
      <c r="D665" s="212">
        <v>653</v>
      </c>
      <c r="E665" s="478">
        <v>20212000031783</v>
      </c>
      <c r="F665" s="479">
        <v>44376</v>
      </c>
      <c r="G665" s="469" t="s">
        <v>2538</v>
      </c>
      <c r="H665" s="468" t="s">
        <v>2539</v>
      </c>
      <c r="I665" s="468" t="s">
        <v>391</v>
      </c>
      <c r="J665" s="471">
        <v>45100000</v>
      </c>
      <c r="K665" s="377" t="s">
        <v>2609</v>
      </c>
      <c r="L665" s="468" t="s">
        <v>2610</v>
      </c>
      <c r="M665" s="377" t="s">
        <v>44</v>
      </c>
      <c r="N665" s="377" t="s">
        <v>45</v>
      </c>
      <c r="O665" s="468" t="s">
        <v>63</v>
      </c>
      <c r="P665" s="212" t="s">
        <v>674</v>
      </c>
      <c r="R665" s="212">
        <v>719</v>
      </c>
      <c r="S665" s="479">
        <v>44377</v>
      </c>
      <c r="T665" s="212" t="s">
        <v>4559</v>
      </c>
      <c r="U665" s="539">
        <v>45100000</v>
      </c>
      <c r="V665" s="539"/>
      <c r="W665" s="540"/>
      <c r="X665" s="211"/>
      <c r="Y665" s="211"/>
      <c r="Z665" s="211"/>
      <c r="AA665" s="211"/>
      <c r="AB665" s="212"/>
      <c r="AD665" s="212"/>
      <c r="AF665" s="475"/>
      <c r="AM665" s="212"/>
    </row>
    <row r="666" spans="1:39" x14ac:dyDescent="0.35">
      <c r="A666" s="476" t="s">
        <v>2256</v>
      </c>
      <c r="B666" s="477">
        <v>27500000</v>
      </c>
      <c r="C666" s="212" t="s">
        <v>2544</v>
      </c>
      <c r="D666" s="212">
        <v>654</v>
      </c>
      <c r="E666" s="478">
        <v>20212000031793</v>
      </c>
      <c r="F666" s="479">
        <v>44376</v>
      </c>
      <c r="G666" s="469" t="s">
        <v>2538</v>
      </c>
      <c r="H666" s="468" t="s">
        <v>2539</v>
      </c>
      <c r="I666" s="468" t="s">
        <v>391</v>
      </c>
      <c r="J666" s="471">
        <v>27500000</v>
      </c>
      <c r="K666" s="377" t="s">
        <v>2609</v>
      </c>
      <c r="L666" s="468" t="s">
        <v>2610</v>
      </c>
      <c r="M666" s="377" t="s">
        <v>44</v>
      </c>
      <c r="N666" s="377" t="s">
        <v>45</v>
      </c>
      <c r="O666" s="468" t="s">
        <v>63</v>
      </c>
      <c r="P666" s="212" t="s">
        <v>674</v>
      </c>
      <c r="R666" s="212">
        <v>720</v>
      </c>
      <c r="S666" s="479">
        <v>44377</v>
      </c>
      <c r="T666" s="212" t="s">
        <v>4560</v>
      </c>
      <c r="U666" s="539">
        <v>27500000</v>
      </c>
      <c r="V666" s="539"/>
      <c r="W666" s="540"/>
      <c r="X666" s="211"/>
      <c r="Y666" s="211"/>
      <c r="Z666" s="211"/>
      <c r="AA666" s="211"/>
      <c r="AB666" s="212"/>
      <c r="AD666" s="212"/>
      <c r="AF666" s="475"/>
      <c r="AM666" s="212"/>
    </row>
    <row r="667" spans="1:39" x14ac:dyDescent="0.35">
      <c r="A667" s="476" t="s">
        <v>4561</v>
      </c>
      <c r="B667" s="477">
        <v>80782875</v>
      </c>
      <c r="C667" s="212" t="s">
        <v>4562</v>
      </c>
      <c r="D667" s="212">
        <v>655</v>
      </c>
      <c r="E667" s="478">
        <v>20215000032073</v>
      </c>
      <c r="F667" s="479">
        <v>44377</v>
      </c>
      <c r="G667" s="478" t="s">
        <v>2538</v>
      </c>
      <c r="H667" s="212" t="s">
        <v>2539</v>
      </c>
      <c r="I667" s="212" t="s">
        <v>228</v>
      </c>
      <c r="J667" s="480">
        <v>80782875</v>
      </c>
      <c r="K667" s="212" t="s">
        <v>223</v>
      </c>
      <c r="L667" s="212" t="s">
        <v>257</v>
      </c>
      <c r="M667" s="212" t="s">
        <v>44</v>
      </c>
      <c r="N667" s="212" t="s">
        <v>45</v>
      </c>
      <c r="O667" s="212" t="s">
        <v>310</v>
      </c>
      <c r="P667" s="212" t="s">
        <v>770</v>
      </c>
      <c r="S667" s="212"/>
      <c r="U667" s="539"/>
      <c r="V667" s="539"/>
      <c r="W667" s="540"/>
      <c r="X667" s="211"/>
      <c r="Y667" s="211"/>
      <c r="Z667" s="211"/>
      <c r="AA667" s="211"/>
      <c r="AB667" s="212"/>
      <c r="AD667" s="212"/>
      <c r="AF667" s="475"/>
      <c r="AM667" s="212"/>
    </row>
    <row r="668" spans="1:39" x14ac:dyDescent="0.35">
      <c r="B668" s="477" t="s">
        <v>3001</v>
      </c>
      <c r="C668" s="212" t="s">
        <v>4563</v>
      </c>
      <c r="D668" s="212">
        <v>656</v>
      </c>
      <c r="E668" s="478">
        <v>20215000032083</v>
      </c>
      <c r="F668" s="479">
        <v>44377</v>
      </c>
      <c r="G668" s="478" t="s">
        <v>2538</v>
      </c>
      <c r="H668" s="212" t="s">
        <v>2539</v>
      </c>
      <c r="I668" s="212" t="s">
        <v>228</v>
      </c>
      <c r="J668" s="480">
        <v>273019170</v>
      </c>
      <c r="K668" s="212" t="s">
        <v>223</v>
      </c>
      <c r="L668" s="468" t="s">
        <v>224</v>
      </c>
      <c r="M668" s="212" t="s">
        <v>44</v>
      </c>
      <c r="N668" s="212" t="s">
        <v>2834</v>
      </c>
      <c r="O668" s="212" t="s">
        <v>132</v>
      </c>
      <c r="P668" s="212" t="s">
        <v>4524</v>
      </c>
      <c r="S668" s="212"/>
      <c r="U668" s="539"/>
      <c r="V668" s="539"/>
      <c r="W668" s="540"/>
      <c r="X668" s="211"/>
      <c r="Y668" s="211"/>
      <c r="Z668" s="211"/>
      <c r="AA668" s="211"/>
      <c r="AB668" s="212"/>
      <c r="AD668" s="212"/>
      <c r="AF668" s="475"/>
      <c r="AM668" s="212"/>
    </row>
    <row r="669" spans="1:39" x14ac:dyDescent="0.35">
      <c r="B669" s="477" t="s">
        <v>3001</v>
      </c>
      <c r="C669" s="212" t="s">
        <v>4564</v>
      </c>
      <c r="D669" s="212">
        <v>657</v>
      </c>
      <c r="E669" s="478">
        <v>20215000032093</v>
      </c>
      <c r="F669" s="479">
        <v>44377</v>
      </c>
      <c r="G669" s="478" t="s">
        <v>2538</v>
      </c>
      <c r="H669" s="212" t="s">
        <v>2539</v>
      </c>
      <c r="I669" s="212" t="s">
        <v>228</v>
      </c>
      <c r="J669" s="480">
        <v>19874784</v>
      </c>
      <c r="K669" s="212" t="s">
        <v>223</v>
      </c>
      <c r="L669" s="468" t="s">
        <v>224</v>
      </c>
      <c r="M669" s="212" t="s">
        <v>44</v>
      </c>
      <c r="N669" s="212" t="s">
        <v>2834</v>
      </c>
      <c r="O669" s="212" t="s">
        <v>132</v>
      </c>
      <c r="P669" s="212" t="s">
        <v>4524</v>
      </c>
      <c r="S669" s="212"/>
      <c r="U669" s="539"/>
      <c r="V669" s="539"/>
      <c r="W669" s="540"/>
      <c r="X669" s="211"/>
      <c r="Y669" s="211"/>
      <c r="Z669" s="211"/>
      <c r="AA669" s="211"/>
      <c r="AB669" s="212"/>
      <c r="AD669" s="212"/>
      <c r="AF669" s="475"/>
      <c r="AM669" s="212"/>
    </row>
    <row r="670" spans="1:39" x14ac:dyDescent="0.35">
      <c r="A670" s="212"/>
      <c r="B670" s="539"/>
      <c r="D670" s="212"/>
      <c r="F670" s="212"/>
      <c r="G670" s="212"/>
      <c r="J670" s="539"/>
      <c r="S670" s="212"/>
      <c r="U670" s="539"/>
      <c r="V670" s="539"/>
      <c r="W670" s="540"/>
      <c r="X670" s="211"/>
      <c r="Y670" s="211"/>
      <c r="Z670" s="211"/>
      <c r="AA670" s="211"/>
      <c r="AB670" s="212"/>
      <c r="AD670" s="212"/>
      <c r="AF670" s="475"/>
      <c r="AM670" s="212"/>
    </row>
    <row r="671" spans="1:39" x14ac:dyDescent="0.35">
      <c r="A671" s="212"/>
      <c r="B671" s="539"/>
      <c r="D671" s="212"/>
      <c r="F671" s="212"/>
      <c r="G671" s="212"/>
      <c r="J671" s="539"/>
      <c r="S671" s="212"/>
      <c r="U671" s="539"/>
      <c r="V671" s="539"/>
      <c r="W671" s="540"/>
      <c r="X671" s="211"/>
      <c r="Y671" s="211"/>
      <c r="Z671" s="211"/>
      <c r="AA671" s="211"/>
      <c r="AB671" s="212"/>
      <c r="AD671" s="212"/>
      <c r="AF671" s="475"/>
      <c r="AM671" s="212"/>
    </row>
    <row r="672" spans="1:39" x14ac:dyDescent="0.35">
      <c r="A672" s="212"/>
      <c r="B672" s="539"/>
      <c r="D672" s="212"/>
      <c r="F672" s="212"/>
      <c r="G672" s="212"/>
      <c r="J672" s="539"/>
      <c r="S672" s="212"/>
      <c r="U672" s="539"/>
      <c r="V672" s="539"/>
      <c r="W672" s="540"/>
      <c r="X672" s="211"/>
      <c r="Y672" s="211"/>
      <c r="Z672" s="211"/>
      <c r="AA672" s="211"/>
      <c r="AB672" s="212"/>
      <c r="AD672" s="212"/>
      <c r="AF672" s="475"/>
      <c r="AM672" s="212"/>
    </row>
    <row r="673" spans="1:39" x14ac:dyDescent="0.35">
      <c r="A673" s="212"/>
      <c r="B673" s="539"/>
      <c r="D673" s="212"/>
      <c r="F673" s="212"/>
      <c r="G673" s="212"/>
      <c r="J673" s="539"/>
      <c r="S673" s="212"/>
      <c r="U673" s="539"/>
      <c r="V673" s="539"/>
      <c r="W673" s="540"/>
      <c r="X673" s="211"/>
      <c r="Y673" s="211"/>
      <c r="Z673" s="211"/>
      <c r="AA673" s="211"/>
      <c r="AB673" s="212"/>
      <c r="AD673" s="212"/>
      <c r="AF673" s="539"/>
      <c r="AM673" s="212"/>
    </row>
    <row r="674" spans="1:39" x14ac:dyDescent="0.35">
      <c r="A674" s="212"/>
      <c r="B674" s="539"/>
      <c r="D674" s="212"/>
      <c r="F674" s="212"/>
      <c r="G674" s="212"/>
      <c r="J674" s="539"/>
      <c r="S674" s="212"/>
      <c r="U674" s="539"/>
      <c r="V674" s="539"/>
      <c r="W674" s="540"/>
      <c r="X674" s="211"/>
      <c r="Y674" s="211"/>
      <c r="Z674" s="211"/>
      <c r="AA674" s="211"/>
      <c r="AB674" s="212"/>
      <c r="AD674" s="212"/>
      <c r="AF674" s="475"/>
      <c r="AM674" s="212"/>
    </row>
    <row r="675" spans="1:39" x14ac:dyDescent="0.35">
      <c r="A675" s="212"/>
      <c r="B675" s="539"/>
      <c r="D675" s="212"/>
      <c r="F675" s="212"/>
      <c r="G675" s="212"/>
      <c r="J675" s="539"/>
      <c r="S675" s="212"/>
      <c r="U675" s="539"/>
      <c r="V675" s="539"/>
      <c r="W675" s="540"/>
      <c r="X675" s="211"/>
      <c r="Y675" s="211"/>
      <c r="Z675" s="211"/>
      <c r="AA675" s="211"/>
      <c r="AB675" s="212"/>
      <c r="AD675" s="212"/>
      <c r="AF675" s="475"/>
      <c r="AM675" s="212"/>
    </row>
    <row r="676" spans="1:39" x14ac:dyDescent="0.35">
      <c r="A676" s="212"/>
      <c r="B676" s="539"/>
      <c r="D676" s="212"/>
      <c r="F676" s="212"/>
      <c r="G676" s="212"/>
      <c r="J676" s="539"/>
      <c r="S676" s="212"/>
      <c r="U676" s="539"/>
      <c r="V676" s="539"/>
      <c r="W676" s="540"/>
      <c r="X676" s="211"/>
      <c r="Y676" s="211"/>
      <c r="Z676" s="211"/>
      <c r="AA676" s="211"/>
      <c r="AB676" s="212"/>
      <c r="AD676" s="212"/>
      <c r="AF676" s="475"/>
      <c r="AM676" s="212"/>
    </row>
    <row r="677" spans="1:39" x14ac:dyDescent="0.35">
      <c r="A677" s="212"/>
      <c r="B677" s="539"/>
      <c r="D677" s="212"/>
      <c r="F677" s="212"/>
      <c r="G677" s="212"/>
      <c r="J677" s="539"/>
      <c r="S677" s="212"/>
      <c r="U677" s="539"/>
      <c r="V677" s="539"/>
      <c r="W677" s="540"/>
      <c r="X677" s="211"/>
      <c r="Y677" s="211"/>
      <c r="Z677" s="211"/>
      <c r="AA677" s="211"/>
      <c r="AB677" s="212"/>
      <c r="AD677" s="212"/>
      <c r="AF677" s="475"/>
      <c r="AM677" s="212"/>
    </row>
    <row r="678" spans="1:39" x14ac:dyDescent="0.35">
      <c r="A678" s="212"/>
      <c r="B678" s="539"/>
      <c r="D678" s="212"/>
      <c r="F678" s="212"/>
      <c r="G678" s="212"/>
      <c r="J678" s="539"/>
      <c r="S678" s="212"/>
      <c r="U678" s="539"/>
      <c r="V678" s="539"/>
      <c r="W678" s="540"/>
      <c r="X678" s="211"/>
      <c r="Y678" s="211"/>
      <c r="Z678" s="211"/>
      <c r="AA678" s="211"/>
      <c r="AB678" s="212"/>
      <c r="AD678" s="212"/>
      <c r="AF678" s="480"/>
      <c r="AM678" s="212"/>
    </row>
    <row r="679" spans="1:39" x14ac:dyDescent="0.35">
      <c r="A679" s="212"/>
      <c r="B679" s="539"/>
      <c r="D679" s="212"/>
      <c r="F679" s="212"/>
      <c r="G679" s="212"/>
      <c r="J679" s="539"/>
      <c r="S679" s="212"/>
      <c r="U679" s="539"/>
      <c r="V679" s="539"/>
      <c r="W679" s="540"/>
      <c r="X679" s="211"/>
      <c r="Y679" s="211"/>
      <c r="Z679" s="211"/>
      <c r="AA679" s="211"/>
      <c r="AB679" s="212"/>
      <c r="AD679" s="212"/>
      <c r="AF679" s="475"/>
      <c r="AM679" s="212"/>
    </row>
    <row r="680" spans="1:39" x14ac:dyDescent="0.35">
      <c r="A680" s="212"/>
      <c r="B680" s="539"/>
      <c r="D680" s="212"/>
      <c r="F680" s="212"/>
      <c r="G680" s="212"/>
      <c r="J680" s="539"/>
      <c r="S680" s="212"/>
      <c r="U680" s="539"/>
      <c r="V680" s="539"/>
      <c r="W680" s="540"/>
      <c r="X680" s="211"/>
      <c r="Y680" s="211"/>
      <c r="Z680" s="211"/>
      <c r="AA680" s="211"/>
      <c r="AB680" s="212"/>
      <c r="AD680" s="212"/>
      <c r="AF680" s="475"/>
      <c r="AM680" s="212"/>
    </row>
    <row r="681" spans="1:39" x14ac:dyDescent="0.35">
      <c r="A681" s="212"/>
      <c r="B681" s="539"/>
      <c r="D681" s="212"/>
      <c r="F681" s="212"/>
      <c r="G681" s="212"/>
      <c r="J681" s="539"/>
      <c r="S681" s="212"/>
      <c r="U681" s="539"/>
      <c r="V681" s="539"/>
      <c r="W681" s="540"/>
      <c r="X681" s="211"/>
      <c r="Y681" s="211"/>
      <c r="Z681" s="211"/>
      <c r="AA681" s="211"/>
      <c r="AB681" s="212"/>
      <c r="AD681" s="212"/>
      <c r="AF681" s="475"/>
      <c r="AM681" s="212"/>
    </row>
    <row r="682" spans="1:39" x14ac:dyDescent="0.35">
      <c r="A682" s="212"/>
      <c r="B682" s="539"/>
      <c r="D682" s="212"/>
      <c r="F682" s="212"/>
      <c r="G682" s="212"/>
      <c r="J682" s="539"/>
      <c r="S682" s="212"/>
      <c r="U682" s="539"/>
      <c r="V682" s="539"/>
      <c r="W682" s="540"/>
      <c r="X682" s="211"/>
      <c r="Y682" s="211"/>
      <c r="Z682" s="211"/>
      <c r="AA682" s="211"/>
      <c r="AB682" s="212"/>
      <c r="AD682" s="212"/>
      <c r="AF682" s="475"/>
      <c r="AM682" s="212"/>
    </row>
    <row r="683" spans="1:39" x14ac:dyDescent="0.35">
      <c r="A683" s="212"/>
      <c r="B683" s="539"/>
      <c r="D683" s="212"/>
      <c r="F683" s="212"/>
      <c r="G683" s="212"/>
      <c r="J683" s="539"/>
      <c r="S683" s="212"/>
      <c r="U683" s="539"/>
      <c r="V683" s="539"/>
      <c r="W683" s="540"/>
      <c r="X683" s="211"/>
      <c r="Y683" s="211"/>
      <c r="Z683" s="211"/>
      <c r="AA683" s="211"/>
      <c r="AB683" s="212"/>
      <c r="AD683" s="212"/>
      <c r="AF683" s="475"/>
      <c r="AM683" s="212"/>
    </row>
    <row r="684" spans="1:39" x14ac:dyDescent="0.35">
      <c r="A684" s="212"/>
      <c r="B684" s="539"/>
      <c r="D684" s="212"/>
      <c r="F684" s="212"/>
      <c r="G684" s="212"/>
      <c r="J684" s="539"/>
      <c r="S684" s="212"/>
      <c r="U684" s="539"/>
      <c r="V684" s="539"/>
      <c r="W684" s="540"/>
      <c r="X684" s="211"/>
      <c r="Y684" s="211"/>
      <c r="Z684" s="211"/>
      <c r="AA684" s="211"/>
      <c r="AB684" s="212"/>
      <c r="AD684" s="212"/>
      <c r="AF684" s="475"/>
      <c r="AM684" s="212"/>
    </row>
    <row r="685" spans="1:39" x14ac:dyDescent="0.35">
      <c r="A685" s="212"/>
      <c r="B685" s="539"/>
      <c r="D685" s="212"/>
      <c r="F685" s="212"/>
      <c r="G685" s="212"/>
      <c r="J685" s="539"/>
      <c r="S685" s="212"/>
      <c r="U685" s="539"/>
      <c r="V685" s="539"/>
      <c r="W685" s="540"/>
      <c r="X685" s="211"/>
      <c r="Y685" s="211"/>
      <c r="Z685" s="211"/>
      <c r="AA685" s="211"/>
      <c r="AB685" s="212"/>
      <c r="AD685" s="212"/>
      <c r="AF685" s="475"/>
      <c r="AM685" s="212"/>
    </row>
    <row r="686" spans="1:39" x14ac:dyDescent="0.35">
      <c r="A686" s="212"/>
      <c r="B686" s="539"/>
      <c r="D686" s="212"/>
      <c r="F686" s="212"/>
      <c r="G686" s="212"/>
      <c r="J686" s="539"/>
      <c r="S686" s="212"/>
      <c r="U686" s="539"/>
      <c r="V686" s="539"/>
      <c r="W686" s="540"/>
      <c r="X686" s="211"/>
      <c r="Y686" s="211"/>
      <c r="Z686" s="211"/>
      <c r="AA686" s="211"/>
      <c r="AB686" s="212"/>
      <c r="AD686" s="212"/>
      <c r="AF686" s="475"/>
      <c r="AM686" s="212"/>
    </row>
    <row r="687" spans="1:39" x14ac:dyDescent="0.35">
      <c r="A687" s="212"/>
      <c r="B687" s="539"/>
      <c r="D687" s="212"/>
      <c r="F687" s="212"/>
      <c r="G687" s="212"/>
      <c r="J687" s="539"/>
      <c r="S687" s="212"/>
      <c r="U687" s="539"/>
      <c r="V687" s="539"/>
      <c r="W687" s="540"/>
      <c r="X687" s="211"/>
      <c r="Y687" s="211"/>
      <c r="Z687" s="211"/>
      <c r="AA687" s="211"/>
      <c r="AB687" s="212"/>
      <c r="AD687" s="212"/>
      <c r="AF687" s="475"/>
      <c r="AM687" s="212"/>
    </row>
    <row r="688" spans="1:39" x14ac:dyDescent="0.35">
      <c r="A688" s="212"/>
      <c r="B688" s="539"/>
      <c r="D688" s="212"/>
      <c r="F688" s="212"/>
      <c r="G688" s="212"/>
      <c r="J688" s="539"/>
      <c r="S688" s="212"/>
      <c r="U688" s="539"/>
      <c r="V688" s="539"/>
      <c r="W688" s="540"/>
      <c r="X688" s="211"/>
      <c r="Y688" s="211"/>
      <c r="Z688" s="211"/>
      <c r="AA688" s="211"/>
      <c r="AB688" s="212"/>
      <c r="AD688" s="212"/>
      <c r="AF688" s="475"/>
      <c r="AM688" s="212"/>
    </row>
    <row r="689" spans="1:39" x14ac:dyDescent="0.35">
      <c r="A689" s="212"/>
      <c r="B689" s="539"/>
      <c r="D689" s="212"/>
      <c r="F689" s="212"/>
      <c r="G689" s="212"/>
      <c r="J689" s="539"/>
      <c r="S689" s="212"/>
      <c r="U689" s="539"/>
      <c r="V689" s="539"/>
      <c r="W689" s="540"/>
      <c r="X689" s="211"/>
      <c r="Y689" s="211"/>
      <c r="Z689" s="211"/>
      <c r="AA689" s="211"/>
      <c r="AB689" s="212"/>
      <c r="AD689" s="212"/>
      <c r="AF689" s="475"/>
      <c r="AM689" s="212"/>
    </row>
    <row r="690" spans="1:39" x14ac:dyDescent="0.35">
      <c r="A690" s="212"/>
      <c r="B690" s="539"/>
      <c r="D690" s="212"/>
      <c r="F690" s="212"/>
      <c r="G690" s="212"/>
      <c r="J690" s="539"/>
      <c r="S690" s="212"/>
      <c r="U690" s="539"/>
      <c r="V690" s="539"/>
      <c r="W690" s="540"/>
      <c r="X690" s="211"/>
      <c r="Y690" s="211"/>
      <c r="Z690" s="211"/>
      <c r="AA690" s="211"/>
      <c r="AB690" s="212"/>
      <c r="AD690" s="212"/>
      <c r="AF690" s="475"/>
      <c r="AM690" s="212"/>
    </row>
    <row r="691" spans="1:39" x14ac:dyDescent="0.35">
      <c r="A691" s="212"/>
      <c r="B691" s="539"/>
      <c r="D691" s="212"/>
      <c r="F691" s="212"/>
      <c r="G691" s="212"/>
      <c r="J691" s="539"/>
      <c r="S691" s="212"/>
      <c r="U691" s="539"/>
      <c r="V691" s="539"/>
      <c r="W691" s="540"/>
      <c r="X691" s="211"/>
      <c r="Y691" s="211"/>
      <c r="Z691" s="211"/>
      <c r="AA691" s="211"/>
      <c r="AB691" s="212"/>
      <c r="AD691" s="212"/>
      <c r="AF691" s="475"/>
      <c r="AM691" s="212"/>
    </row>
    <row r="692" spans="1:39" x14ac:dyDescent="0.35">
      <c r="A692" s="212"/>
      <c r="B692" s="539"/>
      <c r="D692" s="212"/>
      <c r="F692" s="212"/>
      <c r="G692" s="212"/>
      <c r="J692" s="539"/>
      <c r="S692" s="212"/>
      <c r="U692" s="539"/>
      <c r="V692" s="539"/>
      <c r="W692" s="540"/>
      <c r="X692" s="211"/>
      <c r="Y692" s="211"/>
      <c r="Z692" s="211"/>
      <c r="AA692" s="211"/>
      <c r="AB692" s="212"/>
      <c r="AD692" s="212"/>
      <c r="AF692" s="475"/>
      <c r="AM692" s="212"/>
    </row>
    <row r="693" spans="1:39" x14ac:dyDescent="0.35">
      <c r="A693" s="212"/>
      <c r="B693" s="539"/>
      <c r="D693" s="212"/>
      <c r="F693" s="212"/>
      <c r="G693" s="212"/>
      <c r="J693" s="539"/>
      <c r="S693" s="212"/>
      <c r="U693" s="539"/>
      <c r="V693" s="539"/>
      <c r="W693" s="540"/>
      <c r="X693" s="211"/>
      <c r="Y693" s="211"/>
      <c r="Z693" s="211"/>
      <c r="AA693" s="211"/>
      <c r="AB693" s="212"/>
      <c r="AD693" s="212"/>
      <c r="AF693" s="475"/>
      <c r="AM693" s="212"/>
    </row>
    <row r="694" spans="1:39" x14ac:dyDescent="0.35">
      <c r="A694" s="212"/>
      <c r="B694" s="539"/>
      <c r="D694" s="212"/>
      <c r="F694" s="212"/>
      <c r="G694" s="212"/>
      <c r="J694" s="539"/>
      <c r="S694" s="212"/>
      <c r="U694" s="539"/>
      <c r="V694" s="539"/>
      <c r="W694" s="540"/>
      <c r="X694" s="211"/>
      <c r="Y694" s="211"/>
      <c r="Z694" s="211"/>
      <c r="AA694" s="211"/>
      <c r="AB694" s="212"/>
      <c r="AD694" s="212"/>
      <c r="AF694" s="475"/>
      <c r="AM694" s="212"/>
    </row>
    <row r="695" spans="1:39" x14ac:dyDescent="0.35">
      <c r="A695" s="212"/>
      <c r="B695" s="539"/>
      <c r="D695" s="212"/>
      <c r="F695" s="212"/>
      <c r="G695" s="212"/>
      <c r="J695" s="539"/>
      <c r="S695" s="212"/>
      <c r="U695" s="539"/>
      <c r="V695" s="539"/>
      <c r="W695" s="540"/>
      <c r="X695" s="211"/>
      <c r="Y695" s="211"/>
      <c r="Z695" s="211"/>
      <c r="AA695" s="211"/>
      <c r="AB695" s="212"/>
      <c r="AD695" s="212"/>
      <c r="AF695" s="475"/>
      <c r="AM695" s="212"/>
    </row>
    <row r="696" spans="1:39" x14ac:dyDescent="0.35">
      <c r="A696" s="212"/>
      <c r="B696" s="539"/>
      <c r="D696" s="212"/>
      <c r="F696" s="212"/>
      <c r="G696" s="212"/>
      <c r="J696" s="539"/>
      <c r="S696" s="212"/>
      <c r="U696" s="539"/>
      <c r="V696" s="539"/>
      <c r="W696" s="540"/>
      <c r="X696" s="211"/>
      <c r="Y696" s="211"/>
      <c r="Z696" s="211"/>
      <c r="AA696" s="211"/>
      <c r="AB696" s="212"/>
      <c r="AD696" s="212"/>
      <c r="AF696" s="475"/>
      <c r="AM696" s="212"/>
    </row>
    <row r="697" spans="1:39" x14ac:dyDescent="0.35">
      <c r="A697" s="212"/>
      <c r="B697" s="539"/>
      <c r="D697" s="212"/>
      <c r="F697" s="212"/>
      <c r="G697" s="212"/>
      <c r="J697" s="539"/>
      <c r="S697" s="212"/>
      <c r="U697" s="539"/>
      <c r="V697" s="539"/>
      <c r="W697" s="540"/>
      <c r="X697" s="211"/>
      <c r="Y697" s="211"/>
      <c r="Z697" s="211"/>
      <c r="AA697" s="211"/>
      <c r="AB697" s="212"/>
      <c r="AD697" s="212"/>
      <c r="AF697" s="475"/>
      <c r="AM697" s="212"/>
    </row>
    <row r="698" spans="1:39" x14ac:dyDescent="0.35">
      <c r="A698" s="212"/>
      <c r="B698" s="539"/>
      <c r="D698" s="212"/>
      <c r="F698" s="212"/>
      <c r="G698" s="212"/>
      <c r="J698" s="539"/>
      <c r="S698" s="212"/>
      <c r="U698" s="539"/>
      <c r="V698" s="539"/>
      <c r="W698" s="540"/>
      <c r="X698" s="211"/>
      <c r="Y698" s="211"/>
      <c r="Z698" s="211"/>
      <c r="AA698" s="211"/>
      <c r="AB698" s="212"/>
      <c r="AD698" s="212"/>
      <c r="AF698" s="475"/>
      <c r="AM698" s="212"/>
    </row>
    <row r="699" spans="1:39" x14ac:dyDescent="0.35">
      <c r="A699" s="212"/>
      <c r="B699" s="539"/>
      <c r="D699" s="212"/>
      <c r="F699" s="212"/>
      <c r="G699" s="212"/>
      <c r="J699" s="539"/>
      <c r="S699" s="212"/>
      <c r="U699" s="539"/>
      <c r="V699" s="539"/>
      <c r="W699" s="540"/>
      <c r="X699" s="211"/>
      <c r="Y699" s="211"/>
      <c r="Z699" s="211"/>
      <c r="AA699" s="211"/>
      <c r="AB699" s="212"/>
      <c r="AD699" s="212"/>
      <c r="AF699" s="475"/>
      <c r="AM699" s="212"/>
    </row>
    <row r="700" spans="1:39" x14ac:dyDescent="0.35">
      <c r="A700" s="212"/>
      <c r="B700" s="539"/>
      <c r="D700" s="212"/>
      <c r="F700" s="212"/>
      <c r="G700" s="212"/>
      <c r="J700" s="539"/>
      <c r="S700" s="212"/>
      <c r="U700" s="539"/>
      <c r="V700" s="539"/>
      <c r="W700" s="540"/>
      <c r="X700" s="211"/>
      <c r="Y700" s="211"/>
      <c r="Z700" s="211"/>
      <c r="AA700" s="211"/>
      <c r="AB700" s="212"/>
      <c r="AD700" s="212"/>
      <c r="AF700" s="475"/>
      <c r="AM700" s="212"/>
    </row>
    <row r="701" spans="1:39" x14ac:dyDescent="0.35">
      <c r="A701" s="212"/>
      <c r="B701" s="539"/>
      <c r="D701" s="212"/>
      <c r="F701" s="212"/>
      <c r="G701" s="212"/>
      <c r="J701" s="539"/>
      <c r="S701" s="212"/>
      <c r="U701" s="539"/>
      <c r="V701" s="539"/>
      <c r="W701" s="540"/>
      <c r="X701" s="211"/>
      <c r="Y701" s="211"/>
      <c r="Z701" s="211"/>
      <c r="AA701" s="211"/>
      <c r="AB701" s="212"/>
      <c r="AD701" s="212"/>
      <c r="AF701" s="475"/>
      <c r="AM701" s="212"/>
    </row>
    <row r="702" spans="1:39" x14ac:dyDescent="0.35">
      <c r="A702" s="212"/>
      <c r="B702" s="539"/>
      <c r="D702" s="212"/>
      <c r="F702" s="212"/>
      <c r="G702" s="212"/>
      <c r="J702" s="539"/>
      <c r="S702" s="212"/>
      <c r="U702" s="539"/>
      <c r="V702" s="539"/>
      <c r="W702" s="540"/>
      <c r="X702" s="211"/>
      <c r="Y702" s="211"/>
      <c r="Z702" s="211"/>
      <c r="AA702" s="211"/>
      <c r="AB702" s="212"/>
      <c r="AD702" s="212"/>
      <c r="AF702" s="475"/>
      <c r="AM702" s="212"/>
    </row>
    <row r="703" spans="1:39" x14ac:dyDescent="0.35">
      <c r="A703" s="212"/>
      <c r="B703" s="539"/>
      <c r="D703" s="212"/>
      <c r="F703" s="212"/>
      <c r="G703" s="212"/>
      <c r="J703" s="539"/>
      <c r="S703" s="212"/>
      <c r="U703" s="539"/>
      <c r="V703" s="539"/>
      <c r="W703" s="540"/>
      <c r="X703" s="211"/>
      <c r="Y703" s="211"/>
      <c r="Z703" s="211"/>
      <c r="AA703" s="211"/>
      <c r="AB703" s="212"/>
      <c r="AD703" s="212"/>
      <c r="AF703" s="475"/>
      <c r="AM703" s="212"/>
    </row>
    <row r="704" spans="1:39" x14ac:dyDescent="0.35">
      <c r="A704" s="212"/>
      <c r="B704" s="539"/>
      <c r="D704" s="212"/>
      <c r="F704" s="212"/>
      <c r="G704" s="212"/>
      <c r="J704" s="539"/>
      <c r="S704" s="212"/>
      <c r="U704" s="539"/>
      <c r="V704" s="539"/>
      <c r="W704" s="540"/>
      <c r="X704" s="211"/>
      <c r="Y704" s="211"/>
      <c r="Z704" s="211"/>
      <c r="AA704" s="211"/>
      <c r="AB704" s="212"/>
      <c r="AD704" s="212"/>
      <c r="AF704" s="475"/>
      <c r="AM704" s="212"/>
    </row>
    <row r="705" spans="1:39" x14ac:dyDescent="0.35">
      <c r="A705" s="212"/>
      <c r="B705" s="539"/>
      <c r="D705" s="212"/>
      <c r="F705" s="212"/>
      <c r="G705" s="212"/>
      <c r="J705" s="539"/>
      <c r="S705" s="212"/>
      <c r="U705" s="539"/>
      <c r="V705" s="539"/>
      <c r="W705" s="540"/>
      <c r="X705" s="211"/>
      <c r="Y705" s="211"/>
      <c r="Z705" s="211"/>
      <c r="AA705" s="211"/>
      <c r="AB705" s="212"/>
      <c r="AD705" s="212"/>
      <c r="AF705" s="475"/>
      <c r="AM705" s="212"/>
    </row>
    <row r="706" spans="1:39" x14ac:dyDescent="0.35">
      <c r="A706" s="212"/>
      <c r="B706" s="539"/>
      <c r="D706" s="212"/>
      <c r="F706" s="212"/>
      <c r="G706" s="212"/>
      <c r="J706" s="539"/>
      <c r="S706" s="212"/>
      <c r="U706" s="539"/>
      <c r="V706" s="539"/>
      <c r="W706" s="540"/>
      <c r="X706" s="211"/>
      <c r="Y706" s="211"/>
      <c r="Z706" s="211"/>
      <c r="AA706" s="211"/>
      <c r="AB706" s="212"/>
      <c r="AD706" s="212"/>
      <c r="AF706" s="475"/>
      <c r="AM706" s="212"/>
    </row>
    <row r="707" spans="1:39" x14ac:dyDescent="0.35">
      <c r="A707" s="212"/>
      <c r="B707" s="539"/>
      <c r="D707" s="212"/>
      <c r="F707" s="212"/>
      <c r="G707" s="212"/>
      <c r="J707" s="539"/>
      <c r="S707" s="212"/>
      <c r="U707" s="539"/>
      <c r="V707" s="539"/>
      <c r="W707" s="540"/>
      <c r="X707" s="211"/>
      <c r="Y707" s="211"/>
      <c r="Z707" s="211"/>
      <c r="AA707" s="211"/>
      <c r="AB707" s="212"/>
      <c r="AD707" s="212"/>
      <c r="AF707" s="475"/>
      <c r="AM707" s="212"/>
    </row>
    <row r="708" spans="1:39" x14ac:dyDescent="0.35">
      <c r="A708" s="212"/>
      <c r="B708" s="539"/>
      <c r="D708" s="212"/>
      <c r="F708" s="212"/>
      <c r="G708" s="212"/>
      <c r="J708" s="539"/>
      <c r="S708" s="212"/>
      <c r="U708" s="539"/>
      <c r="V708" s="539"/>
      <c r="W708" s="540"/>
      <c r="X708" s="211"/>
      <c r="Y708" s="211"/>
      <c r="Z708" s="211"/>
      <c r="AA708" s="211"/>
      <c r="AB708" s="212"/>
      <c r="AD708" s="212"/>
      <c r="AF708" s="475"/>
      <c r="AM708" s="212"/>
    </row>
    <row r="709" spans="1:39" x14ac:dyDescent="0.35">
      <c r="A709" s="212"/>
      <c r="B709" s="539"/>
      <c r="D709" s="212"/>
      <c r="F709" s="212"/>
      <c r="G709" s="212"/>
      <c r="J709" s="539"/>
      <c r="S709" s="212"/>
      <c r="U709" s="539"/>
      <c r="V709" s="539"/>
      <c r="W709" s="540"/>
      <c r="X709" s="211"/>
      <c r="Y709" s="211"/>
      <c r="Z709" s="211"/>
      <c r="AA709" s="211"/>
      <c r="AB709" s="212"/>
      <c r="AD709" s="212"/>
      <c r="AF709" s="475"/>
      <c r="AM709" s="212"/>
    </row>
    <row r="710" spans="1:39" x14ac:dyDescent="0.35">
      <c r="A710" s="212"/>
      <c r="B710" s="539"/>
      <c r="D710" s="212"/>
      <c r="F710" s="212"/>
      <c r="G710" s="212"/>
      <c r="J710" s="539"/>
      <c r="S710" s="212"/>
      <c r="U710" s="539"/>
      <c r="V710" s="539"/>
      <c r="W710" s="540"/>
      <c r="X710" s="211"/>
      <c r="Y710" s="211"/>
      <c r="Z710" s="211"/>
      <c r="AA710" s="211"/>
      <c r="AB710" s="212"/>
      <c r="AD710" s="212"/>
      <c r="AF710" s="475"/>
      <c r="AM710" s="212"/>
    </row>
    <row r="711" spans="1:39" x14ac:dyDescent="0.35">
      <c r="A711" s="212"/>
      <c r="B711" s="539"/>
      <c r="D711" s="212"/>
      <c r="F711" s="212"/>
      <c r="G711" s="212"/>
      <c r="J711" s="539"/>
      <c r="S711" s="212"/>
      <c r="U711" s="539"/>
      <c r="V711" s="539"/>
      <c r="W711" s="540"/>
      <c r="X711" s="211"/>
      <c r="Y711" s="211"/>
      <c r="Z711" s="211"/>
      <c r="AA711" s="211"/>
      <c r="AB711" s="212"/>
      <c r="AD711" s="212"/>
      <c r="AF711" s="475"/>
      <c r="AM711" s="212"/>
    </row>
    <row r="712" spans="1:39" x14ac:dyDescent="0.35">
      <c r="A712" s="212"/>
      <c r="B712" s="539"/>
      <c r="D712" s="212"/>
      <c r="F712" s="212"/>
      <c r="G712" s="212"/>
      <c r="J712" s="539"/>
      <c r="S712" s="212"/>
      <c r="U712" s="539"/>
      <c r="V712" s="539"/>
      <c r="W712" s="540"/>
      <c r="X712" s="211"/>
      <c r="Y712" s="211"/>
      <c r="Z712" s="211"/>
      <c r="AA712" s="211"/>
      <c r="AB712" s="212"/>
      <c r="AD712" s="212"/>
      <c r="AF712" s="475"/>
      <c r="AM712" s="212"/>
    </row>
    <row r="713" spans="1:39" x14ac:dyDescent="0.35">
      <c r="A713" s="212"/>
      <c r="B713" s="539"/>
      <c r="D713" s="212"/>
      <c r="F713" s="212"/>
      <c r="G713" s="212"/>
      <c r="J713" s="539"/>
      <c r="S713" s="212"/>
      <c r="U713" s="539"/>
      <c r="V713" s="539"/>
      <c r="W713" s="540"/>
      <c r="X713" s="211"/>
      <c r="Y713" s="211"/>
      <c r="Z713" s="211"/>
      <c r="AA713" s="211"/>
      <c r="AB713" s="212"/>
      <c r="AD713" s="212"/>
      <c r="AF713" s="475"/>
      <c r="AM713" s="212"/>
    </row>
    <row r="714" spans="1:39" x14ac:dyDescent="0.35">
      <c r="A714" s="212"/>
      <c r="B714" s="539"/>
      <c r="D714" s="212"/>
      <c r="F714" s="212"/>
      <c r="G714" s="212"/>
      <c r="J714" s="539"/>
      <c r="S714" s="212"/>
      <c r="U714" s="539"/>
      <c r="V714" s="539"/>
      <c r="W714" s="540"/>
      <c r="X714" s="211"/>
      <c r="Y714" s="211"/>
      <c r="Z714" s="211"/>
      <c r="AA714" s="211"/>
      <c r="AB714" s="212"/>
      <c r="AD714" s="212"/>
      <c r="AF714" s="475"/>
      <c r="AM714" s="212"/>
    </row>
    <row r="715" spans="1:39" x14ac:dyDescent="0.35">
      <c r="A715" s="212"/>
      <c r="B715" s="539"/>
      <c r="D715" s="212"/>
      <c r="F715" s="212"/>
      <c r="G715" s="212"/>
      <c r="J715" s="539"/>
      <c r="S715" s="212"/>
      <c r="U715" s="539"/>
      <c r="V715" s="539"/>
      <c r="W715" s="540"/>
      <c r="X715" s="211"/>
      <c r="Y715" s="211"/>
      <c r="Z715" s="211"/>
      <c r="AA715" s="211"/>
      <c r="AB715" s="212"/>
      <c r="AD715" s="212"/>
      <c r="AF715" s="475"/>
      <c r="AM715" s="212"/>
    </row>
    <row r="716" spans="1:39" x14ac:dyDescent="0.35">
      <c r="A716" s="212"/>
      <c r="B716" s="539"/>
      <c r="D716" s="212"/>
      <c r="F716" s="212"/>
      <c r="G716" s="212"/>
      <c r="J716" s="539"/>
      <c r="S716" s="212"/>
      <c r="U716" s="539"/>
      <c r="V716" s="539"/>
      <c r="W716" s="540"/>
      <c r="X716" s="211"/>
      <c r="Y716" s="211"/>
      <c r="Z716" s="211"/>
      <c r="AA716" s="211"/>
      <c r="AB716" s="212"/>
      <c r="AD716" s="212"/>
      <c r="AF716" s="475"/>
      <c r="AM716" s="212"/>
    </row>
    <row r="717" spans="1:39" x14ac:dyDescent="0.35">
      <c r="A717" s="212"/>
      <c r="B717" s="539"/>
      <c r="D717" s="212"/>
      <c r="F717" s="212"/>
      <c r="G717" s="212"/>
      <c r="J717" s="539"/>
      <c r="S717" s="212"/>
      <c r="U717" s="539"/>
      <c r="V717" s="539"/>
      <c r="W717" s="540"/>
      <c r="X717" s="211"/>
      <c r="Y717" s="211"/>
      <c r="Z717" s="211"/>
      <c r="AA717" s="211"/>
      <c r="AB717" s="212"/>
      <c r="AD717" s="212"/>
      <c r="AF717" s="475"/>
      <c r="AM717" s="212"/>
    </row>
    <row r="718" spans="1:39" x14ac:dyDescent="0.35">
      <c r="A718" s="212"/>
      <c r="B718" s="539"/>
      <c r="D718" s="212"/>
      <c r="F718" s="212"/>
      <c r="G718" s="212"/>
      <c r="J718" s="539"/>
      <c r="S718" s="212"/>
      <c r="U718" s="539"/>
      <c r="V718" s="539"/>
      <c r="W718" s="540"/>
      <c r="X718" s="211"/>
      <c r="Y718" s="211"/>
      <c r="Z718" s="211"/>
      <c r="AA718" s="211"/>
      <c r="AB718" s="212"/>
      <c r="AD718" s="212"/>
      <c r="AF718" s="475"/>
      <c r="AM718" s="212"/>
    </row>
    <row r="719" spans="1:39" x14ac:dyDescent="0.35">
      <c r="A719" s="212"/>
      <c r="B719" s="539"/>
      <c r="D719" s="212"/>
      <c r="F719" s="212"/>
      <c r="G719" s="212"/>
      <c r="J719" s="539"/>
      <c r="S719" s="212"/>
      <c r="U719" s="539"/>
      <c r="V719" s="539"/>
      <c r="W719" s="540"/>
      <c r="X719" s="211"/>
      <c r="Y719" s="211"/>
      <c r="Z719" s="211"/>
      <c r="AA719" s="211"/>
      <c r="AB719" s="212"/>
      <c r="AD719" s="212"/>
      <c r="AF719" s="475"/>
      <c r="AM719" s="212"/>
    </row>
    <row r="720" spans="1:39" x14ac:dyDescent="0.35">
      <c r="A720" s="212"/>
      <c r="B720" s="539"/>
      <c r="D720" s="212"/>
      <c r="F720" s="212"/>
      <c r="G720" s="212"/>
      <c r="J720" s="539"/>
      <c r="S720" s="212"/>
      <c r="U720" s="539"/>
      <c r="V720" s="539"/>
      <c r="W720" s="540"/>
      <c r="X720" s="211"/>
      <c r="Y720" s="211"/>
      <c r="Z720" s="211"/>
      <c r="AA720" s="211"/>
      <c r="AB720" s="212"/>
      <c r="AD720" s="212"/>
      <c r="AF720" s="475"/>
      <c r="AM720" s="212"/>
    </row>
    <row r="721" spans="1:39" x14ac:dyDescent="0.35">
      <c r="A721" s="212"/>
      <c r="B721" s="539"/>
      <c r="D721" s="212"/>
      <c r="F721" s="212"/>
      <c r="G721" s="212"/>
      <c r="J721" s="539"/>
      <c r="S721" s="212"/>
      <c r="U721" s="539"/>
      <c r="V721" s="539"/>
      <c r="W721" s="540"/>
      <c r="X721" s="211"/>
      <c r="Y721" s="211"/>
      <c r="Z721" s="211"/>
      <c r="AA721" s="211"/>
      <c r="AB721" s="212"/>
      <c r="AD721" s="212"/>
      <c r="AF721" s="475"/>
      <c r="AM721" s="212"/>
    </row>
    <row r="722" spans="1:39" x14ac:dyDescent="0.35">
      <c r="A722" s="212"/>
      <c r="B722" s="539"/>
      <c r="D722" s="212"/>
      <c r="F722" s="212"/>
      <c r="G722" s="212"/>
      <c r="J722" s="539"/>
      <c r="S722" s="212"/>
      <c r="U722" s="539"/>
      <c r="V722" s="539"/>
      <c r="W722" s="540"/>
      <c r="X722" s="211"/>
      <c r="Y722" s="211"/>
      <c r="Z722" s="211"/>
      <c r="AA722" s="211"/>
      <c r="AB722" s="212"/>
      <c r="AD722" s="212"/>
      <c r="AF722" s="475"/>
      <c r="AM722" s="212"/>
    </row>
    <row r="723" spans="1:39" x14ac:dyDescent="0.35">
      <c r="A723" s="212"/>
      <c r="B723" s="539"/>
      <c r="D723" s="212"/>
      <c r="F723" s="212"/>
      <c r="G723" s="212"/>
      <c r="J723" s="539"/>
      <c r="S723" s="212"/>
      <c r="U723" s="539"/>
      <c r="V723" s="539"/>
      <c r="W723" s="540"/>
      <c r="X723" s="211"/>
      <c r="Y723" s="211"/>
      <c r="Z723" s="211"/>
      <c r="AA723" s="211"/>
      <c r="AB723" s="212"/>
      <c r="AD723" s="212"/>
      <c r="AF723" s="475"/>
      <c r="AM723" s="212"/>
    </row>
    <row r="724" spans="1:39" x14ac:dyDescent="0.35">
      <c r="A724" s="212"/>
      <c r="B724" s="539"/>
      <c r="D724" s="212"/>
      <c r="F724" s="212"/>
      <c r="G724" s="212"/>
      <c r="J724" s="539"/>
      <c r="S724" s="212"/>
      <c r="U724" s="539"/>
      <c r="V724" s="539"/>
      <c r="W724" s="540"/>
      <c r="X724" s="211"/>
      <c r="Y724" s="211"/>
      <c r="Z724" s="211"/>
      <c r="AA724" s="211"/>
      <c r="AB724" s="212"/>
      <c r="AD724" s="212"/>
      <c r="AF724" s="475"/>
      <c r="AM724" s="212"/>
    </row>
    <row r="725" spans="1:39" x14ac:dyDescent="0.35">
      <c r="A725" s="212"/>
      <c r="B725" s="539"/>
      <c r="D725" s="212"/>
      <c r="F725" s="212"/>
      <c r="G725" s="212"/>
      <c r="J725" s="539"/>
      <c r="S725" s="212"/>
      <c r="U725" s="539"/>
      <c r="V725" s="539"/>
      <c r="W725" s="540"/>
      <c r="X725" s="211"/>
      <c r="Y725" s="211"/>
      <c r="Z725" s="211"/>
      <c r="AA725" s="211"/>
      <c r="AB725" s="212"/>
      <c r="AD725" s="212"/>
      <c r="AF725" s="475"/>
      <c r="AM725" s="212"/>
    </row>
    <row r="726" spans="1:39" x14ac:dyDescent="0.35">
      <c r="A726" s="212"/>
      <c r="B726" s="539"/>
      <c r="D726" s="212"/>
      <c r="F726" s="212"/>
      <c r="G726" s="212"/>
      <c r="J726" s="539"/>
      <c r="S726" s="212"/>
      <c r="U726" s="539"/>
      <c r="V726" s="539"/>
      <c r="W726" s="540"/>
      <c r="X726" s="211"/>
      <c r="Y726" s="211"/>
      <c r="Z726" s="211"/>
      <c r="AA726" s="211"/>
      <c r="AB726" s="212"/>
      <c r="AD726" s="212"/>
      <c r="AF726" s="475"/>
      <c r="AM726" s="212"/>
    </row>
    <row r="727" spans="1:39" x14ac:dyDescent="0.35">
      <c r="A727" s="212"/>
      <c r="B727" s="539"/>
      <c r="D727" s="212"/>
      <c r="F727" s="212"/>
      <c r="G727" s="212"/>
      <c r="J727" s="539"/>
      <c r="S727" s="212"/>
      <c r="U727" s="539"/>
      <c r="V727" s="539"/>
      <c r="W727" s="540"/>
      <c r="X727" s="211"/>
      <c r="Y727" s="211"/>
      <c r="Z727" s="211"/>
      <c r="AA727" s="211"/>
      <c r="AB727" s="212"/>
      <c r="AD727" s="212"/>
      <c r="AF727" s="475"/>
      <c r="AM727" s="212"/>
    </row>
    <row r="728" spans="1:39" x14ac:dyDescent="0.35">
      <c r="A728" s="212"/>
      <c r="B728" s="539"/>
      <c r="D728" s="212"/>
      <c r="F728" s="212"/>
      <c r="G728" s="212"/>
      <c r="J728" s="539"/>
      <c r="S728" s="212"/>
      <c r="U728" s="539"/>
      <c r="V728" s="539"/>
      <c r="W728" s="540"/>
      <c r="X728" s="211"/>
      <c r="Y728" s="211"/>
      <c r="Z728" s="211"/>
      <c r="AA728" s="211"/>
      <c r="AB728" s="212"/>
      <c r="AD728" s="212"/>
      <c r="AF728" s="475"/>
      <c r="AM728" s="212"/>
    </row>
    <row r="729" spans="1:39" x14ac:dyDescent="0.35">
      <c r="A729" s="212"/>
      <c r="B729" s="539"/>
      <c r="D729" s="212"/>
      <c r="F729" s="212"/>
      <c r="G729" s="212"/>
      <c r="J729" s="539"/>
      <c r="S729" s="212"/>
      <c r="U729" s="539"/>
      <c r="V729" s="539"/>
      <c r="W729" s="540"/>
      <c r="X729" s="211"/>
      <c r="Y729" s="211"/>
      <c r="Z729" s="211"/>
      <c r="AA729" s="211"/>
      <c r="AB729" s="212"/>
      <c r="AD729" s="212"/>
      <c r="AF729" s="475"/>
      <c r="AM729" s="212"/>
    </row>
    <row r="730" spans="1:39" x14ac:dyDescent="0.35">
      <c r="A730" s="212"/>
      <c r="B730" s="539"/>
      <c r="D730" s="212"/>
      <c r="F730" s="212"/>
      <c r="G730" s="212"/>
      <c r="J730" s="539"/>
      <c r="S730" s="212"/>
      <c r="U730" s="539"/>
      <c r="V730" s="539"/>
      <c r="W730" s="540"/>
      <c r="X730" s="211"/>
      <c r="Y730" s="211"/>
      <c r="Z730" s="211"/>
      <c r="AA730" s="211"/>
      <c r="AB730" s="212"/>
      <c r="AD730" s="212"/>
      <c r="AF730" s="475"/>
      <c r="AM730" s="212"/>
    </row>
    <row r="731" spans="1:39" x14ac:dyDescent="0.35">
      <c r="A731" s="212"/>
      <c r="B731" s="539"/>
      <c r="D731" s="212"/>
      <c r="F731" s="212"/>
      <c r="G731" s="212"/>
      <c r="J731" s="539"/>
      <c r="S731" s="212"/>
      <c r="U731" s="539"/>
      <c r="V731" s="539"/>
      <c r="W731" s="540"/>
      <c r="X731" s="211"/>
      <c r="Y731" s="211"/>
      <c r="Z731" s="211"/>
      <c r="AA731" s="211"/>
      <c r="AB731" s="212"/>
      <c r="AD731" s="212"/>
      <c r="AF731" s="475"/>
      <c r="AM731" s="212"/>
    </row>
    <row r="732" spans="1:39" x14ac:dyDescent="0.35">
      <c r="A732" s="212"/>
      <c r="B732" s="539"/>
      <c r="D732" s="212"/>
      <c r="F732" s="212"/>
      <c r="G732" s="212"/>
      <c r="J732" s="539"/>
      <c r="S732" s="212"/>
      <c r="U732" s="539"/>
      <c r="V732" s="539"/>
      <c r="W732" s="540"/>
      <c r="X732" s="211"/>
      <c r="Y732" s="211"/>
      <c r="Z732" s="211"/>
      <c r="AA732" s="211"/>
      <c r="AB732" s="212"/>
      <c r="AD732" s="212"/>
      <c r="AF732" s="475"/>
      <c r="AM732" s="212"/>
    </row>
    <row r="733" spans="1:39" x14ac:dyDescent="0.35">
      <c r="A733" s="212"/>
      <c r="B733" s="539"/>
      <c r="D733" s="212"/>
      <c r="F733" s="212"/>
      <c r="G733" s="212"/>
      <c r="J733" s="539"/>
      <c r="S733" s="212"/>
      <c r="U733" s="539"/>
      <c r="V733" s="539"/>
      <c r="W733" s="540"/>
      <c r="X733" s="211"/>
      <c r="Y733" s="211"/>
      <c r="Z733" s="211"/>
      <c r="AA733" s="211"/>
      <c r="AB733" s="212"/>
      <c r="AD733" s="212"/>
      <c r="AF733" s="475"/>
      <c r="AM733" s="212"/>
    </row>
    <row r="734" spans="1:39" x14ac:dyDescent="0.35">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x14ac:dyDescent="0.35">
      <c r="A735" s="212"/>
      <c r="B735" s="539"/>
      <c r="D735" s="212"/>
      <c r="F735" s="212"/>
      <c r="G735" s="212"/>
      <c r="J735" s="539"/>
      <c r="S735" s="212"/>
      <c r="U735" s="539"/>
      <c r="V735" s="539"/>
      <c r="W735" s="540"/>
      <c r="X735" s="211"/>
      <c r="Y735" s="211"/>
      <c r="Z735" s="211"/>
      <c r="AA735" s="211"/>
      <c r="AB735" s="212"/>
      <c r="AD735" s="212"/>
      <c r="AF735" s="475"/>
    </row>
    <row r="736" spans="1:39" x14ac:dyDescent="0.35">
      <c r="A736" s="212"/>
      <c r="B736" s="539"/>
      <c r="D736" s="212"/>
      <c r="F736" s="212"/>
      <c r="G736" s="212"/>
      <c r="J736" s="539"/>
      <c r="S736" s="212"/>
      <c r="U736" s="539"/>
      <c r="V736" s="539"/>
      <c r="W736" s="540"/>
      <c r="X736" s="211"/>
      <c r="Y736" s="211"/>
      <c r="Z736" s="211"/>
      <c r="AA736" s="211"/>
      <c r="AB736" s="212"/>
      <c r="AD736" s="212"/>
      <c r="AF736" s="475"/>
    </row>
    <row r="737" spans="1:32" x14ac:dyDescent="0.35">
      <c r="A737" s="212"/>
      <c r="B737" s="539"/>
      <c r="D737" s="212"/>
      <c r="F737" s="212"/>
      <c r="G737" s="212"/>
      <c r="J737" s="539"/>
      <c r="S737" s="212"/>
      <c r="U737" s="539"/>
      <c r="V737" s="539"/>
      <c r="W737" s="540"/>
      <c r="X737" s="211"/>
      <c r="Y737" s="211"/>
      <c r="Z737" s="211"/>
      <c r="AA737" s="211"/>
      <c r="AB737" s="212"/>
      <c r="AD737" s="212"/>
      <c r="AF737" s="475"/>
    </row>
    <row r="738" spans="1:32" x14ac:dyDescent="0.35">
      <c r="A738" s="212"/>
      <c r="B738" s="539"/>
      <c r="D738" s="212"/>
      <c r="F738" s="212"/>
      <c r="G738" s="212"/>
      <c r="J738" s="539"/>
      <c r="S738" s="212"/>
      <c r="U738" s="539"/>
      <c r="V738" s="539"/>
      <c r="W738" s="540"/>
      <c r="X738" s="211"/>
      <c r="Y738" s="211"/>
      <c r="Z738" s="211"/>
      <c r="AA738" s="211"/>
      <c r="AB738" s="212"/>
      <c r="AD738" s="212"/>
      <c r="AF738" s="475"/>
    </row>
    <row r="739" spans="1:32" x14ac:dyDescent="0.35">
      <c r="A739" s="212"/>
      <c r="B739" s="539"/>
      <c r="D739" s="212"/>
      <c r="F739" s="212"/>
      <c r="G739" s="212"/>
      <c r="J739" s="539"/>
      <c r="S739" s="212"/>
      <c r="U739" s="539"/>
      <c r="V739" s="539"/>
      <c r="W739" s="540"/>
      <c r="X739" s="211"/>
      <c r="Y739" s="211"/>
      <c r="Z739" s="211"/>
      <c r="AA739" s="211"/>
      <c r="AB739" s="212"/>
      <c r="AD739" s="212"/>
      <c r="AF739" s="475"/>
    </row>
    <row r="740" spans="1:32" x14ac:dyDescent="0.35">
      <c r="A740" s="212"/>
      <c r="B740" s="539"/>
      <c r="D740" s="212"/>
      <c r="F740" s="212"/>
      <c r="G740" s="212"/>
      <c r="J740" s="539"/>
      <c r="S740" s="212"/>
      <c r="U740" s="539"/>
      <c r="V740" s="539"/>
      <c r="W740" s="540"/>
      <c r="X740" s="211"/>
      <c r="Y740" s="211"/>
      <c r="Z740" s="211"/>
      <c r="AA740" s="211"/>
      <c r="AB740" s="212"/>
      <c r="AD740" s="212"/>
      <c r="AF740" s="475"/>
    </row>
    <row r="741" spans="1:32" x14ac:dyDescent="0.35">
      <c r="A741" s="212"/>
      <c r="B741" s="539"/>
      <c r="D741" s="212"/>
      <c r="F741" s="212"/>
      <c r="G741" s="212"/>
      <c r="J741" s="539"/>
      <c r="S741" s="212"/>
      <c r="U741" s="539"/>
      <c r="V741" s="539"/>
      <c r="W741" s="540"/>
      <c r="X741" s="211"/>
      <c r="Y741" s="211"/>
      <c r="Z741" s="211"/>
      <c r="AA741" s="211"/>
      <c r="AB741" s="212"/>
      <c r="AD741" s="212"/>
      <c r="AF741" s="475"/>
    </row>
    <row r="742" spans="1:32" x14ac:dyDescent="0.35">
      <c r="A742" s="212"/>
      <c r="B742" s="539"/>
      <c r="D742" s="212"/>
      <c r="F742" s="212"/>
      <c r="G742" s="212"/>
      <c r="J742" s="539"/>
      <c r="S742" s="212"/>
      <c r="U742" s="539"/>
      <c r="V742" s="539"/>
      <c r="W742" s="540"/>
      <c r="X742" s="211"/>
      <c r="Y742" s="211"/>
      <c r="Z742" s="211"/>
      <c r="AA742" s="211"/>
      <c r="AB742" s="212"/>
      <c r="AD742" s="212"/>
      <c r="AF742" s="475"/>
    </row>
    <row r="743" spans="1:32" x14ac:dyDescent="0.35">
      <c r="A743" s="212"/>
      <c r="B743" s="539"/>
      <c r="D743" s="212"/>
      <c r="F743" s="212"/>
      <c r="G743" s="212"/>
      <c r="J743" s="539"/>
      <c r="S743" s="212"/>
      <c r="U743" s="539"/>
      <c r="V743" s="539"/>
      <c r="W743" s="540"/>
      <c r="X743" s="211"/>
      <c r="Y743" s="211"/>
      <c r="Z743" s="211"/>
      <c r="AA743" s="211"/>
      <c r="AB743" s="212"/>
      <c r="AD743" s="212"/>
      <c r="AF743" s="475"/>
    </row>
    <row r="744" spans="1:32" x14ac:dyDescent="0.35">
      <c r="A744" s="212"/>
      <c r="B744" s="539"/>
      <c r="D744" s="212"/>
      <c r="F744" s="212"/>
      <c r="G744" s="212"/>
      <c r="J744" s="539"/>
      <c r="S744" s="212"/>
      <c r="U744" s="539"/>
      <c r="V744" s="539"/>
      <c r="W744" s="540"/>
      <c r="X744" s="211"/>
      <c r="Y744" s="211"/>
      <c r="Z744" s="211"/>
      <c r="AA744" s="211"/>
      <c r="AB744" s="212"/>
      <c r="AD744" s="212"/>
      <c r="AF744" s="475"/>
    </row>
    <row r="745" spans="1:32" x14ac:dyDescent="0.35">
      <c r="A745" s="212"/>
      <c r="B745" s="539"/>
      <c r="D745" s="212"/>
      <c r="F745" s="212"/>
      <c r="G745" s="212"/>
      <c r="J745" s="539"/>
      <c r="S745" s="212"/>
      <c r="U745" s="539"/>
      <c r="V745" s="539"/>
      <c r="W745" s="540"/>
      <c r="X745" s="211"/>
      <c r="Y745" s="211"/>
      <c r="Z745" s="211"/>
      <c r="AA745" s="211"/>
      <c r="AB745" s="212"/>
      <c r="AD745" s="212"/>
      <c r="AF745" s="475"/>
    </row>
    <row r="746" spans="1:32" x14ac:dyDescent="0.35">
      <c r="A746" s="212"/>
      <c r="B746" s="539"/>
      <c r="D746" s="212"/>
      <c r="F746" s="212"/>
      <c r="G746" s="212"/>
      <c r="J746" s="539"/>
      <c r="S746" s="212"/>
      <c r="U746" s="539"/>
      <c r="V746" s="539"/>
      <c r="W746" s="540"/>
      <c r="X746" s="211"/>
      <c r="Y746" s="211"/>
      <c r="Z746" s="211"/>
      <c r="AA746" s="211"/>
      <c r="AB746" s="212"/>
      <c r="AD746" s="212"/>
      <c r="AF746" s="475"/>
    </row>
    <row r="747" spans="1:32" x14ac:dyDescent="0.35">
      <c r="A747" s="212"/>
      <c r="B747" s="539"/>
      <c r="D747" s="212"/>
      <c r="F747" s="212"/>
      <c r="G747" s="212"/>
      <c r="J747" s="539"/>
      <c r="S747" s="212"/>
      <c r="U747" s="539"/>
      <c r="V747" s="539"/>
      <c r="W747" s="540"/>
      <c r="X747" s="211"/>
      <c r="Y747" s="211"/>
      <c r="Z747" s="211"/>
      <c r="AA747" s="211"/>
      <c r="AB747" s="212"/>
      <c r="AD747" s="212"/>
      <c r="AF747" s="475"/>
    </row>
    <row r="748" spans="1:32" x14ac:dyDescent="0.35">
      <c r="A748" s="212"/>
      <c r="B748" s="539"/>
      <c r="D748" s="212"/>
      <c r="F748" s="212"/>
      <c r="G748" s="212"/>
      <c r="J748" s="539"/>
      <c r="S748" s="212"/>
      <c r="U748" s="539"/>
      <c r="V748" s="539"/>
      <c r="W748" s="540"/>
      <c r="X748" s="211"/>
      <c r="Y748" s="211"/>
      <c r="Z748" s="211"/>
      <c r="AA748" s="211"/>
      <c r="AB748" s="212"/>
      <c r="AD748" s="212"/>
      <c r="AF748" s="475"/>
    </row>
    <row r="749" spans="1:32" x14ac:dyDescent="0.35">
      <c r="A749" s="212"/>
      <c r="B749" s="539"/>
      <c r="D749" s="212"/>
      <c r="F749" s="212"/>
      <c r="G749" s="212"/>
      <c r="J749" s="539"/>
      <c r="S749" s="212"/>
      <c r="U749" s="539"/>
      <c r="V749" s="539"/>
      <c r="W749" s="540"/>
      <c r="X749" s="211"/>
      <c r="Y749" s="211"/>
      <c r="Z749" s="211"/>
      <c r="AA749" s="211"/>
      <c r="AB749" s="212"/>
      <c r="AD749" s="212"/>
      <c r="AF749" s="475"/>
    </row>
    <row r="750" spans="1:32" x14ac:dyDescent="0.35">
      <c r="A750" s="212"/>
      <c r="B750" s="539"/>
      <c r="D750" s="212"/>
      <c r="F750" s="212"/>
      <c r="G750" s="212"/>
      <c r="J750" s="539"/>
      <c r="S750" s="212"/>
      <c r="U750" s="539"/>
      <c r="V750" s="539"/>
      <c r="W750" s="540"/>
      <c r="X750" s="211"/>
      <c r="Y750" s="211"/>
      <c r="Z750" s="211"/>
      <c r="AA750" s="211"/>
      <c r="AB750" s="212"/>
      <c r="AD750" s="212"/>
      <c r="AF750" s="475"/>
    </row>
    <row r="751" spans="1:32" x14ac:dyDescent="0.35">
      <c r="A751" s="212"/>
      <c r="B751" s="539"/>
      <c r="D751" s="212"/>
      <c r="F751" s="212"/>
      <c r="G751" s="212"/>
      <c r="J751" s="539"/>
      <c r="S751" s="212"/>
      <c r="U751" s="539"/>
      <c r="V751" s="539"/>
      <c r="W751" s="540"/>
      <c r="X751" s="211"/>
      <c r="Y751" s="211"/>
      <c r="Z751" s="211"/>
      <c r="AA751" s="211"/>
      <c r="AB751" s="212"/>
      <c r="AD751" s="212"/>
      <c r="AF751" s="475"/>
    </row>
    <row r="752" spans="1:32" x14ac:dyDescent="0.35">
      <c r="A752" s="212"/>
      <c r="B752" s="539"/>
      <c r="D752" s="212"/>
      <c r="F752" s="212"/>
      <c r="G752" s="212"/>
      <c r="J752" s="539"/>
      <c r="S752" s="212"/>
      <c r="U752" s="539"/>
      <c r="V752" s="539"/>
      <c r="W752" s="540"/>
      <c r="X752" s="211"/>
      <c r="Y752" s="211"/>
      <c r="Z752" s="211"/>
      <c r="AA752" s="211"/>
      <c r="AB752" s="212"/>
      <c r="AD752" s="212"/>
      <c r="AF752" s="475"/>
    </row>
    <row r="753" spans="1:32" x14ac:dyDescent="0.35">
      <c r="A753" s="212"/>
      <c r="B753" s="539"/>
      <c r="D753" s="212"/>
      <c r="F753" s="212"/>
      <c r="G753" s="212"/>
      <c r="J753" s="539"/>
      <c r="S753" s="212"/>
      <c r="U753" s="539"/>
      <c r="V753" s="539"/>
      <c r="W753" s="540"/>
      <c r="X753" s="211"/>
      <c r="Y753" s="211"/>
      <c r="Z753" s="211"/>
      <c r="AA753" s="211"/>
      <c r="AB753" s="212"/>
      <c r="AD753" s="212"/>
      <c r="AF753" s="475"/>
    </row>
    <row r="754" spans="1:32" x14ac:dyDescent="0.35">
      <c r="A754" s="212"/>
      <c r="B754" s="539"/>
      <c r="D754" s="212"/>
      <c r="F754" s="212"/>
      <c r="G754" s="212"/>
      <c r="J754" s="539"/>
      <c r="S754" s="212"/>
      <c r="U754" s="539"/>
      <c r="V754" s="539"/>
      <c r="W754" s="540"/>
      <c r="X754" s="211"/>
      <c r="Y754" s="211"/>
      <c r="Z754" s="211"/>
      <c r="AA754" s="211"/>
      <c r="AB754" s="212"/>
      <c r="AD754" s="212"/>
      <c r="AF754" s="475"/>
    </row>
    <row r="755" spans="1:32" x14ac:dyDescent="0.35">
      <c r="A755" s="212"/>
      <c r="B755" s="539"/>
      <c r="D755" s="212"/>
      <c r="F755" s="212"/>
      <c r="G755" s="212"/>
      <c r="J755" s="539"/>
      <c r="S755" s="212"/>
      <c r="U755" s="539"/>
      <c r="V755" s="539"/>
      <c r="W755" s="540"/>
      <c r="X755" s="211"/>
      <c r="Y755" s="211"/>
      <c r="Z755" s="211"/>
      <c r="AA755" s="211"/>
      <c r="AB755" s="212"/>
      <c r="AD755" s="212"/>
      <c r="AF755" s="475"/>
    </row>
    <row r="756" spans="1:32" x14ac:dyDescent="0.35">
      <c r="A756" s="212"/>
      <c r="B756" s="539"/>
      <c r="D756" s="212"/>
      <c r="F756" s="212"/>
      <c r="G756" s="212"/>
      <c r="J756" s="539"/>
      <c r="S756" s="212"/>
      <c r="U756" s="539"/>
      <c r="V756" s="539"/>
      <c r="W756" s="540"/>
      <c r="X756" s="211"/>
      <c r="Y756" s="211"/>
      <c r="Z756" s="211"/>
      <c r="AA756" s="211"/>
      <c r="AB756" s="212"/>
      <c r="AD756" s="212"/>
      <c r="AF756" s="475"/>
    </row>
    <row r="757" spans="1:32" x14ac:dyDescent="0.35">
      <c r="A757" s="212"/>
      <c r="B757" s="539"/>
      <c r="D757" s="212"/>
      <c r="F757" s="212"/>
      <c r="G757" s="212"/>
      <c r="J757" s="539"/>
      <c r="S757" s="212"/>
      <c r="U757" s="539"/>
      <c r="V757" s="539"/>
      <c r="W757" s="540"/>
      <c r="X757" s="211"/>
      <c r="Y757" s="211"/>
      <c r="Z757" s="211"/>
      <c r="AA757" s="211"/>
      <c r="AB757" s="212"/>
      <c r="AD757" s="212"/>
      <c r="AF757" s="475"/>
    </row>
    <row r="758" spans="1:32" x14ac:dyDescent="0.35">
      <c r="A758" s="212"/>
      <c r="B758" s="539"/>
      <c r="D758" s="212"/>
      <c r="F758" s="212"/>
      <c r="G758" s="212"/>
      <c r="J758" s="539"/>
      <c r="S758" s="212"/>
      <c r="U758" s="539"/>
      <c r="V758" s="539"/>
      <c r="W758" s="540"/>
      <c r="X758" s="211"/>
      <c r="Y758" s="211"/>
      <c r="Z758" s="211"/>
      <c r="AA758" s="211"/>
      <c r="AB758" s="212"/>
      <c r="AD758" s="212"/>
      <c r="AF758" s="475"/>
    </row>
    <row r="759" spans="1:32" x14ac:dyDescent="0.35">
      <c r="A759" s="212"/>
      <c r="B759" s="539"/>
      <c r="D759" s="212"/>
      <c r="F759" s="212"/>
      <c r="G759" s="212"/>
      <c r="J759" s="539"/>
      <c r="S759" s="212"/>
      <c r="U759" s="539"/>
      <c r="V759" s="539"/>
      <c r="W759" s="540"/>
      <c r="X759" s="211"/>
      <c r="Y759" s="211"/>
      <c r="Z759" s="211"/>
      <c r="AA759" s="211"/>
      <c r="AB759" s="212"/>
      <c r="AD759" s="212"/>
      <c r="AF759" s="475"/>
    </row>
    <row r="760" spans="1:32" x14ac:dyDescent="0.35">
      <c r="A760" s="212"/>
      <c r="B760" s="539"/>
      <c r="D760" s="212"/>
      <c r="F760" s="212"/>
      <c r="G760" s="212"/>
      <c r="J760" s="539"/>
      <c r="S760" s="212"/>
      <c r="U760" s="539"/>
      <c r="V760" s="539"/>
      <c r="W760" s="540"/>
      <c r="X760" s="211"/>
      <c r="Y760" s="211"/>
      <c r="Z760" s="211"/>
      <c r="AA760" s="211"/>
      <c r="AB760" s="212"/>
      <c r="AD760" s="212"/>
      <c r="AF760" s="475"/>
    </row>
    <row r="761" spans="1:32" x14ac:dyDescent="0.35">
      <c r="A761" s="212"/>
      <c r="B761" s="539"/>
      <c r="D761" s="212"/>
      <c r="F761" s="212"/>
      <c r="G761" s="212"/>
      <c r="J761" s="539"/>
      <c r="S761" s="212"/>
      <c r="U761" s="539"/>
      <c r="V761" s="539"/>
      <c r="W761" s="540"/>
      <c r="X761" s="211"/>
      <c r="Y761" s="211"/>
      <c r="Z761" s="211"/>
      <c r="AA761" s="211"/>
      <c r="AB761" s="212"/>
      <c r="AD761" s="212"/>
      <c r="AF761" s="475"/>
    </row>
    <row r="762" spans="1:32" x14ac:dyDescent="0.35">
      <c r="A762" s="212"/>
      <c r="B762" s="539"/>
      <c r="D762" s="212"/>
      <c r="F762" s="212"/>
      <c r="G762" s="212"/>
      <c r="J762" s="539"/>
      <c r="S762" s="212"/>
      <c r="U762" s="539"/>
      <c r="V762" s="539"/>
      <c r="W762" s="540"/>
      <c r="X762" s="211"/>
      <c r="Y762" s="211"/>
      <c r="Z762" s="211"/>
      <c r="AA762" s="211"/>
      <c r="AB762" s="212"/>
      <c r="AD762" s="212"/>
      <c r="AF762" s="475"/>
    </row>
    <row r="763" spans="1:32" x14ac:dyDescent="0.35">
      <c r="A763" s="212"/>
      <c r="B763" s="539"/>
      <c r="D763" s="212"/>
      <c r="F763" s="212"/>
      <c r="G763" s="212"/>
      <c r="J763" s="539"/>
      <c r="S763" s="212"/>
      <c r="U763" s="539"/>
      <c r="V763" s="539"/>
      <c r="W763" s="540"/>
      <c r="X763" s="211"/>
      <c r="Y763" s="211"/>
      <c r="Z763" s="211"/>
      <c r="AA763" s="211"/>
      <c r="AB763" s="212"/>
      <c r="AD763" s="212"/>
      <c r="AF763" s="475"/>
    </row>
    <row r="764" spans="1:32" x14ac:dyDescent="0.35">
      <c r="A764" s="212"/>
      <c r="B764" s="539"/>
      <c r="D764" s="212"/>
      <c r="F764" s="212"/>
      <c r="G764" s="212"/>
      <c r="J764" s="539"/>
      <c r="S764" s="212"/>
      <c r="U764" s="539"/>
      <c r="V764" s="539"/>
      <c r="W764" s="540"/>
      <c r="X764" s="211"/>
      <c r="Y764" s="211"/>
      <c r="Z764" s="211"/>
      <c r="AA764" s="211"/>
      <c r="AB764" s="212"/>
      <c r="AD764" s="212"/>
      <c r="AF764" s="475"/>
    </row>
    <row r="765" spans="1:32" x14ac:dyDescent="0.35">
      <c r="A765" s="212"/>
      <c r="B765" s="539"/>
      <c r="D765" s="212"/>
      <c r="F765" s="212"/>
      <c r="G765" s="212"/>
      <c r="J765" s="539"/>
      <c r="S765" s="212"/>
      <c r="U765" s="539"/>
      <c r="V765" s="539"/>
      <c r="W765" s="540"/>
      <c r="X765" s="211"/>
      <c r="Y765" s="211"/>
      <c r="Z765" s="211"/>
      <c r="AA765" s="211"/>
      <c r="AB765" s="212"/>
      <c r="AD765" s="212"/>
      <c r="AF765" s="475"/>
    </row>
    <row r="766" spans="1:32" x14ac:dyDescent="0.35">
      <c r="A766" s="212"/>
      <c r="B766" s="539"/>
      <c r="D766" s="212"/>
      <c r="F766" s="212"/>
      <c r="G766" s="212"/>
      <c r="J766" s="539"/>
      <c r="S766" s="212"/>
      <c r="U766" s="539"/>
      <c r="V766" s="539"/>
      <c r="W766" s="540"/>
      <c r="X766" s="211"/>
      <c r="Y766" s="211"/>
      <c r="Z766" s="211"/>
      <c r="AA766" s="211"/>
      <c r="AB766" s="212"/>
      <c r="AD766" s="212"/>
      <c r="AF766" s="475"/>
    </row>
    <row r="767" spans="1:32" x14ac:dyDescent="0.35">
      <c r="A767" s="212"/>
      <c r="B767" s="539"/>
      <c r="D767" s="212"/>
      <c r="F767" s="212"/>
      <c r="G767" s="212"/>
      <c r="J767" s="539"/>
      <c r="S767" s="212"/>
      <c r="U767" s="539"/>
      <c r="V767" s="539"/>
      <c r="W767" s="540"/>
      <c r="X767" s="211"/>
      <c r="Y767" s="211"/>
      <c r="Z767" s="211"/>
      <c r="AA767" s="211"/>
      <c r="AB767" s="212"/>
      <c r="AD767" s="212"/>
      <c r="AF767" s="475"/>
    </row>
    <row r="768" spans="1:32" x14ac:dyDescent="0.35">
      <c r="A768" s="212"/>
      <c r="B768" s="539"/>
      <c r="D768" s="212"/>
      <c r="F768" s="212"/>
      <c r="G768" s="212"/>
      <c r="J768" s="539"/>
      <c r="S768" s="212"/>
      <c r="U768" s="539"/>
      <c r="V768" s="539"/>
      <c r="W768" s="540"/>
      <c r="X768" s="211"/>
      <c r="Y768" s="211"/>
      <c r="Z768" s="211"/>
      <c r="AA768" s="211"/>
      <c r="AB768" s="212"/>
      <c r="AD768" s="212"/>
      <c r="AF768" s="475"/>
    </row>
    <row r="769" spans="1:32" x14ac:dyDescent="0.35">
      <c r="A769" s="212"/>
      <c r="B769" s="539"/>
      <c r="D769" s="212"/>
      <c r="F769" s="212"/>
      <c r="G769" s="212"/>
      <c r="J769" s="539"/>
      <c r="S769" s="212"/>
      <c r="U769" s="539"/>
      <c r="V769" s="539"/>
      <c r="W769" s="540"/>
      <c r="X769" s="211"/>
      <c r="Y769" s="211"/>
      <c r="Z769" s="211"/>
      <c r="AA769" s="211"/>
      <c r="AB769" s="212"/>
      <c r="AD769" s="212"/>
      <c r="AF769" s="475"/>
    </row>
    <row r="770" spans="1:32" x14ac:dyDescent="0.35">
      <c r="A770" s="212"/>
      <c r="B770" s="539"/>
      <c r="D770" s="212"/>
      <c r="F770" s="212"/>
      <c r="G770" s="212"/>
      <c r="J770" s="539"/>
      <c r="S770" s="212"/>
      <c r="U770" s="539"/>
      <c r="V770" s="539"/>
      <c r="W770" s="540"/>
      <c r="X770" s="211"/>
      <c r="Y770" s="211"/>
      <c r="Z770" s="211"/>
      <c r="AA770" s="211"/>
      <c r="AB770" s="212"/>
      <c r="AD770" s="212"/>
      <c r="AF770" s="475"/>
    </row>
    <row r="771" spans="1:32" x14ac:dyDescent="0.35">
      <c r="A771" s="212"/>
      <c r="B771" s="539"/>
      <c r="D771" s="212"/>
      <c r="F771" s="212"/>
      <c r="G771" s="212"/>
      <c r="J771" s="539"/>
      <c r="S771" s="212"/>
      <c r="U771" s="539"/>
      <c r="V771" s="539"/>
      <c r="W771" s="540"/>
      <c r="X771" s="211"/>
      <c r="Y771" s="211"/>
      <c r="Z771" s="211"/>
      <c r="AA771" s="211"/>
      <c r="AB771" s="212"/>
      <c r="AD771" s="212"/>
      <c r="AF771" s="475"/>
    </row>
    <row r="772" spans="1:32" x14ac:dyDescent="0.35">
      <c r="A772" s="212"/>
      <c r="B772" s="539"/>
      <c r="D772" s="212"/>
      <c r="F772" s="212"/>
      <c r="G772" s="212"/>
      <c r="J772" s="539"/>
      <c r="S772" s="212"/>
      <c r="U772" s="539"/>
      <c r="V772" s="539"/>
      <c r="W772" s="540"/>
      <c r="X772" s="211"/>
      <c r="Y772" s="211"/>
      <c r="Z772" s="211"/>
      <c r="AA772" s="211"/>
      <c r="AB772" s="212"/>
      <c r="AD772" s="212"/>
      <c r="AF772" s="475"/>
    </row>
    <row r="773" spans="1:32" x14ac:dyDescent="0.35">
      <c r="A773" s="212"/>
      <c r="B773" s="539"/>
      <c r="D773" s="212"/>
      <c r="F773" s="212"/>
      <c r="G773" s="212"/>
      <c r="J773" s="539"/>
      <c r="S773" s="212"/>
      <c r="U773" s="539"/>
      <c r="V773" s="539"/>
      <c r="W773" s="540"/>
      <c r="X773" s="211"/>
      <c r="Y773" s="211"/>
      <c r="Z773" s="211"/>
      <c r="AA773" s="211"/>
      <c r="AB773" s="212"/>
      <c r="AD773" s="212"/>
      <c r="AF773" s="475"/>
    </row>
    <row r="774" spans="1:32" x14ac:dyDescent="0.35">
      <c r="A774" s="212"/>
      <c r="B774" s="539"/>
      <c r="D774" s="212"/>
      <c r="F774" s="212"/>
      <c r="G774" s="212"/>
      <c r="J774" s="539"/>
      <c r="S774" s="212"/>
      <c r="U774" s="539"/>
      <c r="V774" s="539"/>
      <c r="W774" s="540"/>
      <c r="X774" s="211"/>
      <c r="Y774" s="211"/>
      <c r="Z774" s="211"/>
      <c r="AA774" s="211"/>
      <c r="AB774" s="212"/>
      <c r="AD774" s="212"/>
      <c r="AF774" s="475"/>
    </row>
    <row r="775" spans="1:32" x14ac:dyDescent="0.35">
      <c r="A775" s="212"/>
      <c r="B775" s="539"/>
      <c r="D775" s="212"/>
      <c r="F775" s="212"/>
      <c r="G775" s="212"/>
      <c r="J775" s="539"/>
      <c r="S775" s="212"/>
      <c r="U775" s="539"/>
      <c r="V775" s="539"/>
      <c r="W775" s="540"/>
      <c r="X775" s="211"/>
      <c r="Y775" s="211"/>
      <c r="Z775" s="211"/>
      <c r="AA775" s="211"/>
      <c r="AB775" s="212"/>
      <c r="AD775" s="212"/>
      <c r="AF775" s="475"/>
    </row>
    <row r="776" spans="1:32" x14ac:dyDescent="0.35">
      <c r="A776" s="212"/>
      <c r="B776" s="539"/>
      <c r="D776" s="212"/>
      <c r="F776" s="212"/>
      <c r="G776" s="212"/>
      <c r="J776" s="539"/>
      <c r="S776" s="212"/>
      <c r="U776" s="539"/>
      <c r="V776" s="539"/>
      <c r="W776" s="540"/>
      <c r="X776" s="211"/>
      <c r="Y776" s="211"/>
      <c r="Z776" s="211"/>
      <c r="AA776" s="211"/>
      <c r="AB776" s="212"/>
      <c r="AD776" s="212"/>
      <c r="AF776" s="475"/>
    </row>
    <row r="777" spans="1:32" x14ac:dyDescent="0.35">
      <c r="A777" s="212"/>
      <c r="B777" s="539"/>
      <c r="D777" s="212"/>
      <c r="F777" s="212"/>
      <c r="G777" s="212"/>
      <c r="J777" s="539"/>
      <c r="S777" s="212"/>
      <c r="U777" s="539"/>
      <c r="V777" s="539"/>
      <c r="W777" s="540"/>
      <c r="X777" s="211"/>
      <c r="Y777" s="211"/>
      <c r="Z777" s="211"/>
      <c r="AA777" s="211"/>
      <c r="AB777" s="212"/>
      <c r="AD777" s="212"/>
      <c r="AF777" s="475"/>
    </row>
    <row r="778" spans="1:32" x14ac:dyDescent="0.35">
      <c r="A778" s="212"/>
      <c r="B778" s="539"/>
      <c r="D778" s="212"/>
      <c r="F778" s="212"/>
      <c r="G778" s="212"/>
      <c r="J778" s="539"/>
      <c r="S778" s="212"/>
      <c r="U778" s="539"/>
      <c r="V778" s="539"/>
      <c r="W778" s="540"/>
      <c r="X778" s="211"/>
      <c r="Y778" s="211"/>
      <c r="Z778" s="211"/>
      <c r="AA778" s="211"/>
      <c r="AB778" s="212"/>
      <c r="AD778" s="212"/>
      <c r="AF778" s="475"/>
    </row>
    <row r="779" spans="1:32" x14ac:dyDescent="0.35">
      <c r="A779" s="212"/>
      <c r="B779" s="539"/>
      <c r="D779" s="212"/>
      <c r="F779" s="212"/>
      <c r="G779" s="212"/>
      <c r="J779" s="539"/>
      <c r="S779" s="212"/>
      <c r="U779" s="539"/>
      <c r="V779" s="539"/>
      <c r="W779" s="540"/>
      <c r="X779" s="211"/>
      <c r="Y779" s="211"/>
      <c r="Z779" s="211"/>
      <c r="AA779" s="211"/>
      <c r="AB779" s="212"/>
      <c r="AD779" s="212"/>
      <c r="AF779" s="475"/>
    </row>
    <row r="780" spans="1:32" x14ac:dyDescent="0.35">
      <c r="A780" s="212"/>
      <c r="B780" s="539"/>
      <c r="D780" s="212"/>
      <c r="F780" s="212"/>
      <c r="G780" s="212"/>
      <c r="J780" s="539"/>
      <c r="S780" s="212"/>
      <c r="U780" s="539"/>
      <c r="V780" s="539"/>
      <c r="W780" s="540"/>
      <c r="X780" s="211"/>
      <c r="Y780" s="211"/>
      <c r="Z780" s="211"/>
      <c r="AA780" s="211"/>
      <c r="AB780" s="212"/>
      <c r="AD780" s="212"/>
      <c r="AF780" s="475"/>
    </row>
    <row r="781" spans="1:32" x14ac:dyDescent="0.35">
      <c r="A781" s="212"/>
      <c r="B781" s="539"/>
      <c r="D781" s="212"/>
      <c r="F781" s="212"/>
      <c r="G781" s="212"/>
      <c r="J781" s="539"/>
      <c r="S781" s="212"/>
      <c r="U781" s="539"/>
      <c r="V781" s="539"/>
      <c r="W781" s="540"/>
      <c r="X781" s="211"/>
      <c r="Y781" s="211"/>
      <c r="Z781" s="211"/>
      <c r="AA781" s="211"/>
      <c r="AB781" s="212"/>
      <c r="AD781" s="212"/>
      <c r="AF781" s="475"/>
    </row>
    <row r="782" spans="1:32" x14ac:dyDescent="0.35">
      <c r="A782" s="212"/>
      <c r="B782" s="539"/>
      <c r="D782" s="212"/>
      <c r="F782" s="212"/>
      <c r="G782" s="212"/>
      <c r="J782" s="539"/>
      <c r="S782" s="212"/>
      <c r="U782" s="539"/>
      <c r="V782" s="539"/>
      <c r="W782" s="540"/>
      <c r="X782" s="211"/>
      <c r="Y782" s="211"/>
      <c r="Z782" s="211"/>
      <c r="AA782" s="211"/>
      <c r="AB782" s="212"/>
      <c r="AD782" s="212"/>
      <c r="AF782" s="475"/>
    </row>
    <row r="783" spans="1:32" x14ac:dyDescent="0.35">
      <c r="A783" s="212"/>
      <c r="B783" s="539"/>
      <c r="D783" s="212"/>
      <c r="F783" s="212"/>
      <c r="G783" s="212"/>
      <c r="J783" s="539"/>
      <c r="S783" s="212"/>
      <c r="U783" s="539"/>
      <c r="V783" s="539"/>
      <c r="W783" s="540"/>
      <c r="X783" s="211"/>
      <c r="Y783" s="211"/>
      <c r="Z783" s="211"/>
      <c r="AA783" s="211"/>
      <c r="AB783" s="212"/>
      <c r="AD783" s="212"/>
      <c r="AF783" s="475"/>
    </row>
    <row r="784" spans="1:32" x14ac:dyDescent="0.35">
      <c r="A784" s="212"/>
      <c r="B784" s="539"/>
      <c r="D784" s="212"/>
      <c r="F784" s="212"/>
      <c r="G784" s="212"/>
      <c r="J784" s="539"/>
      <c r="S784" s="212"/>
      <c r="U784" s="539"/>
      <c r="V784" s="539"/>
      <c r="W784" s="540"/>
      <c r="X784" s="211"/>
      <c r="Y784" s="211"/>
      <c r="Z784" s="211"/>
      <c r="AA784" s="211"/>
      <c r="AB784" s="212"/>
      <c r="AD784" s="212"/>
      <c r="AF784" s="475"/>
    </row>
    <row r="785" spans="1:32" x14ac:dyDescent="0.35">
      <c r="A785" s="212"/>
      <c r="B785" s="539"/>
      <c r="D785" s="212"/>
      <c r="F785" s="212"/>
      <c r="G785" s="212"/>
      <c r="J785" s="539"/>
      <c r="S785" s="212"/>
      <c r="U785" s="539"/>
      <c r="V785" s="539"/>
      <c r="W785" s="540"/>
      <c r="X785" s="211"/>
      <c r="Y785" s="211"/>
      <c r="Z785" s="211"/>
      <c r="AA785" s="211"/>
      <c r="AB785" s="212"/>
      <c r="AD785" s="212"/>
      <c r="AF785" s="475"/>
    </row>
    <row r="786" spans="1:32" x14ac:dyDescent="0.35">
      <c r="A786" s="212"/>
      <c r="B786" s="539"/>
      <c r="D786" s="212"/>
      <c r="F786" s="212"/>
      <c r="G786" s="212"/>
      <c r="J786" s="539"/>
      <c r="S786" s="212"/>
      <c r="U786" s="539"/>
      <c r="V786" s="539"/>
      <c r="W786" s="540"/>
      <c r="X786" s="211"/>
      <c r="Y786" s="211"/>
      <c r="Z786" s="211"/>
      <c r="AA786" s="211"/>
      <c r="AB786" s="212"/>
      <c r="AD786" s="212"/>
      <c r="AF786" s="475"/>
    </row>
    <row r="787" spans="1:32" x14ac:dyDescent="0.35">
      <c r="A787" s="212"/>
      <c r="B787" s="539"/>
      <c r="D787" s="212"/>
      <c r="F787" s="212"/>
      <c r="G787" s="212"/>
      <c r="J787" s="539"/>
      <c r="S787" s="212"/>
      <c r="U787" s="539"/>
      <c r="V787" s="539"/>
      <c r="W787" s="540"/>
      <c r="X787" s="211"/>
      <c r="Y787" s="211"/>
      <c r="Z787" s="211"/>
      <c r="AA787" s="211"/>
      <c r="AB787" s="212"/>
      <c r="AD787" s="212"/>
      <c r="AF787" s="475"/>
    </row>
    <row r="788" spans="1:32" x14ac:dyDescent="0.35">
      <c r="A788" s="212"/>
      <c r="B788" s="539"/>
      <c r="D788" s="212"/>
      <c r="F788" s="212"/>
      <c r="G788" s="212"/>
      <c r="J788" s="539"/>
      <c r="S788" s="212"/>
      <c r="U788" s="539"/>
      <c r="V788" s="539"/>
      <c r="W788" s="540"/>
      <c r="X788" s="211"/>
      <c r="Y788" s="211"/>
      <c r="Z788" s="211"/>
      <c r="AA788" s="211"/>
      <c r="AB788" s="212"/>
      <c r="AD788" s="212"/>
      <c r="AF788" s="475"/>
    </row>
    <row r="789" spans="1:32" x14ac:dyDescent="0.35">
      <c r="A789" s="212"/>
      <c r="B789" s="539"/>
      <c r="D789" s="212"/>
      <c r="F789" s="212"/>
      <c r="G789" s="212"/>
      <c r="J789" s="539"/>
      <c r="S789" s="212"/>
      <c r="U789" s="539"/>
      <c r="V789" s="539"/>
      <c r="W789" s="540"/>
      <c r="X789" s="211"/>
      <c r="Y789" s="211"/>
      <c r="Z789" s="211"/>
      <c r="AA789" s="211"/>
      <c r="AB789" s="212"/>
      <c r="AD789" s="212"/>
      <c r="AF789" s="475"/>
    </row>
    <row r="790" spans="1:32" x14ac:dyDescent="0.35">
      <c r="A790" s="212"/>
      <c r="B790" s="539"/>
      <c r="D790" s="212"/>
      <c r="F790" s="212"/>
      <c r="G790" s="212"/>
      <c r="J790" s="539"/>
      <c r="S790" s="212"/>
      <c r="U790" s="539"/>
      <c r="V790" s="539"/>
      <c r="W790" s="540"/>
      <c r="X790" s="211"/>
      <c r="Y790" s="211"/>
      <c r="Z790" s="211"/>
      <c r="AA790" s="211"/>
      <c r="AB790" s="212"/>
      <c r="AD790" s="212"/>
      <c r="AF790" s="475"/>
    </row>
    <row r="791" spans="1:32" x14ac:dyDescent="0.35">
      <c r="A791" s="212"/>
      <c r="B791" s="539"/>
      <c r="D791" s="212"/>
      <c r="F791" s="212"/>
      <c r="G791" s="212"/>
      <c r="J791" s="539"/>
      <c r="S791" s="212"/>
      <c r="U791" s="539"/>
      <c r="V791" s="539"/>
      <c r="W791" s="540"/>
      <c r="X791" s="211"/>
      <c r="Y791" s="211"/>
      <c r="Z791" s="211"/>
      <c r="AA791" s="211"/>
      <c r="AB791" s="212"/>
      <c r="AD791" s="212"/>
      <c r="AF791" s="475"/>
    </row>
    <row r="792" spans="1:32" x14ac:dyDescent="0.35">
      <c r="A792" s="212"/>
      <c r="B792" s="539"/>
      <c r="D792" s="212"/>
      <c r="F792" s="212"/>
      <c r="G792" s="212"/>
      <c r="J792" s="539"/>
      <c r="S792" s="212"/>
      <c r="U792" s="539"/>
      <c r="V792" s="539"/>
      <c r="W792" s="540"/>
      <c r="X792" s="211"/>
      <c r="Y792" s="211"/>
      <c r="Z792" s="211"/>
      <c r="AA792" s="211"/>
      <c r="AB792" s="212"/>
      <c r="AD792" s="212"/>
      <c r="AF792" s="475"/>
    </row>
    <row r="793" spans="1:32" x14ac:dyDescent="0.35">
      <c r="A793" s="212"/>
      <c r="B793" s="539"/>
      <c r="D793" s="212"/>
      <c r="F793" s="212"/>
      <c r="G793" s="212"/>
      <c r="J793" s="539"/>
      <c r="S793" s="212"/>
      <c r="U793" s="539"/>
      <c r="V793" s="539"/>
      <c r="W793" s="540"/>
      <c r="X793" s="211"/>
      <c r="Y793" s="211"/>
      <c r="Z793" s="211"/>
      <c r="AA793" s="211"/>
      <c r="AB793" s="212"/>
      <c r="AD793" s="212"/>
      <c r="AF793" s="475"/>
    </row>
    <row r="794" spans="1:32" x14ac:dyDescent="0.35">
      <c r="A794" s="212"/>
      <c r="B794" s="539"/>
      <c r="D794" s="212"/>
      <c r="F794" s="212"/>
      <c r="G794" s="212"/>
      <c r="J794" s="539"/>
      <c r="S794" s="212"/>
      <c r="U794" s="539"/>
      <c r="V794" s="539"/>
      <c r="W794" s="540"/>
      <c r="X794" s="211"/>
      <c r="Y794" s="211"/>
      <c r="Z794" s="211"/>
      <c r="AA794" s="211"/>
      <c r="AB794" s="212"/>
      <c r="AD794" s="212"/>
      <c r="AF794" s="475"/>
    </row>
    <row r="795" spans="1:32" x14ac:dyDescent="0.35">
      <c r="A795" s="212"/>
      <c r="B795" s="539"/>
      <c r="D795" s="212"/>
      <c r="F795" s="212"/>
      <c r="G795" s="212"/>
      <c r="J795" s="539"/>
      <c r="S795" s="212"/>
      <c r="U795" s="539"/>
      <c r="V795" s="539"/>
      <c r="W795" s="540"/>
      <c r="X795" s="211"/>
      <c r="Y795" s="211"/>
      <c r="Z795" s="211"/>
      <c r="AA795" s="211"/>
      <c r="AB795" s="212"/>
      <c r="AD795" s="212"/>
      <c r="AF795" s="475"/>
    </row>
    <row r="796" spans="1:32" x14ac:dyDescent="0.35">
      <c r="A796" s="212"/>
      <c r="B796" s="539"/>
      <c r="D796" s="212"/>
      <c r="F796" s="212"/>
      <c r="G796" s="212"/>
      <c r="J796" s="539"/>
      <c r="S796" s="212"/>
      <c r="U796" s="539"/>
      <c r="V796" s="539"/>
      <c r="W796" s="540"/>
      <c r="X796" s="211"/>
      <c r="Y796" s="211"/>
      <c r="Z796" s="211"/>
      <c r="AA796" s="211"/>
      <c r="AB796" s="212"/>
      <c r="AD796" s="212"/>
      <c r="AF796" s="475"/>
    </row>
    <row r="797" spans="1:32" x14ac:dyDescent="0.35">
      <c r="A797" s="212"/>
      <c r="B797" s="539"/>
      <c r="D797" s="212"/>
      <c r="F797" s="212"/>
      <c r="G797" s="212"/>
      <c r="J797" s="539"/>
      <c r="S797" s="212"/>
      <c r="U797" s="539"/>
      <c r="V797" s="539"/>
      <c r="W797" s="540"/>
      <c r="X797" s="211"/>
      <c r="Y797" s="211"/>
      <c r="Z797" s="211"/>
      <c r="AA797" s="211"/>
      <c r="AB797" s="212"/>
      <c r="AD797" s="212"/>
      <c r="AF797" s="475"/>
    </row>
    <row r="798" spans="1:32" x14ac:dyDescent="0.35">
      <c r="A798" s="212"/>
      <c r="B798" s="539"/>
      <c r="D798" s="212"/>
      <c r="F798" s="212"/>
      <c r="G798" s="212"/>
      <c r="J798" s="539"/>
      <c r="S798" s="212"/>
      <c r="U798" s="539"/>
      <c r="V798" s="539"/>
      <c r="W798" s="540"/>
      <c r="X798" s="211"/>
      <c r="Y798" s="211"/>
      <c r="Z798" s="211"/>
      <c r="AA798" s="211"/>
      <c r="AB798" s="212"/>
      <c r="AD798" s="212"/>
      <c r="AF798" s="475"/>
    </row>
    <row r="799" spans="1:32" x14ac:dyDescent="0.35">
      <c r="A799" s="212"/>
      <c r="B799" s="539"/>
      <c r="D799" s="212"/>
      <c r="F799" s="212"/>
      <c r="G799" s="212"/>
      <c r="J799" s="539"/>
      <c r="S799" s="212"/>
      <c r="U799" s="539"/>
      <c r="V799" s="539"/>
      <c r="W799" s="540"/>
      <c r="X799" s="211"/>
      <c r="Y799" s="211"/>
      <c r="Z799" s="211"/>
      <c r="AA799" s="211"/>
      <c r="AB799" s="212"/>
      <c r="AD799" s="212"/>
      <c r="AF799" s="475"/>
    </row>
    <row r="800" spans="1:32" x14ac:dyDescent="0.35">
      <c r="A800" s="212"/>
      <c r="B800" s="539"/>
      <c r="D800" s="212"/>
      <c r="F800" s="212"/>
      <c r="G800" s="212"/>
      <c r="J800" s="539"/>
      <c r="S800" s="212"/>
      <c r="U800" s="539"/>
      <c r="V800" s="539"/>
      <c r="W800" s="540"/>
      <c r="X800" s="211"/>
      <c r="Y800" s="211"/>
      <c r="Z800" s="211"/>
      <c r="AA800" s="211"/>
      <c r="AB800" s="212"/>
      <c r="AD800" s="212"/>
      <c r="AF800" s="475"/>
    </row>
    <row r="801" spans="1:32" x14ac:dyDescent="0.35">
      <c r="A801" s="212"/>
      <c r="B801" s="539"/>
      <c r="D801" s="212"/>
      <c r="F801" s="212"/>
      <c r="G801" s="212"/>
      <c r="J801" s="539"/>
      <c r="S801" s="212"/>
      <c r="U801" s="539"/>
      <c r="V801" s="539"/>
      <c r="W801" s="540"/>
      <c r="X801" s="211"/>
      <c r="Y801" s="211"/>
      <c r="Z801" s="211"/>
      <c r="AA801" s="211"/>
      <c r="AB801" s="212"/>
      <c r="AD801" s="212"/>
      <c r="AF801" s="475"/>
    </row>
    <row r="802" spans="1:32" x14ac:dyDescent="0.35">
      <c r="A802" s="212"/>
      <c r="B802" s="539"/>
      <c r="D802" s="212"/>
      <c r="F802" s="212"/>
      <c r="G802" s="212"/>
      <c r="J802" s="539"/>
      <c r="S802" s="212"/>
      <c r="U802" s="539"/>
      <c r="V802" s="539"/>
      <c r="W802" s="540"/>
      <c r="X802" s="211"/>
      <c r="Y802" s="211"/>
      <c r="Z802" s="211"/>
      <c r="AA802" s="211"/>
      <c r="AB802" s="212"/>
      <c r="AD802" s="212"/>
      <c r="AF802" s="475"/>
    </row>
    <row r="803" spans="1:32" x14ac:dyDescent="0.35">
      <c r="A803" s="212"/>
      <c r="B803" s="539"/>
      <c r="D803" s="212"/>
      <c r="F803" s="212"/>
      <c r="G803" s="212"/>
      <c r="J803" s="539"/>
      <c r="S803" s="212"/>
      <c r="U803" s="539"/>
      <c r="V803" s="539"/>
      <c r="W803" s="540"/>
      <c r="X803" s="211"/>
      <c r="Y803" s="211"/>
      <c r="Z803" s="211"/>
      <c r="AA803" s="211"/>
      <c r="AB803" s="212"/>
      <c r="AD803" s="212"/>
      <c r="AF803" s="475"/>
    </row>
    <row r="804" spans="1:32" x14ac:dyDescent="0.35">
      <c r="A804" s="212"/>
      <c r="B804" s="539"/>
      <c r="D804" s="212"/>
      <c r="F804" s="212"/>
      <c r="G804" s="212"/>
      <c r="J804" s="539"/>
      <c r="S804" s="212"/>
      <c r="U804" s="539"/>
      <c r="V804" s="539"/>
      <c r="W804" s="540"/>
      <c r="X804" s="211"/>
      <c r="Y804" s="211"/>
      <c r="Z804" s="211"/>
      <c r="AA804" s="211"/>
      <c r="AB804" s="212"/>
      <c r="AD804" s="212"/>
      <c r="AF804" s="475"/>
    </row>
    <row r="805" spans="1:32" x14ac:dyDescent="0.35">
      <c r="A805" s="212"/>
      <c r="B805" s="539"/>
      <c r="D805" s="212"/>
      <c r="F805" s="212"/>
      <c r="G805" s="212"/>
      <c r="J805" s="539"/>
      <c r="S805" s="212"/>
      <c r="U805" s="539"/>
      <c r="V805" s="539"/>
      <c r="W805" s="540"/>
      <c r="X805" s="211"/>
      <c r="Y805" s="211"/>
      <c r="Z805" s="211"/>
      <c r="AA805" s="211"/>
      <c r="AB805" s="212"/>
      <c r="AD805" s="212"/>
      <c r="AF805" s="475"/>
    </row>
    <row r="806" spans="1:32" x14ac:dyDescent="0.35">
      <c r="A806" s="212"/>
      <c r="B806" s="539"/>
      <c r="D806" s="212"/>
      <c r="F806" s="212"/>
      <c r="G806" s="212"/>
      <c r="J806" s="539"/>
      <c r="S806" s="212"/>
      <c r="U806" s="539"/>
      <c r="V806" s="539"/>
      <c r="W806" s="540"/>
      <c r="X806" s="211"/>
      <c r="Y806" s="211"/>
      <c r="Z806" s="211"/>
      <c r="AA806" s="211"/>
      <c r="AB806" s="212"/>
      <c r="AD806" s="212"/>
      <c r="AF806" s="475"/>
    </row>
    <row r="807" spans="1:32" x14ac:dyDescent="0.35">
      <c r="A807" s="212"/>
      <c r="B807" s="539"/>
      <c r="D807" s="212"/>
      <c r="F807" s="212"/>
      <c r="G807" s="212"/>
      <c r="J807" s="539"/>
      <c r="S807" s="212"/>
      <c r="U807" s="539"/>
      <c r="V807" s="539"/>
      <c r="W807" s="540"/>
      <c r="X807" s="211"/>
      <c r="Y807" s="211"/>
      <c r="Z807" s="211"/>
      <c r="AA807" s="211"/>
      <c r="AB807" s="212"/>
      <c r="AD807" s="212"/>
      <c r="AF807" s="475"/>
    </row>
    <row r="808" spans="1:32" x14ac:dyDescent="0.35">
      <c r="A808" s="212"/>
      <c r="B808" s="539"/>
      <c r="D808" s="212"/>
      <c r="F808" s="212"/>
      <c r="G808" s="212"/>
      <c r="J808" s="539"/>
      <c r="S808" s="212"/>
      <c r="U808" s="539"/>
      <c r="V808" s="539"/>
      <c r="W808" s="540"/>
      <c r="X808" s="211"/>
      <c r="Y808" s="211"/>
      <c r="Z808" s="211"/>
      <c r="AA808" s="211"/>
      <c r="AB808" s="212"/>
      <c r="AD808" s="212"/>
      <c r="AF808" s="475"/>
    </row>
    <row r="809" spans="1:32" x14ac:dyDescent="0.35">
      <c r="A809" s="212"/>
      <c r="B809" s="539"/>
      <c r="D809" s="212"/>
      <c r="F809" s="212"/>
      <c r="G809" s="212"/>
      <c r="J809" s="539"/>
      <c r="S809" s="212"/>
      <c r="U809" s="539"/>
      <c r="V809" s="539"/>
      <c r="W809" s="540"/>
      <c r="X809" s="211"/>
      <c r="Y809" s="211"/>
      <c r="Z809" s="211"/>
      <c r="AA809" s="211"/>
      <c r="AB809" s="212"/>
      <c r="AD809" s="212"/>
      <c r="AF809" s="475"/>
    </row>
    <row r="810" spans="1:32" x14ac:dyDescent="0.35">
      <c r="A810" s="212"/>
      <c r="B810" s="539"/>
      <c r="D810" s="212"/>
      <c r="F810" s="212"/>
      <c r="G810" s="212"/>
      <c r="J810" s="539"/>
      <c r="S810" s="212"/>
      <c r="U810" s="539"/>
      <c r="V810" s="539"/>
      <c r="W810" s="540"/>
      <c r="X810" s="211"/>
      <c r="Y810" s="211"/>
      <c r="Z810" s="211"/>
      <c r="AA810" s="211"/>
      <c r="AB810" s="212"/>
      <c r="AD810" s="212"/>
      <c r="AF810" s="475"/>
    </row>
    <row r="811" spans="1:32" x14ac:dyDescent="0.35">
      <c r="A811" s="212"/>
      <c r="B811" s="539"/>
      <c r="D811" s="212"/>
      <c r="F811" s="212"/>
      <c r="G811" s="212"/>
      <c r="J811" s="539"/>
      <c r="S811" s="212"/>
      <c r="U811" s="539"/>
      <c r="V811" s="539"/>
      <c r="W811" s="540"/>
      <c r="X811" s="211"/>
      <c r="Y811" s="211"/>
      <c r="Z811" s="211"/>
      <c r="AA811" s="211"/>
      <c r="AB811" s="212"/>
      <c r="AD811" s="212"/>
      <c r="AF811" s="475"/>
    </row>
    <row r="812" spans="1:32" x14ac:dyDescent="0.35">
      <c r="A812" s="212"/>
      <c r="B812" s="539"/>
      <c r="D812" s="212"/>
      <c r="F812" s="212"/>
      <c r="G812" s="212"/>
      <c r="J812" s="539"/>
      <c r="S812" s="212"/>
      <c r="U812" s="539"/>
      <c r="V812" s="539"/>
      <c r="W812" s="540"/>
      <c r="X812" s="211"/>
      <c r="Y812" s="211"/>
      <c r="Z812" s="211"/>
      <c r="AA812" s="211"/>
      <c r="AB812" s="212"/>
      <c r="AD812" s="212"/>
      <c r="AF812" s="475"/>
    </row>
    <row r="813" spans="1:32" x14ac:dyDescent="0.35">
      <c r="A813" s="212"/>
      <c r="B813" s="539"/>
      <c r="D813" s="212"/>
      <c r="F813" s="212"/>
      <c r="G813" s="212"/>
      <c r="J813" s="539"/>
      <c r="S813" s="212"/>
      <c r="U813" s="539"/>
      <c r="V813" s="539"/>
      <c r="W813" s="540"/>
      <c r="X813" s="211"/>
      <c r="Y813" s="211"/>
      <c r="Z813" s="211"/>
      <c r="AA813" s="211"/>
      <c r="AB813" s="212"/>
      <c r="AD813" s="212"/>
      <c r="AF813" s="475"/>
    </row>
    <row r="814" spans="1:32" x14ac:dyDescent="0.35">
      <c r="A814" s="212"/>
      <c r="B814" s="539"/>
      <c r="D814" s="212"/>
      <c r="F814" s="212"/>
      <c r="G814" s="212"/>
      <c r="J814" s="539"/>
      <c r="S814" s="212"/>
      <c r="U814" s="539"/>
      <c r="V814" s="539"/>
      <c r="W814" s="540"/>
      <c r="X814" s="211"/>
      <c r="Y814" s="211"/>
      <c r="Z814" s="211"/>
      <c r="AA814" s="211"/>
      <c r="AB814" s="212"/>
      <c r="AD814" s="212"/>
      <c r="AF814" s="475"/>
    </row>
    <row r="815" spans="1:32" x14ac:dyDescent="0.35">
      <c r="A815" s="212"/>
      <c r="B815" s="539"/>
      <c r="D815" s="212"/>
      <c r="F815" s="212"/>
      <c r="G815" s="212"/>
      <c r="J815" s="539"/>
      <c r="S815" s="212"/>
      <c r="U815" s="539"/>
      <c r="V815" s="539"/>
      <c r="W815" s="540"/>
      <c r="X815" s="211"/>
      <c r="Y815" s="211"/>
      <c r="Z815" s="211"/>
      <c r="AA815" s="211"/>
      <c r="AB815" s="212"/>
      <c r="AD815" s="212"/>
      <c r="AF815" s="475"/>
    </row>
    <row r="816" spans="1:32" x14ac:dyDescent="0.35">
      <c r="A816" s="212"/>
      <c r="B816" s="539"/>
      <c r="D816" s="212"/>
      <c r="F816" s="212"/>
      <c r="G816" s="212"/>
      <c r="J816" s="539"/>
      <c r="S816" s="212"/>
      <c r="U816" s="539"/>
      <c r="V816" s="539"/>
      <c r="W816" s="540"/>
      <c r="X816" s="211"/>
      <c r="Y816" s="211"/>
      <c r="Z816" s="211"/>
      <c r="AA816" s="211"/>
      <c r="AB816" s="212"/>
      <c r="AD816" s="212"/>
      <c r="AF816" s="475"/>
    </row>
    <row r="817" spans="1:32" x14ac:dyDescent="0.35">
      <c r="A817" s="212"/>
      <c r="B817" s="539"/>
      <c r="D817" s="212"/>
      <c r="F817" s="212"/>
      <c r="G817" s="212"/>
      <c r="J817" s="539"/>
      <c r="S817" s="212"/>
      <c r="U817" s="539"/>
      <c r="V817" s="539"/>
      <c r="W817" s="540"/>
      <c r="X817" s="211"/>
      <c r="Y817" s="211"/>
      <c r="Z817" s="211"/>
      <c r="AA817" s="211"/>
      <c r="AB817" s="212"/>
      <c r="AD817" s="212"/>
      <c r="AF817" s="475"/>
    </row>
    <row r="818" spans="1:32" x14ac:dyDescent="0.35">
      <c r="A818" s="212"/>
      <c r="B818" s="539"/>
      <c r="D818" s="212"/>
      <c r="F818" s="212"/>
      <c r="G818" s="212"/>
      <c r="J818" s="539"/>
      <c r="S818" s="212"/>
      <c r="U818" s="539"/>
      <c r="V818" s="539"/>
      <c r="W818" s="540"/>
      <c r="X818" s="211"/>
      <c r="Y818" s="211"/>
      <c r="Z818" s="211"/>
      <c r="AA818" s="211"/>
      <c r="AB818" s="212"/>
      <c r="AD818" s="212"/>
      <c r="AF818" s="475"/>
    </row>
    <row r="819" spans="1:32" x14ac:dyDescent="0.35">
      <c r="A819" s="212"/>
      <c r="B819" s="539"/>
      <c r="D819" s="212"/>
      <c r="F819" s="212"/>
      <c r="G819" s="212"/>
      <c r="J819" s="539"/>
      <c r="S819" s="212"/>
      <c r="U819" s="539"/>
      <c r="V819" s="539"/>
      <c r="W819" s="540"/>
      <c r="X819" s="211"/>
      <c r="Y819" s="211"/>
      <c r="Z819" s="211"/>
      <c r="AA819" s="211"/>
      <c r="AB819" s="212"/>
      <c r="AD819" s="212"/>
      <c r="AF819" s="475"/>
    </row>
    <row r="820" spans="1:32" x14ac:dyDescent="0.35">
      <c r="A820" s="212"/>
      <c r="B820" s="539"/>
      <c r="D820" s="212"/>
      <c r="F820" s="212"/>
      <c r="G820" s="212"/>
      <c r="J820" s="539"/>
      <c r="S820" s="212"/>
      <c r="U820" s="539"/>
      <c r="V820" s="539"/>
      <c r="W820" s="540"/>
      <c r="X820" s="211"/>
      <c r="Y820" s="211"/>
      <c r="Z820" s="211"/>
      <c r="AA820" s="211"/>
      <c r="AB820" s="212"/>
      <c r="AD820" s="212"/>
      <c r="AF820" s="475"/>
    </row>
    <row r="821" spans="1:32" x14ac:dyDescent="0.35">
      <c r="A821" s="212"/>
      <c r="B821" s="539"/>
      <c r="D821" s="212"/>
      <c r="F821" s="212"/>
      <c r="G821" s="212"/>
      <c r="J821" s="539"/>
      <c r="S821" s="212"/>
      <c r="U821" s="539"/>
      <c r="V821" s="539"/>
      <c r="W821" s="540"/>
      <c r="X821" s="211"/>
      <c r="Y821" s="211"/>
      <c r="Z821" s="211"/>
      <c r="AA821" s="211"/>
      <c r="AB821" s="212"/>
      <c r="AD821" s="212"/>
      <c r="AF821" s="475"/>
    </row>
    <row r="822" spans="1:32" x14ac:dyDescent="0.35">
      <c r="A822" s="212"/>
      <c r="B822" s="539"/>
      <c r="D822" s="212"/>
      <c r="F822" s="212"/>
      <c r="G822" s="212"/>
      <c r="J822" s="539"/>
      <c r="S822" s="212"/>
      <c r="U822" s="539"/>
      <c r="V822" s="539"/>
      <c r="W822" s="540"/>
      <c r="X822" s="211"/>
      <c r="Y822" s="211"/>
      <c r="Z822" s="211"/>
      <c r="AA822" s="211"/>
      <c r="AB822" s="212"/>
      <c r="AD822" s="212"/>
      <c r="AF822" s="475"/>
    </row>
    <row r="823" spans="1:32" x14ac:dyDescent="0.35">
      <c r="A823" s="212"/>
      <c r="B823" s="539"/>
      <c r="D823" s="212"/>
      <c r="F823" s="212"/>
      <c r="G823" s="212"/>
      <c r="J823" s="539"/>
      <c r="S823" s="212"/>
      <c r="U823" s="539"/>
      <c r="V823" s="539"/>
      <c r="W823" s="540"/>
      <c r="X823" s="211"/>
      <c r="Y823" s="211"/>
      <c r="Z823" s="211"/>
      <c r="AA823" s="211"/>
      <c r="AB823" s="212"/>
      <c r="AD823" s="212"/>
      <c r="AF823" s="475"/>
    </row>
    <row r="824" spans="1:32" x14ac:dyDescent="0.35">
      <c r="A824" s="212"/>
      <c r="B824" s="539"/>
      <c r="D824" s="212"/>
      <c r="F824" s="212"/>
      <c r="G824" s="212"/>
      <c r="J824" s="539"/>
      <c r="S824" s="212"/>
      <c r="U824" s="539"/>
      <c r="V824" s="539"/>
      <c r="W824" s="540"/>
      <c r="X824" s="211"/>
      <c r="Y824" s="211"/>
      <c r="Z824" s="211"/>
      <c r="AA824" s="211"/>
      <c r="AB824" s="212"/>
      <c r="AD824" s="212"/>
      <c r="AF824" s="475"/>
    </row>
    <row r="825" spans="1:32" x14ac:dyDescent="0.35">
      <c r="A825" s="212"/>
      <c r="B825" s="539"/>
      <c r="D825" s="212"/>
      <c r="F825" s="212"/>
      <c r="G825" s="212"/>
      <c r="J825" s="539"/>
      <c r="S825" s="212"/>
      <c r="U825" s="539"/>
      <c r="V825" s="539"/>
      <c r="W825" s="540"/>
      <c r="X825" s="211"/>
      <c r="Y825" s="211"/>
      <c r="Z825" s="211"/>
      <c r="AA825" s="211"/>
      <c r="AB825" s="212"/>
      <c r="AD825" s="212"/>
      <c r="AF825" s="475"/>
    </row>
    <row r="826" spans="1:32" x14ac:dyDescent="0.35">
      <c r="A826" s="212"/>
      <c r="B826" s="539"/>
      <c r="D826" s="212"/>
      <c r="F826" s="212"/>
      <c r="G826" s="212"/>
      <c r="J826" s="539"/>
      <c r="S826" s="212"/>
      <c r="U826" s="539"/>
      <c r="V826" s="539"/>
      <c r="W826" s="540"/>
      <c r="X826" s="211"/>
      <c r="Y826" s="211"/>
      <c r="Z826" s="211"/>
      <c r="AA826" s="211"/>
      <c r="AB826" s="212"/>
      <c r="AD826" s="212"/>
      <c r="AF826" s="475"/>
    </row>
    <row r="827" spans="1:32" x14ac:dyDescent="0.35">
      <c r="A827" s="212"/>
      <c r="B827" s="539"/>
      <c r="D827" s="212"/>
      <c r="F827" s="212"/>
      <c r="G827" s="212"/>
      <c r="J827" s="539"/>
      <c r="S827" s="212"/>
      <c r="U827" s="539"/>
      <c r="V827" s="539"/>
      <c r="W827" s="540"/>
      <c r="X827" s="211"/>
      <c r="Y827" s="211"/>
      <c r="Z827" s="211"/>
      <c r="AA827" s="211"/>
      <c r="AB827" s="212"/>
      <c r="AD827" s="212"/>
      <c r="AF827" s="475"/>
    </row>
    <row r="828" spans="1:32" x14ac:dyDescent="0.35">
      <c r="A828" s="212"/>
      <c r="B828" s="539"/>
      <c r="D828" s="212"/>
      <c r="F828" s="212"/>
      <c r="G828" s="212"/>
      <c r="J828" s="539"/>
      <c r="S828" s="212"/>
      <c r="U828" s="539"/>
      <c r="V828" s="539"/>
      <c r="W828" s="540"/>
      <c r="X828" s="211"/>
      <c r="Y828" s="211"/>
      <c r="Z828" s="211"/>
      <c r="AA828" s="211"/>
      <c r="AB828" s="212"/>
      <c r="AD828" s="212"/>
      <c r="AF828" s="475"/>
    </row>
    <row r="829" spans="1:32" x14ac:dyDescent="0.35">
      <c r="A829" s="212"/>
      <c r="B829" s="539"/>
      <c r="D829" s="212"/>
      <c r="F829" s="212"/>
      <c r="G829" s="212"/>
      <c r="J829" s="539"/>
      <c r="S829" s="212"/>
      <c r="U829" s="539"/>
      <c r="V829" s="539"/>
      <c r="W829" s="540"/>
      <c r="X829" s="211"/>
      <c r="Y829" s="211"/>
      <c r="Z829" s="211"/>
      <c r="AA829" s="211"/>
      <c r="AB829" s="212"/>
      <c r="AD829" s="212"/>
      <c r="AF829" s="475"/>
    </row>
    <row r="830" spans="1:32" x14ac:dyDescent="0.35">
      <c r="A830" s="212"/>
      <c r="B830" s="539"/>
      <c r="D830" s="212"/>
      <c r="F830" s="212"/>
      <c r="G830" s="212"/>
      <c r="J830" s="539"/>
      <c r="S830" s="212"/>
      <c r="U830" s="539"/>
      <c r="V830" s="539"/>
      <c r="W830" s="540"/>
      <c r="X830" s="211"/>
      <c r="Y830" s="211"/>
      <c r="Z830" s="211"/>
      <c r="AA830" s="211"/>
      <c r="AB830" s="212"/>
      <c r="AD830" s="212"/>
      <c r="AF830" s="475"/>
    </row>
    <row r="831" spans="1:32" x14ac:dyDescent="0.35">
      <c r="A831" s="212"/>
      <c r="B831" s="539"/>
      <c r="D831" s="212"/>
      <c r="F831" s="212"/>
      <c r="G831" s="212"/>
      <c r="J831" s="539"/>
      <c r="S831" s="212"/>
      <c r="U831" s="539"/>
      <c r="V831" s="539"/>
      <c r="W831" s="540"/>
      <c r="X831" s="211"/>
      <c r="Y831" s="211"/>
      <c r="Z831" s="211"/>
      <c r="AA831" s="211"/>
      <c r="AB831" s="212"/>
      <c r="AD831" s="212"/>
      <c r="AF831" s="475"/>
    </row>
    <row r="832" spans="1:32" x14ac:dyDescent="0.35">
      <c r="A832" s="212"/>
      <c r="B832" s="539"/>
      <c r="D832" s="212"/>
      <c r="F832" s="212"/>
      <c r="G832" s="212"/>
      <c r="J832" s="539"/>
      <c r="S832" s="212"/>
      <c r="U832" s="539"/>
      <c r="V832" s="539"/>
      <c r="W832" s="540"/>
      <c r="X832" s="211"/>
      <c r="Y832" s="211"/>
      <c r="Z832" s="211"/>
      <c r="AA832" s="211"/>
      <c r="AB832" s="212"/>
      <c r="AD832" s="212"/>
      <c r="AF832" s="475"/>
    </row>
    <row r="833" spans="1:32" x14ac:dyDescent="0.35">
      <c r="A833" s="212"/>
      <c r="B833" s="539"/>
      <c r="D833" s="212"/>
      <c r="F833" s="212"/>
      <c r="G833" s="212"/>
      <c r="J833" s="539"/>
      <c r="S833" s="212"/>
      <c r="U833" s="539"/>
      <c r="V833" s="539"/>
      <c r="W833" s="540"/>
      <c r="X833" s="211"/>
      <c r="Y833" s="211"/>
      <c r="Z833" s="211"/>
      <c r="AA833" s="211"/>
      <c r="AB833" s="212"/>
      <c r="AD833" s="212"/>
      <c r="AF833" s="475"/>
    </row>
    <row r="834" spans="1:32" x14ac:dyDescent="0.35">
      <c r="A834" s="212"/>
      <c r="B834" s="539"/>
      <c r="D834" s="212"/>
      <c r="F834" s="212"/>
      <c r="G834" s="212"/>
      <c r="J834" s="539"/>
      <c r="S834" s="212"/>
      <c r="U834" s="539"/>
      <c r="V834" s="539"/>
      <c r="W834" s="540"/>
      <c r="X834" s="211"/>
      <c r="Y834" s="211"/>
      <c r="Z834" s="211"/>
      <c r="AA834" s="211"/>
      <c r="AB834" s="212"/>
      <c r="AD834" s="212"/>
      <c r="AF834" s="475"/>
    </row>
    <row r="835" spans="1:32" x14ac:dyDescent="0.35">
      <c r="A835" s="212"/>
      <c r="B835" s="539"/>
      <c r="D835" s="212"/>
      <c r="F835" s="212"/>
      <c r="G835" s="212"/>
      <c r="J835" s="539"/>
      <c r="S835" s="212"/>
      <c r="U835" s="539"/>
      <c r="V835" s="539"/>
      <c r="W835" s="540"/>
      <c r="X835" s="211"/>
      <c r="Y835" s="211"/>
      <c r="Z835" s="211"/>
      <c r="AA835" s="211"/>
      <c r="AB835" s="212"/>
      <c r="AD835" s="212"/>
      <c r="AF835" s="475"/>
    </row>
    <row r="836" spans="1:32" x14ac:dyDescent="0.35">
      <c r="A836" s="212"/>
      <c r="B836" s="539"/>
      <c r="D836" s="212"/>
      <c r="F836" s="212"/>
      <c r="G836" s="212"/>
      <c r="J836" s="539"/>
      <c r="S836" s="212"/>
      <c r="U836" s="539"/>
      <c r="V836" s="539"/>
      <c r="W836" s="540"/>
      <c r="X836" s="211"/>
      <c r="Y836" s="211"/>
      <c r="Z836" s="211"/>
      <c r="AA836" s="211"/>
      <c r="AB836" s="212"/>
      <c r="AD836" s="212"/>
      <c r="AF836" s="475"/>
    </row>
    <row r="837" spans="1:32" x14ac:dyDescent="0.35">
      <c r="A837" s="212"/>
      <c r="B837" s="539"/>
      <c r="D837" s="212"/>
      <c r="F837" s="212"/>
      <c r="G837" s="212"/>
      <c r="J837" s="539"/>
      <c r="S837" s="212"/>
      <c r="U837" s="539"/>
      <c r="V837" s="539"/>
      <c r="W837" s="540"/>
      <c r="X837" s="211"/>
      <c r="Y837" s="211"/>
      <c r="Z837" s="211"/>
      <c r="AA837" s="211"/>
      <c r="AB837" s="212"/>
      <c r="AD837" s="212"/>
      <c r="AF837" s="475"/>
    </row>
    <row r="838" spans="1:32" x14ac:dyDescent="0.35">
      <c r="A838" s="212"/>
      <c r="B838" s="539"/>
      <c r="D838" s="212"/>
      <c r="F838" s="212"/>
      <c r="G838" s="212"/>
      <c r="J838" s="539"/>
      <c r="S838" s="212"/>
      <c r="U838" s="539"/>
      <c r="V838" s="539"/>
      <c r="W838" s="540"/>
      <c r="X838" s="211"/>
      <c r="Y838" s="211"/>
      <c r="Z838" s="211"/>
      <c r="AA838" s="211"/>
      <c r="AB838" s="212"/>
      <c r="AD838" s="212"/>
      <c r="AF838" s="475"/>
    </row>
    <row r="839" spans="1:32" x14ac:dyDescent="0.35">
      <c r="A839" s="212"/>
      <c r="B839" s="539"/>
      <c r="D839" s="212"/>
      <c r="F839" s="212"/>
      <c r="G839" s="212"/>
      <c r="J839" s="539"/>
      <c r="S839" s="212"/>
      <c r="U839" s="539"/>
      <c r="V839" s="539"/>
      <c r="W839" s="540"/>
      <c r="X839" s="211"/>
      <c r="Y839" s="211"/>
      <c r="Z839" s="211"/>
      <c r="AA839" s="211"/>
      <c r="AB839" s="212"/>
      <c r="AD839" s="212"/>
      <c r="AF839" s="475"/>
    </row>
    <row r="840" spans="1:32" x14ac:dyDescent="0.35">
      <c r="A840" s="212"/>
      <c r="B840" s="539"/>
      <c r="D840" s="212"/>
      <c r="F840" s="212"/>
      <c r="G840" s="212"/>
      <c r="J840" s="539"/>
      <c r="S840" s="212"/>
      <c r="U840" s="539"/>
      <c r="V840" s="539"/>
      <c r="W840" s="540"/>
      <c r="X840" s="211"/>
      <c r="Y840" s="211"/>
      <c r="Z840" s="211"/>
      <c r="AA840" s="211"/>
      <c r="AB840" s="212"/>
      <c r="AD840" s="212"/>
      <c r="AF840" s="475"/>
    </row>
    <row r="841" spans="1:32" x14ac:dyDescent="0.35">
      <c r="A841" s="212"/>
      <c r="B841" s="539"/>
      <c r="D841" s="212"/>
      <c r="F841" s="212"/>
      <c r="G841" s="212"/>
      <c r="J841" s="539"/>
      <c r="S841" s="212"/>
      <c r="U841" s="539"/>
      <c r="V841" s="539"/>
      <c r="W841" s="540"/>
      <c r="X841" s="211"/>
      <c r="Y841" s="211"/>
      <c r="Z841" s="211"/>
      <c r="AA841" s="211"/>
      <c r="AB841" s="212"/>
      <c r="AD841" s="212"/>
      <c r="AF841" s="475"/>
    </row>
    <row r="842" spans="1:32" x14ac:dyDescent="0.35">
      <c r="A842" s="212"/>
      <c r="B842" s="539"/>
      <c r="D842" s="212"/>
      <c r="F842" s="212"/>
      <c r="G842" s="212"/>
      <c r="J842" s="539"/>
      <c r="S842" s="212"/>
      <c r="U842" s="539"/>
      <c r="V842" s="539"/>
      <c r="W842" s="540"/>
      <c r="X842" s="211"/>
      <c r="Y842" s="211"/>
      <c r="Z842" s="211"/>
      <c r="AA842" s="211"/>
      <c r="AB842" s="212"/>
      <c r="AD842" s="212"/>
      <c r="AF842" s="475"/>
    </row>
    <row r="843" spans="1:32" x14ac:dyDescent="0.35">
      <c r="A843" s="212"/>
      <c r="B843" s="539"/>
      <c r="D843" s="212"/>
      <c r="F843" s="212"/>
      <c r="G843" s="212"/>
      <c r="J843" s="539"/>
      <c r="S843" s="212"/>
      <c r="U843" s="539"/>
      <c r="V843" s="539"/>
      <c r="W843" s="540"/>
      <c r="X843" s="211"/>
      <c r="Y843" s="211"/>
      <c r="Z843" s="211"/>
      <c r="AA843" s="211"/>
      <c r="AB843" s="212"/>
      <c r="AD843" s="212"/>
      <c r="AF843" s="475"/>
    </row>
    <row r="844" spans="1:32" x14ac:dyDescent="0.35">
      <c r="A844" s="212"/>
      <c r="B844" s="539"/>
      <c r="D844" s="212"/>
      <c r="F844" s="212"/>
      <c r="G844" s="212"/>
      <c r="J844" s="539"/>
      <c r="S844" s="212"/>
      <c r="U844" s="539"/>
      <c r="V844" s="539"/>
      <c r="W844" s="540"/>
      <c r="X844" s="211"/>
      <c r="Y844" s="211"/>
      <c r="Z844" s="211"/>
      <c r="AA844" s="211"/>
      <c r="AB844" s="212"/>
      <c r="AD844" s="212"/>
      <c r="AF844" s="475"/>
    </row>
    <row r="845" spans="1:32" x14ac:dyDescent="0.35">
      <c r="A845" s="212"/>
      <c r="B845" s="539"/>
      <c r="D845" s="212"/>
      <c r="F845" s="212"/>
      <c r="G845" s="212"/>
      <c r="J845" s="539"/>
      <c r="S845" s="212"/>
      <c r="U845" s="539"/>
      <c r="V845" s="539"/>
      <c r="W845" s="540"/>
      <c r="X845" s="211"/>
      <c r="Y845" s="211"/>
      <c r="Z845" s="211"/>
      <c r="AA845" s="211"/>
      <c r="AB845" s="212"/>
      <c r="AD845" s="212"/>
      <c r="AF845" s="475"/>
    </row>
    <row r="846" spans="1:32" x14ac:dyDescent="0.35">
      <c r="A846" s="212"/>
      <c r="B846" s="539"/>
      <c r="D846" s="212"/>
      <c r="F846" s="212"/>
      <c r="G846" s="212"/>
      <c r="J846" s="539"/>
      <c r="S846" s="212"/>
      <c r="U846" s="539"/>
      <c r="V846" s="539"/>
      <c r="W846" s="540"/>
      <c r="X846" s="211"/>
      <c r="Y846" s="211"/>
      <c r="Z846" s="211"/>
      <c r="AA846" s="211"/>
      <c r="AB846" s="212"/>
      <c r="AD846" s="212"/>
      <c r="AF846" s="475"/>
    </row>
    <row r="847" spans="1:32" x14ac:dyDescent="0.35">
      <c r="A847" s="212"/>
      <c r="B847" s="539"/>
      <c r="D847" s="212"/>
      <c r="F847" s="212"/>
      <c r="G847" s="212"/>
      <c r="J847" s="539"/>
      <c r="S847" s="212"/>
      <c r="U847" s="539"/>
      <c r="V847" s="539"/>
      <c r="W847" s="540"/>
      <c r="X847" s="211"/>
      <c r="Y847" s="211"/>
      <c r="Z847" s="211"/>
      <c r="AA847" s="211"/>
      <c r="AB847" s="212"/>
      <c r="AD847" s="212"/>
      <c r="AF847" s="475"/>
    </row>
    <row r="848" spans="1:32" x14ac:dyDescent="0.35">
      <c r="A848" s="212"/>
      <c r="B848" s="539"/>
      <c r="D848" s="212"/>
      <c r="F848" s="212"/>
      <c r="G848" s="212"/>
      <c r="J848" s="539"/>
      <c r="S848" s="212"/>
      <c r="U848" s="539"/>
      <c r="V848" s="539"/>
      <c r="W848" s="540"/>
      <c r="X848" s="211"/>
      <c r="Y848" s="211"/>
      <c r="Z848" s="211"/>
      <c r="AA848" s="211"/>
      <c r="AB848" s="212"/>
      <c r="AD848" s="212"/>
      <c r="AF848" s="475"/>
    </row>
    <row r="849" spans="1:32" x14ac:dyDescent="0.35">
      <c r="A849" s="212"/>
      <c r="B849" s="539"/>
      <c r="D849" s="212"/>
      <c r="F849" s="212"/>
      <c r="G849" s="212"/>
      <c r="J849" s="539"/>
      <c r="S849" s="212"/>
      <c r="U849" s="539"/>
      <c r="V849" s="539"/>
      <c r="W849" s="540"/>
      <c r="X849" s="211"/>
      <c r="Y849" s="211"/>
      <c r="Z849" s="211"/>
      <c r="AA849" s="211"/>
      <c r="AB849" s="212"/>
      <c r="AD849" s="212"/>
      <c r="AF849" s="475"/>
    </row>
    <row r="850" spans="1:32" x14ac:dyDescent="0.35">
      <c r="A850" s="212"/>
      <c r="B850" s="539"/>
      <c r="D850" s="212"/>
      <c r="F850" s="212"/>
      <c r="G850" s="212"/>
      <c r="J850" s="539"/>
      <c r="S850" s="212"/>
      <c r="U850" s="539"/>
      <c r="V850" s="539"/>
      <c r="W850" s="540"/>
      <c r="X850" s="211"/>
      <c r="Y850" s="211"/>
      <c r="Z850" s="211"/>
      <c r="AA850" s="211"/>
      <c r="AB850" s="212"/>
      <c r="AD850" s="212"/>
      <c r="AF850" s="475"/>
    </row>
    <row r="851" spans="1:32" x14ac:dyDescent="0.35">
      <c r="A851" s="212"/>
      <c r="B851" s="539"/>
      <c r="D851" s="212"/>
      <c r="F851" s="212"/>
      <c r="G851" s="212"/>
      <c r="J851" s="539"/>
      <c r="S851" s="212"/>
      <c r="U851" s="539"/>
      <c r="V851" s="539"/>
      <c r="W851" s="540"/>
      <c r="X851" s="211"/>
      <c r="Y851" s="211"/>
      <c r="Z851" s="211"/>
      <c r="AA851" s="211"/>
      <c r="AB851" s="212"/>
      <c r="AD851" s="212"/>
      <c r="AF851" s="475"/>
    </row>
    <row r="852" spans="1:32" x14ac:dyDescent="0.35">
      <c r="A852" s="212"/>
      <c r="B852" s="539"/>
      <c r="D852" s="212"/>
      <c r="F852" s="212"/>
      <c r="G852" s="212"/>
      <c r="J852" s="539"/>
      <c r="S852" s="212"/>
      <c r="U852" s="539"/>
      <c r="V852" s="539"/>
      <c r="W852" s="540"/>
      <c r="X852" s="211"/>
      <c r="Y852" s="211"/>
      <c r="Z852" s="211"/>
      <c r="AA852" s="211"/>
      <c r="AB852" s="212"/>
      <c r="AD852" s="212"/>
      <c r="AF852" s="475"/>
    </row>
    <row r="853" spans="1:32" x14ac:dyDescent="0.35">
      <c r="A853" s="212"/>
      <c r="B853" s="539"/>
      <c r="D853" s="212"/>
      <c r="F853" s="212"/>
      <c r="G853" s="212"/>
      <c r="J853" s="539"/>
      <c r="S853" s="212"/>
      <c r="U853" s="539"/>
      <c r="V853" s="539"/>
      <c r="W853" s="540"/>
      <c r="X853" s="211"/>
      <c r="Y853" s="211"/>
      <c r="Z853" s="211"/>
      <c r="AA853" s="211"/>
      <c r="AB853" s="212"/>
      <c r="AD853" s="212"/>
      <c r="AF853" s="475"/>
    </row>
    <row r="854" spans="1:32" x14ac:dyDescent="0.35">
      <c r="A854" s="212"/>
      <c r="B854" s="539"/>
      <c r="D854" s="212"/>
      <c r="F854" s="212"/>
      <c r="G854" s="212"/>
      <c r="J854" s="539"/>
      <c r="S854" s="212"/>
      <c r="U854" s="539"/>
      <c r="V854" s="539"/>
      <c r="W854" s="540"/>
      <c r="X854" s="211"/>
      <c r="Y854" s="211"/>
      <c r="Z854" s="211"/>
      <c r="AA854" s="211"/>
      <c r="AB854" s="212"/>
      <c r="AD854" s="212"/>
      <c r="AF854" s="475"/>
    </row>
    <row r="855" spans="1:32" x14ac:dyDescent="0.35">
      <c r="A855" s="212"/>
      <c r="B855" s="539"/>
      <c r="D855" s="212"/>
      <c r="F855" s="212"/>
      <c r="G855" s="212"/>
      <c r="J855" s="539"/>
      <c r="S855" s="212"/>
      <c r="U855" s="539"/>
      <c r="V855" s="539"/>
      <c r="W855" s="540"/>
      <c r="X855" s="211"/>
      <c r="Y855" s="211"/>
      <c r="Z855" s="211"/>
      <c r="AA855" s="211"/>
      <c r="AB855" s="212"/>
      <c r="AD855" s="212"/>
      <c r="AF855" s="475"/>
    </row>
    <row r="856" spans="1:32" x14ac:dyDescent="0.35">
      <c r="A856" s="212"/>
      <c r="B856" s="539"/>
      <c r="D856" s="212"/>
      <c r="F856" s="212"/>
      <c r="G856" s="212"/>
      <c r="J856" s="539"/>
      <c r="S856" s="212"/>
      <c r="U856" s="539"/>
      <c r="V856" s="539"/>
      <c r="W856" s="540"/>
      <c r="X856" s="211"/>
      <c r="Y856" s="211"/>
      <c r="Z856" s="211"/>
      <c r="AA856" s="211"/>
      <c r="AB856" s="212"/>
      <c r="AD856" s="212"/>
      <c r="AF856" s="475"/>
    </row>
    <row r="857" spans="1:32" x14ac:dyDescent="0.35">
      <c r="A857" s="212"/>
      <c r="B857" s="539"/>
      <c r="D857" s="212"/>
      <c r="F857" s="212"/>
      <c r="G857" s="212"/>
      <c r="J857" s="539"/>
      <c r="S857" s="212"/>
      <c r="U857" s="539"/>
      <c r="V857" s="539"/>
      <c r="W857" s="540"/>
      <c r="X857" s="211"/>
      <c r="Y857" s="211"/>
      <c r="Z857" s="211"/>
      <c r="AA857" s="211"/>
      <c r="AB857" s="212"/>
      <c r="AD857" s="212"/>
      <c r="AF857" s="475"/>
    </row>
    <row r="858" spans="1:32" x14ac:dyDescent="0.35">
      <c r="A858" s="212"/>
      <c r="B858" s="539"/>
      <c r="D858" s="212"/>
      <c r="F858" s="212"/>
      <c r="G858" s="212"/>
      <c r="J858" s="539"/>
      <c r="S858" s="212"/>
      <c r="U858" s="539"/>
      <c r="V858" s="539"/>
      <c r="W858" s="540"/>
      <c r="X858" s="211"/>
      <c r="Y858" s="211"/>
      <c r="Z858" s="211"/>
      <c r="AA858" s="211"/>
      <c r="AB858" s="212"/>
      <c r="AD858" s="212"/>
      <c r="AF858" s="475"/>
    </row>
    <row r="859" spans="1:32" x14ac:dyDescent="0.35">
      <c r="A859" s="212"/>
      <c r="B859" s="539"/>
      <c r="D859" s="212"/>
      <c r="F859" s="212"/>
      <c r="G859" s="212"/>
      <c r="J859" s="539"/>
      <c r="S859" s="212"/>
      <c r="U859" s="539"/>
      <c r="V859" s="539"/>
      <c r="W859" s="540"/>
      <c r="X859" s="211"/>
      <c r="Y859" s="211"/>
      <c r="Z859" s="211"/>
      <c r="AA859" s="211"/>
      <c r="AB859" s="212"/>
      <c r="AD859" s="212"/>
      <c r="AF859" s="475"/>
    </row>
    <row r="860" spans="1:32" x14ac:dyDescent="0.35">
      <c r="A860" s="212"/>
      <c r="B860" s="539"/>
      <c r="D860" s="212"/>
      <c r="F860" s="212"/>
      <c r="G860" s="212"/>
      <c r="J860" s="539"/>
      <c r="S860" s="212"/>
      <c r="U860" s="539"/>
      <c r="V860" s="539"/>
      <c r="W860" s="540"/>
      <c r="X860" s="211"/>
      <c r="Y860" s="211"/>
      <c r="Z860" s="211"/>
      <c r="AA860" s="211"/>
      <c r="AB860" s="212"/>
      <c r="AD860" s="212"/>
      <c r="AF860" s="475"/>
    </row>
    <row r="861" spans="1:32" x14ac:dyDescent="0.35">
      <c r="A861" s="212"/>
      <c r="B861" s="539"/>
      <c r="D861" s="212"/>
      <c r="F861" s="212"/>
      <c r="G861" s="212"/>
      <c r="J861" s="539"/>
      <c r="S861" s="212"/>
      <c r="U861" s="539"/>
      <c r="V861" s="539"/>
      <c r="W861" s="540"/>
      <c r="X861" s="211"/>
      <c r="Y861" s="211"/>
      <c r="Z861" s="211"/>
      <c r="AA861" s="211"/>
      <c r="AB861" s="212"/>
      <c r="AD861" s="212"/>
      <c r="AF861" s="475"/>
    </row>
    <row r="862" spans="1:32" x14ac:dyDescent="0.35">
      <c r="A862" s="212"/>
      <c r="B862" s="539"/>
      <c r="D862" s="212"/>
      <c r="F862" s="212"/>
      <c r="G862" s="212"/>
      <c r="J862" s="539"/>
      <c r="S862" s="212"/>
      <c r="U862" s="539"/>
      <c r="V862" s="539"/>
      <c r="W862" s="540"/>
      <c r="X862" s="211"/>
      <c r="Y862" s="211"/>
      <c r="Z862" s="211"/>
      <c r="AA862" s="211"/>
      <c r="AB862" s="212"/>
      <c r="AD862" s="212"/>
      <c r="AF862" s="475"/>
    </row>
    <row r="863" spans="1:32" x14ac:dyDescent="0.35">
      <c r="A863" s="212"/>
      <c r="B863" s="539"/>
      <c r="D863" s="212"/>
      <c r="F863" s="212"/>
      <c r="G863" s="212"/>
      <c r="J863" s="539"/>
      <c r="S863" s="212"/>
      <c r="U863" s="539"/>
      <c r="V863" s="539"/>
      <c r="W863" s="540"/>
      <c r="X863" s="211"/>
      <c r="Y863" s="211"/>
      <c r="Z863" s="211"/>
      <c r="AA863" s="211"/>
      <c r="AB863" s="212"/>
      <c r="AD863" s="212"/>
      <c r="AF863" s="475"/>
    </row>
    <row r="864" spans="1:32" x14ac:dyDescent="0.35">
      <c r="A864" s="212"/>
      <c r="B864" s="539"/>
      <c r="D864" s="212"/>
      <c r="F864" s="212"/>
      <c r="G864" s="212"/>
      <c r="J864" s="539"/>
      <c r="S864" s="212"/>
      <c r="U864" s="539"/>
      <c r="V864" s="539"/>
      <c r="W864" s="540"/>
      <c r="X864" s="211"/>
      <c r="Y864" s="211"/>
      <c r="Z864" s="211"/>
      <c r="AA864" s="211"/>
      <c r="AB864" s="212"/>
      <c r="AD864" s="212"/>
      <c r="AF864" s="475"/>
    </row>
    <row r="865" spans="1:32" x14ac:dyDescent="0.35">
      <c r="A865" s="212"/>
      <c r="B865" s="539"/>
      <c r="D865" s="212"/>
      <c r="F865" s="212"/>
      <c r="G865" s="212"/>
      <c r="J865" s="539"/>
      <c r="S865" s="212"/>
      <c r="U865" s="539"/>
      <c r="V865" s="539"/>
      <c r="W865" s="540"/>
      <c r="X865" s="211"/>
      <c r="Y865" s="211"/>
      <c r="Z865" s="211"/>
      <c r="AA865" s="211"/>
      <c r="AB865" s="212"/>
      <c r="AD865" s="212"/>
      <c r="AF865" s="475"/>
    </row>
    <row r="866" spans="1:32" x14ac:dyDescent="0.35">
      <c r="A866" s="212"/>
      <c r="B866" s="539"/>
      <c r="D866" s="212"/>
      <c r="F866" s="212"/>
      <c r="G866" s="212"/>
      <c r="J866" s="539"/>
      <c r="S866" s="212"/>
      <c r="U866" s="539"/>
      <c r="V866" s="539"/>
      <c r="W866" s="540"/>
      <c r="X866" s="211"/>
      <c r="Y866" s="211"/>
      <c r="Z866" s="211"/>
      <c r="AA866" s="211"/>
      <c r="AB866" s="212"/>
      <c r="AD866" s="212"/>
      <c r="AF866" s="475"/>
    </row>
    <row r="867" spans="1:32" x14ac:dyDescent="0.35">
      <c r="A867" s="212"/>
      <c r="B867" s="539"/>
      <c r="D867" s="212"/>
      <c r="F867" s="212"/>
      <c r="G867" s="212"/>
      <c r="J867" s="539"/>
      <c r="S867" s="212"/>
      <c r="U867" s="539"/>
      <c r="V867" s="539"/>
      <c r="W867" s="540"/>
      <c r="X867" s="211"/>
      <c r="Y867" s="211"/>
      <c r="Z867" s="211"/>
      <c r="AA867" s="211"/>
      <c r="AB867" s="212"/>
      <c r="AD867" s="212"/>
      <c r="AF867" s="475"/>
    </row>
    <row r="868" spans="1:32" x14ac:dyDescent="0.35">
      <c r="A868" s="212"/>
      <c r="B868" s="539"/>
      <c r="D868" s="212"/>
      <c r="F868" s="212"/>
      <c r="G868" s="212"/>
      <c r="J868" s="539"/>
      <c r="S868" s="212"/>
      <c r="U868" s="539"/>
      <c r="V868" s="539"/>
      <c r="W868" s="540"/>
      <c r="X868" s="211"/>
      <c r="Y868" s="211"/>
      <c r="Z868" s="211"/>
      <c r="AA868" s="211"/>
      <c r="AB868" s="212"/>
      <c r="AD868" s="212"/>
      <c r="AF868" s="475"/>
    </row>
    <row r="869" spans="1:32" x14ac:dyDescent="0.35">
      <c r="A869" s="212"/>
      <c r="B869" s="539"/>
      <c r="D869" s="212"/>
      <c r="F869" s="212"/>
      <c r="G869" s="212"/>
      <c r="J869" s="539"/>
      <c r="S869" s="212"/>
      <c r="U869" s="539"/>
      <c r="V869" s="539"/>
      <c r="W869" s="540"/>
      <c r="X869" s="211"/>
      <c r="Y869" s="211"/>
      <c r="Z869" s="211"/>
      <c r="AA869" s="211"/>
      <c r="AB869" s="212"/>
      <c r="AD869" s="212"/>
      <c r="AF869" s="475"/>
    </row>
    <row r="870" spans="1:32" x14ac:dyDescent="0.35">
      <c r="A870" s="212"/>
      <c r="B870" s="539"/>
      <c r="D870" s="212"/>
      <c r="F870" s="212"/>
      <c r="G870" s="212"/>
      <c r="J870" s="539"/>
      <c r="S870" s="212"/>
      <c r="U870" s="539"/>
      <c r="V870" s="539"/>
      <c r="W870" s="540"/>
      <c r="X870" s="211"/>
      <c r="Y870" s="211"/>
      <c r="Z870" s="211"/>
      <c r="AA870" s="211"/>
      <c r="AB870" s="212"/>
      <c r="AD870" s="212"/>
      <c r="AF870" s="475"/>
    </row>
    <row r="871" spans="1:32" x14ac:dyDescent="0.35">
      <c r="A871" s="212"/>
      <c r="B871" s="539"/>
      <c r="D871" s="212"/>
      <c r="F871" s="212"/>
      <c r="G871" s="212"/>
      <c r="J871" s="539"/>
      <c r="S871" s="212"/>
      <c r="U871" s="539"/>
      <c r="V871" s="539"/>
      <c r="W871" s="540"/>
      <c r="X871" s="211"/>
      <c r="Y871" s="211"/>
      <c r="Z871" s="211"/>
      <c r="AA871" s="211"/>
      <c r="AB871" s="212"/>
      <c r="AD871" s="212"/>
      <c r="AF871" s="475"/>
    </row>
    <row r="872" spans="1:32" x14ac:dyDescent="0.35">
      <c r="A872" s="212"/>
      <c r="B872" s="539"/>
      <c r="D872" s="212"/>
      <c r="F872" s="212"/>
      <c r="G872" s="212"/>
      <c r="J872" s="539"/>
      <c r="S872" s="212"/>
      <c r="U872" s="539"/>
      <c r="V872" s="539"/>
      <c r="W872" s="540"/>
      <c r="X872" s="211"/>
      <c r="Y872" s="211"/>
      <c r="Z872" s="211"/>
      <c r="AA872" s="211"/>
      <c r="AB872" s="212"/>
      <c r="AD872" s="212"/>
      <c r="AF872" s="475"/>
    </row>
    <row r="873" spans="1:32" x14ac:dyDescent="0.35">
      <c r="A873" s="212"/>
      <c r="B873" s="539"/>
      <c r="D873" s="212"/>
      <c r="F873" s="212"/>
      <c r="G873" s="212"/>
      <c r="J873" s="539"/>
      <c r="S873" s="212"/>
      <c r="U873" s="539"/>
      <c r="V873" s="539"/>
      <c r="W873" s="540"/>
      <c r="X873" s="211"/>
      <c r="Y873" s="211"/>
      <c r="Z873" s="211"/>
      <c r="AA873" s="211"/>
      <c r="AB873" s="212"/>
      <c r="AD873" s="212"/>
      <c r="AF873" s="475"/>
    </row>
    <row r="874" spans="1:32" x14ac:dyDescent="0.35">
      <c r="A874" s="212"/>
      <c r="B874" s="539"/>
      <c r="D874" s="212"/>
      <c r="F874" s="212"/>
      <c r="G874" s="212"/>
      <c r="J874" s="539"/>
      <c r="S874" s="212"/>
      <c r="U874" s="539"/>
      <c r="V874" s="539"/>
      <c r="W874" s="540"/>
      <c r="X874" s="211"/>
      <c r="Y874" s="211"/>
      <c r="Z874" s="211"/>
      <c r="AA874" s="211"/>
      <c r="AB874" s="212"/>
      <c r="AD874" s="212"/>
      <c r="AF874" s="475"/>
    </row>
    <row r="875" spans="1:32" x14ac:dyDescent="0.35">
      <c r="A875" s="212"/>
      <c r="B875" s="539"/>
      <c r="D875" s="212"/>
      <c r="F875" s="212"/>
      <c r="G875" s="212"/>
      <c r="J875" s="539"/>
      <c r="S875" s="212"/>
      <c r="U875" s="539"/>
      <c r="V875" s="539"/>
      <c r="W875" s="540"/>
      <c r="X875" s="211"/>
      <c r="Y875" s="211"/>
      <c r="Z875" s="211"/>
      <c r="AA875" s="211"/>
      <c r="AB875" s="212"/>
      <c r="AD875" s="212"/>
      <c r="AF875" s="475"/>
    </row>
    <row r="876" spans="1:32" x14ac:dyDescent="0.35">
      <c r="A876" s="212"/>
      <c r="B876" s="539"/>
      <c r="D876" s="212"/>
      <c r="F876" s="212"/>
      <c r="G876" s="212"/>
      <c r="J876" s="539"/>
      <c r="S876" s="212"/>
      <c r="U876" s="539"/>
      <c r="V876" s="539"/>
      <c r="W876" s="540"/>
      <c r="X876" s="211"/>
      <c r="Y876" s="211"/>
      <c r="Z876" s="211"/>
      <c r="AA876" s="211"/>
      <c r="AB876" s="212"/>
      <c r="AD876" s="212"/>
      <c r="AF876" s="475"/>
    </row>
    <row r="877" spans="1:32" x14ac:dyDescent="0.35">
      <c r="A877" s="212"/>
      <c r="B877" s="539"/>
      <c r="D877" s="212"/>
      <c r="F877" s="212"/>
      <c r="G877" s="212"/>
      <c r="J877" s="539"/>
      <c r="S877" s="212"/>
      <c r="U877" s="539"/>
      <c r="V877" s="539"/>
      <c r="W877" s="540"/>
      <c r="X877" s="211"/>
      <c r="Y877" s="211"/>
      <c r="Z877" s="211"/>
      <c r="AA877" s="211"/>
      <c r="AB877" s="212"/>
      <c r="AD877" s="212"/>
      <c r="AF877" s="475"/>
    </row>
    <row r="878" spans="1:32" x14ac:dyDescent="0.35">
      <c r="A878" s="212"/>
      <c r="B878" s="539"/>
      <c r="D878" s="212"/>
      <c r="F878" s="212"/>
      <c r="G878" s="212"/>
      <c r="J878" s="539"/>
      <c r="S878" s="212"/>
      <c r="U878" s="539"/>
      <c r="V878" s="539"/>
      <c r="W878" s="540"/>
      <c r="X878" s="211"/>
      <c r="Y878" s="211"/>
      <c r="Z878" s="211"/>
      <c r="AA878" s="211"/>
      <c r="AB878" s="212"/>
      <c r="AD878" s="212"/>
      <c r="AF878" s="475"/>
    </row>
    <row r="879" spans="1:32" x14ac:dyDescent="0.35">
      <c r="A879" s="212"/>
      <c r="B879" s="539"/>
      <c r="D879" s="212"/>
      <c r="F879" s="212"/>
      <c r="G879" s="212"/>
      <c r="J879" s="539"/>
      <c r="S879" s="212"/>
      <c r="U879" s="539"/>
      <c r="V879" s="539"/>
      <c r="W879" s="540"/>
      <c r="X879" s="211"/>
      <c r="Y879" s="211"/>
      <c r="Z879" s="211"/>
      <c r="AA879" s="211"/>
      <c r="AB879" s="212"/>
      <c r="AD879" s="212"/>
      <c r="AF879" s="475"/>
    </row>
    <row r="880" spans="1:32" x14ac:dyDescent="0.35">
      <c r="A880" s="212"/>
      <c r="B880" s="539"/>
      <c r="D880" s="212"/>
      <c r="F880" s="212"/>
      <c r="G880" s="212"/>
      <c r="J880" s="539"/>
      <c r="S880" s="212"/>
      <c r="U880" s="539"/>
      <c r="V880" s="539"/>
      <c r="W880" s="540"/>
      <c r="X880" s="211"/>
      <c r="Y880" s="211"/>
      <c r="Z880" s="211"/>
      <c r="AA880" s="211"/>
      <c r="AB880" s="212"/>
      <c r="AD880" s="212"/>
      <c r="AF880" s="475"/>
    </row>
    <row r="881" spans="1:32" x14ac:dyDescent="0.35">
      <c r="A881" s="212"/>
      <c r="B881" s="539"/>
      <c r="D881" s="212"/>
      <c r="F881" s="212"/>
      <c r="G881" s="212"/>
      <c r="J881" s="539"/>
      <c r="S881" s="212"/>
      <c r="U881" s="539"/>
      <c r="V881" s="539"/>
      <c r="W881" s="540"/>
      <c r="X881" s="211"/>
      <c r="Y881" s="211"/>
      <c r="Z881" s="211"/>
      <c r="AA881" s="211"/>
      <c r="AB881" s="212"/>
      <c r="AD881" s="212"/>
      <c r="AF881" s="475"/>
    </row>
    <row r="882" spans="1:32" x14ac:dyDescent="0.35">
      <c r="A882" s="212"/>
      <c r="B882" s="539"/>
      <c r="D882" s="212"/>
      <c r="F882" s="212"/>
      <c r="G882" s="212"/>
      <c r="J882" s="539"/>
      <c r="S882" s="212"/>
      <c r="U882" s="539"/>
      <c r="V882" s="539"/>
      <c r="W882" s="540"/>
      <c r="X882" s="211"/>
      <c r="Y882" s="211"/>
      <c r="Z882" s="211"/>
      <c r="AA882" s="211"/>
      <c r="AB882" s="212"/>
      <c r="AD882" s="212"/>
      <c r="AF882" s="475"/>
    </row>
    <row r="883" spans="1:32" x14ac:dyDescent="0.35">
      <c r="A883" s="212"/>
      <c r="B883" s="539"/>
      <c r="D883" s="212"/>
      <c r="F883" s="212"/>
      <c r="G883" s="212"/>
      <c r="J883" s="539"/>
      <c r="S883" s="212"/>
      <c r="U883" s="539"/>
      <c r="V883" s="539"/>
      <c r="W883" s="540"/>
      <c r="X883" s="211"/>
      <c r="Y883" s="211"/>
      <c r="Z883" s="211"/>
      <c r="AA883" s="211"/>
      <c r="AB883" s="212"/>
      <c r="AD883" s="212"/>
      <c r="AF883" s="475"/>
    </row>
    <row r="884" spans="1:32" x14ac:dyDescent="0.35">
      <c r="A884" s="212"/>
      <c r="B884" s="539"/>
      <c r="D884" s="212"/>
      <c r="F884" s="212"/>
      <c r="G884" s="212"/>
      <c r="J884" s="539"/>
      <c r="S884" s="212"/>
      <c r="U884" s="539"/>
      <c r="V884" s="539"/>
      <c r="W884" s="540"/>
      <c r="X884" s="211"/>
      <c r="Y884" s="211"/>
      <c r="Z884" s="211"/>
      <c r="AA884" s="211"/>
      <c r="AB884" s="212"/>
      <c r="AD884" s="212"/>
      <c r="AF884" s="475"/>
    </row>
    <row r="885" spans="1:32" x14ac:dyDescent="0.35">
      <c r="A885" s="212"/>
      <c r="B885" s="539"/>
      <c r="D885" s="212"/>
      <c r="F885" s="212"/>
      <c r="G885" s="212"/>
      <c r="J885" s="539"/>
      <c r="S885" s="212"/>
      <c r="U885" s="539"/>
      <c r="V885" s="539"/>
      <c r="W885" s="540"/>
      <c r="X885" s="211"/>
      <c r="Y885" s="211"/>
      <c r="Z885" s="211"/>
      <c r="AA885" s="211"/>
      <c r="AB885" s="212"/>
      <c r="AD885" s="212"/>
      <c r="AF885" s="475"/>
    </row>
    <row r="886" spans="1:32" x14ac:dyDescent="0.35">
      <c r="A886" s="212"/>
      <c r="B886" s="539"/>
      <c r="D886" s="212"/>
      <c r="F886" s="212"/>
      <c r="G886" s="212"/>
      <c r="J886" s="539"/>
      <c r="S886" s="212"/>
      <c r="U886" s="539"/>
      <c r="V886" s="539"/>
      <c r="W886" s="540"/>
      <c r="X886" s="211"/>
      <c r="Y886" s="211"/>
      <c r="Z886" s="211"/>
      <c r="AA886" s="211"/>
      <c r="AB886" s="212"/>
      <c r="AD886" s="212"/>
      <c r="AF886" s="475"/>
    </row>
    <row r="887" spans="1:32" x14ac:dyDescent="0.35">
      <c r="A887" s="212"/>
      <c r="B887" s="539"/>
      <c r="D887" s="212"/>
      <c r="F887" s="212"/>
      <c r="G887" s="212"/>
      <c r="J887" s="539"/>
      <c r="S887" s="212"/>
      <c r="U887" s="539"/>
      <c r="V887" s="539"/>
      <c r="W887" s="540"/>
      <c r="X887" s="211"/>
      <c r="Y887" s="211"/>
      <c r="Z887" s="211"/>
      <c r="AA887" s="211"/>
      <c r="AB887" s="212"/>
      <c r="AD887" s="212"/>
      <c r="AF887" s="475"/>
    </row>
    <row r="888" spans="1:32" x14ac:dyDescent="0.35">
      <c r="A888" s="212"/>
      <c r="B888" s="539"/>
      <c r="D888" s="212"/>
      <c r="F888" s="212"/>
      <c r="G888" s="212"/>
      <c r="J888" s="539"/>
      <c r="S888" s="212"/>
      <c r="U888" s="539"/>
      <c r="V888" s="539"/>
      <c r="W888" s="540"/>
      <c r="X888" s="211"/>
      <c r="Y888" s="211"/>
      <c r="Z888" s="211"/>
      <c r="AA888" s="211"/>
      <c r="AB888" s="212"/>
      <c r="AD888" s="212"/>
      <c r="AF888" s="475"/>
    </row>
    <row r="889" spans="1:32" x14ac:dyDescent="0.35">
      <c r="A889" s="212"/>
      <c r="B889" s="539"/>
      <c r="D889" s="212"/>
      <c r="F889" s="212"/>
      <c r="G889" s="212"/>
      <c r="J889" s="539"/>
      <c r="S889" s="212"/>
      <c r="U889" s="539"/>
      <c r="V889" s="539"/>
      <c r="W889" s="540"/>
      <c r="X889" s="211"/>
      <c r="Y889" s="211"/>
      <c r="Z889" s="211"/>
      <c r="AA889" s="211"/>
      <c r="AB889" s="212"/>
      <c r="AD889" s="212"/>
      <c r="AF889" s="475"/>
    </row>
    <row r="890" spans="1:32" x14ac:dyDescent="0.35">
      <c r="A890" s="212"/>
      <c r="B890" s="539"/>
      <c r="D890" s="212"/>
      <c r="F890" s="212"/>
      <c r="G890" s="212"/>
      <c r="J890" s="539"/>
      <c r="S890" s="212"/>
      <c r="U890" s="539"/>
      <c r="V890" s="539"/>
      <c r="W890" s="540"/>
      <c r="X890" s="211"/>
      <c r="Y890" s="211"/>
      <c r="Z890" s="211"/>
      <c r="AA890" s="211"/>
      <c r="AB890" s="212"/>
      <c r="AD890" s="212"/>
      <c r="AF890" s="475"/>
    </row>
    <row r="891" spans="1:32" x14ac:dyDescent="0.35">
      <c r="V891" s="406"/>
      <c r="W891" s="362"/>
    </row>
    <row r="892" spans="1:32" x14ac:dyDescent="0.35">
      <c r="V892" s="406"/>
      <c r="W892" s="362"/>
    </row>
    <row r="893" spans="1:32" x14ac:dyDescent="0.35">
      <c r="V893" s="406"/>
      <c r="W893" s="362"/>
    </row>
    <row r="894" spans="1:32" x14ac:dyDescent="0.35">
      <c r="V894" s="406"/>
      <c r="W894" s="362"/>
    </row>
    <row r="895" spans="1:32" x14ac:dyDescent="0.35">
      <c r="V895" s="406"/>
      <c r="W895" s="362"/>
    </row>
    <row r="896" spans="1:32" x14ac:dyDescent="0.35">
      <c r="V896" s="406"/>
      <c r="W896" s="362"/>
    </row>
    <row r="897" spans="22:23" x14ac:dyDescent="0.35">
      <c r="V897" s="406"/>
      <c r="W897" s="362"/>
    </row>
    <row r="898" spans="22:23" x14ac:dyDescent="0.35">
      <c r="V898" s="406"/>
      <c r="W898" s="362"/>
    </row>
    <row r="899" spans="22:23" x14ac:dyDescent="0.35">
      <c r="V899" s="406"/>
      <c r="W899" s="362"/>
    </row>
    <row r="900" spans="22:23" x14ac:dyDescent="0.35">
      <c r="V900" s="406"/>
      <c r="W900" s="362"/>
    </row>
    <row r="901" spans="22:23" x14ac:dyDescent="0.35">
      <c r="V901" s="406"/>
      <c r="W901" s="362"/>
    </row>
    <row r="902" spans="22:23" x14ac:dyDescent="0.35">
      <c r="V902" s="406"/>
      <c r="W902" s="362"/>
    </row>
    <row r="903" spans="22:23" x14ac:dyDescent="0.35">
      <c r="V903" s="406"/>
      <c r="W903" s="362"/>
    </row>
    <row r="904" spans="22:23" x14ac:dyDescent="0.35">
      <c r="V904" s="406"/>
      <c r="W904" s="362"/>
    </row>
    <row r="905" spans="22:23" x14ac:dyDescent="0.35">
      <c r="V905" s="406"/>
      <c r="W905" s="362"/>
    </row>
    <row r="906" spans="22:23" x14ac:dyDescent="0.35">
      <c r="V906" s="406"/>
      <c r="W906" s="362"/>
    </row>
    <row r="907" spans="22:23" x14ac:dyDescent="0.35">
      <c r="V907" s="406"/>
      <c r="W907" s="362"/>
    </row>
    <row r="908" spans="22:23" x14ac:dyDescent="0.35">
      <c r="V908" s="406"/>
      <c r="W908" s="362"/>
    </row>
    <row r="909" spans="22:23" x14ac:dyDescent="0.35">
      <c r="V909" s="406"/>
      <c r="W909" s="362"/>
    </row>
    <row r="910" spans="22:23" x14ac:dyDescent="0.35">
      <c r="V910" s="406"/>
      <c r="W910" s="362"/>
    </row>
    <row r="911" spans="22:23" x14ac:dyDescent="0.35">
      <c r="V911" s="406"/>
      <c r="W911" s="362"/>
    </row>
    <row r="912" spans="22:23" x14ac:dyDescent="0.35">
      <c r="V912" s="406"/>
      <c r="W912" s="362"/>
    </row>
    <row r="913" spans="22:23" x14ac:dyDescent="0.35">
      <c r="V913" s="406"/>
      <c r="W913" s="362"/>
    </row>
    <row r="914" spans="22:23" x14ac:dyDescent="0.35">
      <c r="V914" s="406"/>
      <c r="W914" s="362"/>
    </row>
    <row r="915" spans="22:23" x14ac:dyDescent="0.35">
      <c r="V915" s="406"/>
      <c r="W915" s="362"/>
    </row>
    <row r="916" spans="22:23" x14ac:dyDescent="0.35">
      <c r="V916" s="406"/>
      <c r="W916" s="362"/>
    </row>
    <row r="917" spans="22:23" x14ac:dyDescent="0.35">
      <c r="V917" s="406"/>
      <c r="W917" s="362"/>
    </row>
    <row r="918" spans="22:23" x14ac:dyDescent="0.35">
      <c r="V918" s="406"/>
      <c r="W918" s="362"/>
    </row>
    <row r="919" spans="22:23" x14ac:dyDescent="0.35">
      <c r="V919" s="406"/>
      <c r="W919" s="362"/>
    </row>
    <row r="920" spans="22:23" x14ac:dyDescent="0.35">
      <c r="V920" s="406"/>
      <c r="W920" s="362"/>
    </row>
    <row r="921" spans="22:23" x14ac:dyDescent="0.35">
      <c r="V921" s="406"/>
      <c r="W921" s="362"/>
    </row>
    <row r="922" spans="22:23" x14ac:dyDescent="0.35">
      <c r="V922" s="406"/>
      <c r="W922" s="362"/>
    </row>
    <row r="923" spans="22:23" x14ac:dyDescent="0.35">
      <c r="V923" s="406"/>
      <c r="W923" s="362"/>
    </row>
    <row r="924" spans="22:23" x14ac:dyDescent="0.35">
      <c r="V924" s="406"/>
      <c r="W924" s="362"/>
    </row>
    <row r="925" spans="22:23" x14ac:dyDescent="0.35">
      <c r="V925" s="406"/>
      <c r="W925" s="362"/>
    </row>
    <row r="926" spans="22:23" x14ac:dyDescent="0.35">
      <c r="V926" s="406"/>
      <c r="W926" s="362"/>
    </row>
    <row r="927" spans="22:23" x14ac:dyDescent="0.35">
      <c r="V927" s="406"/>
      <c r="W927" s="362"/>
    </row>
    <row r="928" spans="22:23" x14ac:dyDescent="0.35">
      <c r="V928" s="406"/>
      <c r="W928" s="362"/>
    </row>
    <row r="929" spans="22:23" x14ac:dyDescent="0.35">
      <c r="V929" s="406"/>
      <c r="W929" s="362"/>
    </row>
    <row r="930" spans="22:23" x14ac:dyDescent="0.35">
      <c r="V930" s="406"/>
      <c r="W930" s="362"/>
    </row>
    <row r="931" spans="22:23" x14ac:dyDescent="0.35">
      <c r="V931" s="406"/>
      <c r="W931" s="362"/>
    </row>
    <row r="932" spans="22:23" x14ac:dyDescent="0.35">
      <c r="V932" s="406"/>
      <c r="W932" s="362"/>
    </row>
    <row r="933" spans="22:23" x14ac:dyDescent="0.35">
      <c r="V933" s="406"/>
      <c r="W933" s="362"/>
    </row>
    <row r="934" spans="22:23" x14ac:dyDescent="0.35">
      <c r="V934" s="406"/>
      <c r="W934" s="362"/>
    </row>
    <row r="935" spans="22:23" x14ac:dyDescent="0.35">
      <c r="V935" s="406"/>
      <c r="W935" s="362"/>
    </row>
    <row r="936" spans="22:23" x14ac:dyDescent="0.35">
      <c r="V936" s="406"/>
      <c r="W936" s="362"/>
    </row>
    <row r="937" spans="22:23" x14ac:dyDescent="0.35">
      <c r="V937" s="406"/>
      <c r="W937" s="362"/>
    </row>
    <row r="938" spans="22:23" x14ac:dyDescent="0.35">
      <c r="V938" s="406"/>
      <c r="W938" s="362"/>
    </row>
    <row r="939" spans="22:23" x14ac:dyDescent="0.35">
      <c r="V939" s="406"/>
      <c r="W939" s="362"/>
    </row>
    <row r="940" spans="22:23" x14ac:dyDescent="0.35">
      <c r="V940" s="406"/>
      <c r="W940" s="362"/>
    </row>
    <row r="941" spans="22:23" x14ac:dyDescent="0.35">
      <c r="V941" s="406"/>
      <c r="W941" s="362"/>
    </row>
    <row r="942" spans="22:23" x14ac:dyDescent="0.35">
      <c r="V942" s="406"/>
      <c r="W942" s="362"/>
    </row>
    <row r="943" spans="22:23" x14ac:dyDescent="0.35">
      <c r="V943" s="406"/>
      <c r="W943" s="362"/>
    </row>
    <row r="944" spans="22:23" x14ac:dyDescent="0.35">
      <c r="V944" s="406"/>
      <c r="W944" s="362"/>
    </row>
    <row r="945" spans="22:23" x14ac:dyDescent="0.35">
      <c r="V945" s="406"/>
      <c r="W945" s="362"/>
    </row>
    <row r="946" spans="22:23" x14ac:dyDescent="0.35">
      <c r="V946" s="406"/>
      <c r="W946" s="362"/>
    </row>
    <row r="947" spans="22:23" x14ac:dyDescent="0.35">
      <c r="V947" s="406"/>
      <c r="W947" s="362"/>
    </row>
    <row r="948" spans="22:23" x14ac:dyDescent="0.35">
      <c r="V948" s="406"/>
      <c r="W948" s="362"/>
    </row>
    <row r="949" spans="22:23" x14ac:dyDescent="0.35">
      <c r="V949" s="406"/>
      <c r="W949" s="362"/>
    </row>
    <row r="950" spans="22:23" x14ac:dyDescent="0.35">
      <c r="V950" s="406"/>
      <c r="W950" s="362"/>
    </row>
    <row r="951" spans="22:23" x14ac:dyDescent="0.35">
      <c r="V951" s="406"/>
      <c r="W951" s="362"/>
    </row>
    <row r="952" spans="22:23" x14ac:dyDescent="0.35">
      <c r="V952" s="406"/>
      <c r="W952" s="362"/>
    </row>
    <row r="953" spans="22:23" x14ac:dyDescent="0.35">
      <c r="V953" s="406"/>
      <c r="W953" s="362"/>
    </row>
    <row r="954" spans="22:23" x14ac:dyDescent="0.35">
      <c r="V954" s="406"/>
      <c r="W954" s="362"/>
    </row>
    <row r="955" spans="22:23" x14ac:dyDescent="0.35">
      <c r="V955" s="406"/>
      <c r="W955" s="362"/>
    </row>
    <row r="956" spans="22:23" x14ac:dyDescent="0.35">
      <c r="V956" s="406"/>
      <c r="W956" s="362"/>
    </row>
    <row r="957" spans="22:23" x14ac:dyDescent="0.35">
      <c r="V957" s="406"/>
      <c r="W957" s="362"/>
    </row>
    <row r="958" spans="22:23" x14ac:dyDescent="0.35">
      <c r="V958" s="406"/>
      <c r="W958" s="362"/>
    </row>
    <row r="959" spans="22:23" x14ac:dyDescent="0.35">
      <c r="V959" s="406"/>
      <c r="W959" s="362"/>
    </row>
    <row r="960" spans="22:23" x14ac:dyDescent="0.35">
      <c r="V960" s="406"/>
      <c r="W960" s="362"/>
    </row>
    <row r="961" spans="22:23" x14ac:dyDescent="0.35">
      <c r="V961" s="406"/>
      <c r="W961" s="362"/>
    </row>
    <row r="962" spans="22:23" x14ac:dyDescent="0.35">
      <c r="V962" s="406"/>
      <c r="W962" s="362"/>
    </row>
    <row r="963" spans="22:23" x14ac:dyDescent="0.35">
      <c r="V963" s="406"/>
      <c r="W963" s="362"/>
    </row>
    <row r="964" spans="22:23" x14ac:dyDescent="0.35">
      <c r="V964" s="406"/>
      <c r="W964" s="362"/>
    </row>
    <row r="965" spans="22:23" x14ac:dyDescent="0.35">
      <c r="V965" s="406"/>
      <c r="W965" s="362"/>
    </row>
    <row r="966" spans="22:23" x14ac:dyDescent="0.35">
      <c r="V966" s="406"/>
      <c r="W966" s="362"/>
    </row>
    <row r="967" spans="22:23" x14ac:dyDescent="0.35">
      <c r="V967" s="406"/>
      <c r="W967" s="362"/>
    </row>
    <row r="968" spans="22:23" x14ac:dyDescent="0.35">
      <c r="V968" s="406"/>
      <c r="W968" s="362"/>
    </row>
    <row r="969" spans="22:23" x14ac:dyDescent="0.35">
      <c r="V969" s="406"/>
      <c r="W969" s="362"/>
    </row>
    <row r="970" spans="22:23" x14ac:dyDescent="0.35">
      <c r="V970" s="406"/>
      <c r="W970" s="362"/>
    </row>
    <row r="971" spans="22:23" x14ac:dyDescent="0.35">
      <c r="V971" s="406"/>
      <c r="W971" s="362"/>
    </row>
    <row r="972" spans="22:23" x14ac:dyDescent="0.35">
      <c r="V972" s="406"/>
      <c r="W972" s="362"/>
    </row>
    <row r="973" spans="22:23" x14ac:dyDescent="0.35">
      <c r="V973" s="406"/>
      <c r="W973" s="362"/>
    </row>
    <row r="974" spans="22:23" x14ac:dyDescent="0.35">
      <c r="V974" s="406"/>
      <c r="W974" s="362"/>
    </row>
    <row r="975" spans="22:23" x14ac:dyDescent="0.35">
      <c r="V975" s="406"/>
      <c r="W975" s="362"/>
    </row>
    <row r="976" spans="22:23" x14ac:dyDescent="0.35">
      <c r="V976" s="406"/>
      <c r="W976" s="362"/>
    </row>
    <row r="977" spans="22:23" x14ac:dyDescent="0.35">
      <c r="V977" s="406"/>
      <c r="W977" s="362"/>
    </row>
    <row r="978" spans="22:23" x14ac:dyDescent="0.35">
      <c r="V978" s="406"/>
      <c r="W978" s="362"/>
    </row>
    <row r="979" spans="22:23" x14ac:dyDescent="0.35">
      <c r="V979" s="406"/>
      <c r="W979" s="362"/>
    </row>
    <row r="980" spans="22:23" x14ac:dyDescent="0.35">
      <c r="V980" s="406"/>
      <c r="W980" s="362"/>
    </row>
    <row r="981" spans="22:23" x14ac:dyDescent="0.35">
      <c r="V981" s="406"/>
      <c r="W981" s="362"/>
    </row>
    <row r="982" spans="22:23" x14ac:dyDescent="0.35">
      <c r="V982" s="406"/>
      <c r="W982" s="362"/>
    </row>
    <row r="983" spans="22:23" x14ac:dyDescent="0.35">
      <c r="V983" s="406"/>
      <c r="W983" s="362"/>
    </row>
    <row r="984" spans="22:23" x14ac:dyDescent="0.35">
      <c r="V984" s="406"/>
      <c r="W984" s="362"/>
    </row>
    <row r="985" spans="22:23" x14ac:dyDescent="0.35">
      <c r="V985" s="406"/>
      <c r="W985" s="362"/>
    </row>
    <row r="986" spans="22:23" x14ac:dyDescent="0.35">
      <c r="V986" s="406"/>
      <c r="W986" s="362"/>
    </row>
    <row r="987" spans="22:23" x14ac:dyDescent="0.35">
      <c r="V987" s="406"/>
      <c r="W987" s="362"/>
    </row>
    <row r="988" spans="22:23" x14ac:dyDescent="0.35">
      <c r="V988" s="406"/>
      <c r="W988" s="362"/>
    </row>
    <row r="989" spans="22:23" x14ac:dyDescent="0.35">
      <c r="V989" s="406"/>
      <c r="W989" s="362"/>
    </row>
    <row r="990" spans="22:23" x14ac:dyDescent="0.35">
      <c r="V990" s="406"/>
      <c r="W990" s="362"/>
    </row>
    <row r="991" spans="22:23" x14ac:dyDescent="0.35">
      <c r="V991" s="406"/>
      <c r="W991" s="362"/>
    </row>
    <row r="992" spans="22:23" x14ac:dyDescent="0.35">
      <c r="V992" s="406"/>
      <c r="W992" s="362"/>
    </row>
    <row r="993" spans="22:23" x14ac:dyDescent="0.35">
      <c r="V993" s="406"/>
      <c r="W993" s="362"/>
    </row>
    <row r="994" spans="22:23" x14ac:dyDescent="0.35">
      <c r="V994" s="406"/>
      <c r="W994" s="362"/>
    </row>
    <row r="995" spans="22:23" x14ac:dyDescent="0.35">
      <c r="V995" s="406"/>
      <c r="W995" s="362"/>
    </row>
    <row r="996" spans="22:23" x14ac:dyDescent="0.35">
      <c r="V996" s="406"/>
      <c r="W996" s="362"/>
    </row>
    <row r="997" spans="22:23" x14ac:dyDescent="0.35">
      <c r="V997" s="406"/>
      <c r="W997" s="362"/>
    </row>
    <row r="998" spans="22:23" x14ac:dyDescent="0.35">
      <c r="V998" s="406"/>
      <c r="W998" s="362"/>
    </row>
    <row r="999" spans="22:23" x14ac:dyDescent="0.35">
      <c r="V999" s="406"/>
      <c r="W999" s="362"/>
    </row>
    <row r="1000" spans="22:23" x14ac:dyDescent="0.35">
      <c r="V1000" s="406"/>
      <c r="W1000" s="362"/>
    </row>
    <row r="1001" spans="22:23" x14ac:dyDescent="0.35">
      <c r="V1001" s="406"/>
      <c r="W1001" s="362"/>
    </row>
    <row r="1002" spans="22:23" x14ac:dyDescent="0.35">
      <c r="V1002" s="406"/>
      <c r="W1002" s="362"/>
    </row>
    <row r="1003" spans="22:23" x14ac:dyDescent="0.35">
      <c r="V1003" s="406"/>
      <c r="W1003" s="362"/>
    </row>
    <row r="1004" spans="22:23" x14ac:dyDescent="0.35">
      <c r="V1004" s="406"/>
      <c r="W1004" s="362"/>
    </row>
    <row r="1005" spans="22:23" x14ac:dyDescent="0.35">
      <c r="V1005" s="406"/>
      <c r="W1005" s="362"/>
    </row>
    <row r="1006" spans="22:23" x14ac:dyDescent="0.35">
      <c r="V1006" s="406"/>
      <c r="W1006" s="362"/>
    </row>
    <row r="1007" spans="22:23" x14ac:dyDescent="0.35">
      <c r="V1007" s="406"/>
      <c r="W1007" s="362"/>
    </row>
    <row r="1008" spans="22:23" x14ac:dyDescent="0.35">
      <c r="V1008" s="406"/>
      <c r="W1008" s="362"/>
    </row>
    <row r="1009" spans="22:23" x14ac:dyDescent="0.35">
      <c r="V1009" s="406"/>
      <c r="W1009" s="362"/>
    </row>
    <row r="1010" spans="22:23" x14ac:dyDescent="0.35">
      <c r="V1010" s="406"/>
      <c r="W1010" s="362"/>
    </row>
    <row r="1011" spans="22:23" x14ac:dyDescent="0.35">
      <c r="V1011" s="406"/>
      <c r="W1011" s="362"/>
    </row>
    <row r="1012" spans="22:23" x14ac:dyDescent="0.35">
      <c r="V1012" s="406"/>
      <c r="W1012" s="362"/>
    </row>
    <row r="1013" spans="22:23" x14ac:dyDescent="0.35">
      <c r="V1013" s="406"/>
      <c r="W1013" s="362"/>
    </row>
    <row r="1014" spans="22:23" x14ac:dyDescent="0.35">
      <c r="V1014" s="406"/>
      <c r="W1014" s="362"/>
    </row>
    <row r="1015" spans="22:23" x14ac:dyDescent="0.35">
      <c r="V1015" s="406"/>
      <c r="W1015" s="362"/>
    </row>
    <row r="1016" spans="22:23" x14ac:dyDescent="0.35">
      <c r="V1016" s="406"/>
      <c r="W1016" s="362"/>
    </row>
    <row r="1017" spans="22:23" x14ac:dyDescent="0.35">
      <c r="V1017" s="406"/>
      <c r="W1017" s="362"/>
    </row>
    <row r="1018" spans="22:23" x14ac:dyDescent="0.35">
      <c r="V1018" s="406"/>
      <c r="W1018" s="362"/>
    </row>
    <row r="1019" spans="22:23" x14ac:dyDescent="0.35">
      <c r="V1019" s="406"/>
      <c r="W1019" s="362"/>
    </row>
    <row r="1020" spans="22:23" x14ac:dyDescent="0.35">
      <c r="V1020" s="406"/>
      <c r="W1020" s="362"/>
    </row>
    <row r="1021" spans="22:23" x14ac:dyDescent="0.35">
      <c r="V1021" s="406"/>
      <c r="W1021" s="362"/>
    </row>
    <row r="1022" spans="22:23" x14ac:dyDescent="0.35">
      <c r="V1022" s="406"/>
      <c r="W1022" s="362"/>
    </row>
    <row r="1023" spans="22:23" x14ac:dyDescent="0.35">
      <c r="V1023" s="406"/>
      <c r="W1023" s="362"/>
    </row>
    <row r="1024" spans="22:23" x14ac:dyDescent="0.35">
      <c r="V1024" s="406"/>
      <c r="W1024" s="362"/>
    </row>
    <row r="1025" spans="22:23" x14ac:dyDescent="0.35">
      <c r="V1025" s="406"/>
      <c r="W1025" s="362"/>
    </row>
    <row r="1026" spans="22:23" x14ac:dyDescent="0.35">
      <c r="V1026" s="406"/>
      <c r="W1026" s="362"/>
    </row>
    <row r="1027" spans="22:23" x14ac:dyDescent="0.35">
      <c r="V1027" s="406"/>
      <c r="W1027" s="362"/>
    </row>
    <row r="1028" spans="22:23" x14ac:dyDescent="0.35">
      <c r="V1028" s="406"/>
      <c r="W1028" s="362"/>
    </row>
    <row r="1029" spans="22:23" x14ac:dyDescent="0.35">
      <c r="V1029" s="406"/>
      <c r="W1029" s="362"/>
    </row>
    <row r="1030" spans="22:23" x14ac:dyDescent="0.35">
      <c r="V1030" s="406"/>
      <c r="W1030" s="362"/>
    </row>
    <row r="1031" spans="22:23" x14ac:dyDescent="0.35">
      <c r="V1031" s="406"/>
      <c r="W1031" s="362"/>
    </row>
    <row r="1032" spans="22:23" x14ac:dyDescent="0.35">
      <c r="V1032" s="406"/>
      <c r="W1032" s="362"/>
    </row>
    <row r="1033" spans="22:23" x14ac:dyDescent="0.35">
      <c r="V1033" s="406"/>
      <c r="W1033" s="362"/>
    </row>
    <row r="1034" spans="22:23" x14ac:dyDescent="0.35">
      <c r="V1034" s="406"/>
      <c r="W1034" s="362"/>
    </row>
    <row r="1035" spans="22:23" x14ac:dyDescent="0.35">
      <c r="V1035" s="406"/>
      <c r="W1035" s="362"/>
    </row>
    <row r="1036" spans="22:23" x14ac:dyDescent="0.35">
      <c r="V1036" s="406"/>
      <c r="W1036" s="362"/>
    </row>
    <row r="1037" spans="22:23" x14ac:dyDescent="0.35">
      <c r="V1037" s="406"/>
      <c r="W1037" s="362"/>
    </row>
    <row r="1038" spans="22:23" x14ac:dyDescent="0.35">
      <c r="V1038" s="406"/>
      <c r="W1038" s="362"/>
    </row>
    <row r="1039" spans="22:23" x14ac:dyDescent="0.35">
      <c r="V1039" s="406"/>
      <c r="W1039" s="362"/>
    </row>
    <row r="1040" spans="22:23" x14ac:dyDescent="0.35">
      <c r="V1040" s="406"/>
      <c r="W1040" s="362"/>
    </row>
    <row r="1041" spans="22:23" x14ac:dyDescent="0.35">
      <c r="V1041" s="406"/>
      <c r="W1041" s="362"/>
    </row>
    <row r="1042" spans="22:23" x14ac:dyDescent="0.35">
      <c r="V1042" s="406"/>
      <c r="W1042" s="362"/>
    </row>
    <row r="1043" spans="22:23" x14ac:dyDescent="0.35">
      <c r="V1043" s="406"/>
      <c r="W1043" s="362"/>
    </row>
    <row r="1044" spans="22:23" x14ac:dyDescent="0.35">
      <c r="V1044" s="406"/>
      <c r="W1044" s="362"/>
    </row>
    <row r="1045" spans="22:23" x14ac:dyDescent="0.35">
      <c r="V1045" s="406"/>
      <c r="W1045" s="362"/>
    </row>
    <row r="1046" spans="22:23" x14ac:dyDescent="0.35">
      <c r="V1046" s="406"/>
      <c r="W1046" s="362"/>
    </row>
    <row r="1047" spans="22:23" x14ac:dyDescent="0.35">
      <c r="V1047" s="406"/>
      <c r="W1047" s="362"/>
    </row>
    <row r="1048" spans="22:23" x14ac:dyDescent="0.35">
      <c r="V1048" s="406"/>
      <c r="W1048" s="362"/>
    </row>
    <row r="1049" spans="22:23" x14ac:dyDescent="0.35">
      <c r="V1049" s="406"/>
      <c r="W1049" s="362"/>
    </row>
    <row r="1050" spans="22:23" x14ac:dyDescent="0.35">
      <c r="V1050" s="406"/>
      <c r="W1050" s="362"/>
    </row>
    <row r="1051" spans="22:23" x14ac:dyDescent="0.35">
      <c r="V1051" s="406"/>
      <c r="W1051" s="362"/>
    </row>
    <row r="1052" spans="22:23" x14ac:dyDescent="0.35">
      <c r="V1052" s="406"/>
      <c r="W1052" s="362"/>
    </row>
    <row r="1053" spans="22:23" x14ac:dyDescent="0.35">
      <c r="V1053" s="406"/>
      <c r="W1053" s="362"/>
    </row>
    <row r="1054" spans="22:23" x14ac:dyDescent="0.35">
      <c r="V1054" s="406"/>
      <c r="W1054" s="362"/>
    </row>
    <row r="1055" spans="22:23" x14ac:dyDescent="0.35">
      <c r="V1055" s="406"/>
      <c r="W1055" s="362"/>
    </row>
    <row r="1056" spans="22:23" x14ac:dyDescent="0.35">
      <c r="V1056" s="406"/>
      <c r="W1056" s="362"/>
    </row>
    <row r="1057" spans="22:23" x14ac:dyDescent="0.35">
      <c r="V1057" s="406"/>
      <c r="W1057" s="362"/>
    </row>
    <row r="1058" spans="22:23" x14ac:dyDescent="0.35">
      <c r="V1058" s="406"/>
      <c r="W1058" s="362"/>
    </row>
    <row r="1059" spans="22:23" x14ac:dyDescent="0.35">
      <c r="V1059" s="406"/>
      <c r="W1059" s="362"/>
    </row>
    <row r="1060" spans="22:23" x14ac:dyDescent="0.35">
      <c r="V1060" s="406"/>
      <c r="W1060" s="362"/>
    </row>
    <row r="1061" spans="22:23" x14ac:dyDescent="0.35">
      <c r="V1061" s="406"/>
      <c r="W1061" s="362"/>
    </row>
    <row r="1062" spans="22:23" x14ac:dyDescent="0.35">
      <c r="V1062" s="406"/>
      <c r="W1062" s="362"/>
    </row>
    <row r="1063" spans="22:23" x14ac:dyDescent="0.35">
      <c r="V1063" s="406"/>
      <c r="W1063" s="362"/>
    </row>
    <row r="1064" spans="22:23" x14ac:dyDescent="0.35">
      <c r="V1064" s="406"/>
      <c r="W1064" s="362"/>
    </row>
    <row r="1065" spans="22:23" x14ac:dyDescent="0.35">
      <c r="V1065" s="406"/>
      <c r="W1065" s="362"/>
    </row>
    <row r="1066" spans="22:23" x14ac:dyDescent="0.35">
      <c r="V1066" s="406"/>
      <c r="W1066" s="362"/>
    </row>
    <row r="1067" spans="22:23" x14ac:dyDescent="0.35">
      <c r="V1067" s="406"/>
      <c r="W1067" s="362"/>
    </row>
    <row r="1068" spans="22:23" x14ac:dyDescent="0.35">
      <c r="V1068" s="406"/>
      <c r="W1068" s="362"/>
    </row>
    <row r="1069" spans="22:23" x14ac:dyDescent="0.35">
      <c r="V1069" s="406"/>
      <c r="W1069" s="362"/>
    </row>
    <row r="1070" spans="22:23" x14ac:dyDescent="0.35">
      <c r="V1070" s="406"/>
      <c r="W1070" s="362"/>
    </row>
    <row r="1071" spans="22:23" x14ac:dyDescent="0.35">
      <c r="V1071" s="406"/>
      <c r="W1071" s="362"/>
    </row>
    <row r="1072" spans="22:23" x14ac:dyDescent="0.35">
      <c r="V1072" s="406"/>
      <c r="W1072" s="362"/>
    </row>
    <row r="1073" spans="22:23" x14ac:dyDescent="0.35">
      <c r="V1073" s="406"/>
      <c r="W1073" s="362"/>
    </row>
    <row r="1074" spans="22:23" x14ac:dyDescent="0.35">
      <c r="V1074" s="406"/>
      <c r="W1074" s="362"/>
    </row>
    <row r="1075" spans="22:23" x14ac:dyDescent="0.35">
      <c r="V1075" s="406"/>
      <c r="W1075" s="362"/>
    </row>
    <row r="1076" spans="22:23" x14ac:dyDescent="0.35">
      <c r="V1076" s="406"/>
      <c r="W1076" s="362"/>
    </row>
    <row r="1077" spans="22:23" x14ac:dyDescent="0.35">
      <c r="V1077" s="406"/>
      <c r="W1077" s="362"/>
    </row>
    <row r="1078" spans="22:23" x14ac:dyDescent="0.35">
      <c r="V1078" s="406"/>
      <c r="W1078" s="362"/>
    </row>
    <row r="1079" spans="22:23" x14ac:dyDescent="0.35">
      <c r="V1079" s="406"/>
      <c r="W1079" s="362"/>
    </row>
    <row r="1080" spans="22:23" x14ac:dyDescent="0.35">
      <c r="V1080" s="406"/>
      <c r="W1080" s="362"/>
    </row>
    <row r="1081" spans="22:23" x14ac:dyDescent="0.35">
      <c r="V1081" s="406"/>
      <c r="W1081" s="362"/>
    </row>
    <row r="1082" spans="22:23" x14ac:dyDescent="0.35">
      <c r="V1082" s="406"/>
      <c r="W1082" s="362"/>
    </row>
    <row r="1083" spans="22:23" x14ac:dyDescent="0.35">
      <c r="V1083" s="406"/>
      <c r="W1083" s="362"/>
    </row>
    <row r="1084" spans="22:23" x14ac:dyDescent="0.35">
      <c r="V1084" s="406"/>
      <c r="W1084" s="362"/>
    </row>
    <row r="1085" spans="22:23" x14ac:dyDescent="0.35">
      <c r="V1085" s="406"/>
      <c r="W1085" s="362"/>
    </row>
    <row r="1086" spans="22:23" x14ac:dyDescent="0.35">
      <c r="V1086" s="406"/>
      <c r="W1086" s="362"/>
    </row>
    <row r="1087" spans="22:23" x14ac:dyDescent="0.35">
      <c r="V1087" s="406"/>
      <c r="W1087" s="362"/>
    </row>
    <row r="1088" spans="22:23" x14ac:dyDescent="0.35">
      <c r="V1088" s="406"/>
      <c r="W1088" s="362"/>
    </row>
    <row r="1089" spans="22:23" x14ac:dyDescent="0.35">
      <c r="V1089" s="406"/>
      <c r="W1089" s="362"/>
    </row>
    <row r="1090" spans="22:23" x14ac:dyDescent="0.35">
      <c r="V1090" s="406"/>
      <c r="W1090" s="362"/>
    </row>
    <row r="1091" spans="22:23" x14ac:dyDescent="0.35">
      <c r="V1091" s="406"/>
      <c r="W1091" s="362"/>
    </row>
    <row r="1092" spans="22:23" x14ac:dyDescent="0.35">
      <c r="V1092" s="406"/>
      <c r="W1092" s="362"/>
    </row>
    <row r="1093" spans="22:23" x14ac:dyDescent="0.35">
      <c r="V1093" s="406"/>
      <c r="W1093" s="362"/>
    </row>
    <row r="1094" spans="22:23" x14ac:dyDescent="0.35">
      <c r="V1094" s="406"/>
      <c r="W1094" s="362"/>
    </row>
    <row r="1095" spans="22:23" x14ac:dyDescent="0.35">
      <c r="V1095" s="406"/>
      <c r="W1095" s="362"/>
    </row>
    <row r="1096" spans="22:23" x14ac:dyDescent="0.35">
      <c r="V1096" s="406"/>
      <c r="W1096" s="362"/>
    </row>
    <row r="1097" spans="22:23" x14ac:dyDescent="0.35">
      <c r="V1097" s="406"/>
      <c r="W1097" s="362"/>
    </row>
    <row r="1098" spans="22:23" x14ac:dyDescent="0.35">
      <c r="V1098" s="406"/>
      <c r="W1098" s="362"/>
    </row>
    <row r="1099" spans="22:23" x14ac:dyDescent="0.35">
      <c r="V1099" s="406"/>
      <c r="W1099" s="362"/>
    </row>
    <row r="1100" spans="22:23" x14ac:dyDescent="0.35">
      <c r="V1100" s="406"/>
      <c r="W1100" s="362"/>
    </row>
    <row r="1101" spans="22:23" x14ac:dyDescent="0.35">
      <c r="V1101" s="406"/>
      <c r="W1101" s="362"/>
    </row>
    <row r="1102" spans="22:23" x14ac:dyDescent="0.35">
      <c r="V1102" s="406"/>
      <c r="W1102" s="362"/>
    </row>
    <row r="1103" spans="22:23" x14ac:dyDescent="0.35">
      <c r="V1103" s="406"/>
      <c r="W1103" s="362"/>
    </row>
    <row r="1104" spans="22:23" x14ac:dyDescent="0.35">
      <c r="V1104" s="406"/>
      <c r="W1104" s="362"/>
    </row>
    <row r="1105" spans="1:38" x14ac:dyDescent="0.35">
      <c r="V1105" s="406"/>
      <c r="W1105" s="362"/>
    </row>
    <row r="1106" spans="1:38" x14ac:dyDescent="0.35">
      <c r="V1106" s="406"/>
      <c r="W1106" s="362"/>
    </row>
    <row r="1107" spans="1:38" x14ac:dyDescent="0.35">
      <c r="V1107" s="406"/>
      <c r="W1107" s="362"/>
    </row>
    <row r="1108" spans="1:38" x14ac:dyDescent="0.35">
      <c r="V1108" s="406"/>
      <c r="W1108" s="362"/>
    </row>
    <row r="1109" spans="1:38" x14ac:dyDescent="0.35">
      <c r="V1109" s="406"/>
      <c r="W1109" s="362"/>
    </row>
    <row r="1110" spans="1:38" x14ac:dyDescent="0.35">
      <c r="V1110" s="406"/>
      <c r="W1110" s="362"/>
    </row>
    <row r="1111" spans="1:38" x14ac:dyDescent="0.35">
      <c r="V1111" s="406"/>
      <c r="W1111" s="362"/>
    </row>
    <row r="1112" spans="1:38" x14ac:dyDescent="0.35">
      <c r="V1112" s="406"/>
      <c r="W1112" s="362"/>
    </row>
    <row r="1113" spans="1:38" x14ac:dyDescent="0.35">
      <c r="V1113" s="406"/>
      <c r="W1113" s="362"/>
    </row>
    <row r="1114" spans="1:38" x14ac:dyDescent="0.35">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x14ac:dyDescent="0.35">
      <c r="V1115" s="406"/>
      <c r="W1115" s="362"/>
    </row>
    <row r="1116" spans="1:38" x14ac:dyDescent="0.35">
      <c r="V1116" s="406"/>
      <c r="W1116" s="362"/>
    </row>
    <row r="1117" spans="1:38" x14ac:dyDescent="0.35">
      <c r="V1117" s="406"/>
      <c r="W1117" s="362"/>
    </row>
    <row r="1118" spans="1:38" x14ac:dyDescent="0.35">
      <c r="V1118" s="406"/>
      <c r="W1118" s="362"/>
    </row>
    <row r="1119" spans="1:38" x14ac:dyDescent="0.35">
      <c r="V1119" s="406"/>
      <c r="W1119" s="362"/>
    </row>
    <row r="1120" spans="1:38" x14ac:dyDescent="0.35">
      <c r="V1120" s="406"/>
      <c r="W1120" s="362"/>
    </row>
    <row r="1121" spans="22:23" x14ac:dyDescent="0.35">
      <c r="V1121" s="406"/>
      <c r="W1121" s="362"/>
    </row>
    <row r="1122" spans="22:23" x14ac:dyDescent="0.35">
      <c r="V1122" s="406"/>
      <c r="W1122" s="362"/>
    </row>
    <row r="1123" spans="22:23" x14ac:dyDescent="0.35">
      <c r="V1123" s="406"/>
      <c r="W1123" s="362"/>
    </row>
    <row r="1124" spans="22:23" x14ac:dyDescent="0.35">
      <c r="V1124" s="406"/>
      <c r="W1124" s="362"/>
    </row>
    <row r="1125" spans="22:23" x14ac:dyDescent="0.35">
      <c r="V1125" s="406"/>
      <c r="W1125" s="362"/>
    </row>
    <row r="1126" spans="22:23" x14ac:dyDescent="0.35">
      <c r="V1126" s="406"/>
      <c r="W1126" s="362"/>
    </row>
    <row r="1127" spans="22:23" x14ac:dyDescent="0.35">
      <c r="V1127" s="406"/>
      <c r="W1127" s="362"/>
    </row>
    <row r="1128" spans="22:23" x14ac:dyDescent="0.35">
      <c r="V1128" s="406"/>
      <c r="W1128" s="362"/>
    </row>
    <row r="1129" spans="22:23" x14ac:dyDescent="0.35">
      <c r="V1129" s="406"/>
      <c r="W1129" s="362"/>
    </row>
    <row r="1130" spans="22:23" x14ac:dyDescent="0.35">
      <c r="V1130" s="406"/>
      <c r="W1130" s="362"/>
    </row>
    <row r="1131" spans="22:23" x14ac:dyDescent="0.35">
      <c r="V1131" s="406"/>
      <c r="W1131" s="362"/>
    </row>
    <row r="1132" spans="22:23" x14ac:dyDescent="0.35">
      <c r="V1132" s="406"/>
      <c r="W1132" s="362"/>
    </row>
    <row r="1133" spans="22:23" x14ac:dyDescent="0.35">
      <c r="V1133" s="406"/>
      <c r="W1133" s="362"/>
    </row>
    <row r="1134" spans="22:23" x14ac:dyDescent="0.35">
      <c r="V1134" s="406"/>
      <c r="W1134" s="362"/>
    </row>
    <row r="1135" spans="22:23" x14ac:dyDescent="0.35">
      <c r="V1135" s="406"/>
      <c r="W1135" s="362"/>
    </row>
    <row r="1136" spans="22:23" x14ac:dyDescent="0.35">
      <c r="V1136" s="406"/>
      <c r="W1136" s="362"/>
    </row>
    <row r="1137" spans="22:23" x14ac:dyDescent="0.35">
      <c r="V1137" s="406"/>
      <c r="W1137" s="362"/>
    </row>
    <row r="1138" spans="22:23" x14ac:dyDescent="0.35">
      <c r="V1138" s="406"/>
      <c r="W1138" s="362"/>
    </row>
    <row r="1139" spans="22:23" x14ac:dyDescent="0.35">
      <c r="V1139" s="406"/>
      <c r="W1139" s="362"/>
    </row>
    <row r="1140" spans="22:23" x14ac:dyDescent="0.35">
      <c r="V1140" s="406"/>
      <c r="W1140" s="362"/>
    </row>
    <row r="1141" spans="22:23" x14ac:dyDescent="0.35">
      <c r="V1141" s="406"/>
      <c r="W1141" s="362"/>
    </row>
    <row r="1142" spans="22:23" x14ac:dyDescent="0.35">
      <c r="V1142" s="406"/>
      <c r="W1142" s="362"/>
    </row>
    <row r="1143" spans="22:23" x14ac:dyDescent="0.35">
      <c r="V1143" s="406"/>
      <c r="W1143" s="362"/>
    </row>
    <row r="1144" spans="22:23" x14ac:dyDescent="0.35">
      <c r="V1144" s="406"/>
      <c r="W1144" s="362"/>
    </row>
    <row r="1145" spans="22:23" x14ac:dyDescent="0.35">
      <c r="V1145" s="406"/>
      <c r="W1145" s="362"/>
    </row>
    <row r="1146" spans="22:23" x14ac:dyDescent="0.35">
      <c r="V1146" s="406"/>
      <c r="W1146" s="362"/>
    </row>
    <row r="1147" spans="22:23" x14ac:dyDescent="0.35">
      <c r="V1147" s="406"/>
      <c r="W1147" s="362"/>
    </row>
    <row r="1148" spans="22:23" x14ac:dyDescent="0.35">
      <c r="V1148" s="406"/>
      <c r="W1148" s="362"/>
    </row>
    <row r="1149" spans="22:23" x14ac:dyDescent="0.35">
      <c r="V1149" s="406"/>
      <c r="W1149" s="362"/>
    </row>
    <row r="1150" spans="22:23" x14ac:dyDescent="0.35">
      <c r="V1150" s="406"/>
      <c r="W1150" s="362"/>
    </row>
    <row r="1151" spans="22:23" x14ac:dyDescent="0.35">
      <c r="V1151" s="406"/>
      <c r="W1151" s="362"/>
    </row>
    <row r="1152" spans="22:23" x14ac:dyDescent="0.35">
      <c r="V1152" s="406"/>
      <c r="W1152" s="362"/>
    </row>
    <row r="1153" spans="22:23" x14ac:dyDescent="0.35">
      <c r="V1153" s="406"/>
      <c r="W1153" s="362"/>
    </row>
    <row r="1154" spans="22:23" x14ac:dyDescent="0.35">
      <c r="V1154" s="406"/>
      <c r="W1154" s="362"/>
    </row>
    <row r="1155" spans="22:23" x14ac:dyDescent="0.35">
      <c r="V1155" s="406"/>
      <c r="W1155" s="362"/>
    </row>
    <row r="1156" spans="22:23" x14ac:dyDescent="0.35">
      <c r="V1156" s="406"/>
      <c r="W1156" s="362"/>
    </row>
    <row r="1157" spans="22:23" x14ac:dyDescent="0.35">
      <c r="V1157" s="406"/>
      <c r="W1157" s="362"/>
    </row>
    <row r="1158" spans="22:23" x14ac:dyDescent="0.35">
      <c r="V1158" s="406"/>
      <c r="W1158" s="362"/>
    </row>
    <row r="1159" spans="22:23" x14ac:dyDescent="0.35">
      <c r="V1159" s="406"/>
      <c r="W1159" s="362"/>
    </row>
    <row r="1160" spans="22:23" x14ac:dyDescent="0.35">
      <c r="V1160" s="406"/>
      <c r="W1160" s="362"/>
    </row>
    <row r="1161" spans="22:23" x14ac:dyDescent="0.35">
      <c r="V1161" s="406"/>
      <c r="W1161" s="362"/>
    </row>
    <row r="1162" spans="22:23" x14ac:dyDescent="0.35">
      <c r="V1162" s="406"/>
      <c r="W1162" s="362"/>
    </row>
    <row r="1163" spans="22:23" x14ac:dyDescent="0.35">
      <c r="V1163" s="406"/>
      <c r="W1163" s="362"/>
    </row>
    <row r="1164" spans="22:23" x14ac:dyDescent="0.35">
      <c r="V1164" s="406"/>
      <c r="W1164" s="362"/>
    </row>
    <row r="1165" spans="22:23" x14ac:dyDescent="0.35">
      <c r="V1165" s="406"/>
      <c r="W1165" s="362"/>
    </row>
    <row r="1166" spans="22:23" x14ac:dyDescent="0.35">
      <c r="V1166" s="406"/>
      <c r="W1166" s="362"/>
    </row>
    <row r="1167" spans="22:23" x14ac:dyDescent="0.35">
      <c r="V1167" s="406"/>
      <c r="W1167" s="362"/>
    </row>
    <row r="1168" spans="22:23" x14ac:dyDescent="0.35">
      <c r="V1168" s="406"/>
      <c r="W1168" s="362"/>
    </row>
    <row r="1169" spans="22:23" x14ac:dyDescent="0.35">
      <c r="V1169" s="406"/>
      <c r="W1169" s="362"/>
    </row>
    <row r="1170" spans="22:23" x14ac:dyDescent="0.35">
      <c r="V1170" s="406"/>
      <c r="W1170" s="362"/>
    </row>
    <row r="1171" spans="22:23" x14ac:dyDescent="0.35">
      <c r="V1171" s="406"/>
      <c r="W1171" s="362"/>
    </row>
    <row r="1172" spans="22:23" x14ac:dyDescent="0.35">
      <c r="V1172" s="406"/>
      <c r="W1172" s="362"/>
    </row>
    <row r="1173" spans="22:23" x14ac:dyDescent="0.35">
      <c r="V1173" s="406"/>
      <c r="W1173" s="362"/>
    </row>
    <row r="1174" spans="22:23" x14ac:dyDescent="0.35">
      <c r="V1174" s="406"/>
      <c r="W1174" s="362"/>
    </row>
    <row r="1175" spans="22:23" x14ac:dyDescent="0.35">
      <c r="V1175" s="406"/>
      <c r="W1175" s="362"/>
    </row>
    <row r="1176" spans="22:23" x14ac:dyDescent="0.35">
      <c r="V1176" s="406"/>
      <c r="W1176" s="362"/>
    </row>
    <row r="1177" spans="22:23" x14ac:dyDescent="0.35">
      <c r="V1177" s="406"/>
      <c r="W1177" s="362"/>
    </row>
    <row r="1178" spans="22:23" x14ac:dyDescent="0.35">
      <c r="V1178" s="406"/>
      <c r="W1178" s="362"/>
    </row>
    <row r="1179" spans="22:23" x14ac:dyDescent="0.35">
      <c r="V1179" s="406"/>
      <c r="W1179" s="362"/>
    </row>
    <row r="1180" spans="22:23" x14ac:dyDescent="0.35">
      <c r="V1180" s="406"/>
      <c r="W1180" s="362"/>
    </row>
    <row r="1181" spans="22:23" x14ac:dyDescent="0.35">
      <c r="V1181" s="406"/>
      <c r="W1181" s="362"/>
    </row>
    <row r="1182" spans="22:23" x14ac:dyDescent="0.35">
      <c r="V1182" s="406"/>
      <c r="W1182" s="362"/>
    </row>
    <row r="1183" spans="22:23" x14ac:dyDescent="0.35">
      <c r="V1183" s="406"/>
      <c r="W1183" s="362"/>
    </row>
    <row r="1184" spans="22:23" x14ac:dyDescent="0.35">
      <c r="V1184" s="406"/>
      <c r="W1184" s="362"/>
    </row>
    <row r="1185" spans="22:23" x14ac:dyDescent="0.35">
      <c r="V1185" s="406"/>
      <c r="W1185" s="362"/>
    </row>
    <row r="1186" spans="22:23" x14ac:dyDescent="0.35">
      <c r="V1186" s="406"/>
      <c r="W1186" s="362"/>
    </row>
    <row r="1187" spans="22:23" x14ac:dyDescent="0.35">
      <c r="V1187" s="406"/>
      <c r="W1187" s="362"/>
    </row>
    <row r="1188" spans="22:23" x14ac:dyDescent="0.35">
      <c r="V1188" s="406"/>
      <c r="W1188" s="362"/>
    </row>
    <row r="1189" spans="22:23" x14ac:dyDescent="0.35">
      <c r="W1189" s="362"/>
    </row>
    <row r="1190" spans="22:23" x14ac:dyDescent="0.35">
      <c r="W1190" s="362"/>
    </row>
    <row r="1191" spans="22:23" x14ac:dyDescent="0.35">
      <c r="W1191" s="362"/>
    </row>
    <row r="1192" spans="22:23" x14ac:dyDescent="0.35">
      <c r="W1192" s="362"/>
    </row>
    <row r="1193" spans="22:23" x14ac:dyDescent="0.35">
      <c r="W1193" s="362"/>
    </row>
    <row r="1194" spans="22:23" x14ac:dyDescent="0.35">
      <c r="W1194" s="362"/>
    </row>
    <row r="1195" spans="22:23" x14ac:dyDescent="0.35">
      <c r="W1195" s="362"/>
    </row>
    <row r="1196" spans="22:23" x14ac:dyDescent="0.35">
      <c r="W1196" s="362"/>
    </row>
    <row r="1197" spans="22:23" x14ac:dyDescent="0.35">
      <c r="W1197" s="362"/>
    </row>
    <row r="1198" spans="22:23" x14ac:dyDescent="0.35">
      <c r="W1198" s="362"/>
    </row>
    <row r="1199" spans="22:23" x14ac:dyDescent="0.35">
      <c r="W1199" s="362"/>
    </row>
    <row r="1200" spans="22:23" x14ac:dyDescent="0.35">
      <c r="W1200" s="362"/>
    </row>
    <row r="1201" spans="23:23" x14ac:dyDescent="0.35">
      <c r="W1201" s="362"/>
    </row>
    <row r="1202" spans="23:23" x14ac:dyDescent="0.35">
      <c r="W1202" s="362"/>
    </row>
    <row r="1203" spans="23:23" x14ac:dyDescent="0.35">
      <c r="W1203" s="362"/>
    </row>
    <row r="1204" spans="23:23" x14ac:dyDescent="0.35">
      <c r="W1204" s="362"/>
    </row>
    <row r="1205" spans="23:23" x14ac:dyDescent="0.35">
      <c r="W1205" s="362"/>
    </row>
    <row r="1206" spans="23:23" x14ac:dyDescent="0.35">
      <c r="W1206" s="362"/>
    </row>
    <row r="1207" spans="23:23" x14ac:dyDescent="0.35">
      <c r="W1207" s="362"/>
    </row>
    <row r="1208" spans="23:23" x14ac:dyDescent="0.35">
      <c r="W1208" s="362"/>
    </row>
    <row r="1209" spans="23:23" x14ac:dyDescent="0.35">
      <c r="W1209" s="362"/>
    </row>
    <row r="1210" spans="23:23" x14ac:dyDescent="0.35">
      <c r="W1210" s="362"/>
    </row>
    <row r="1211" spans="23:23" x14ac:dyDescent="0.35">
      <c r="W1211" s="362"/>
    </row>
    <row r="1212" spans="23:23" x14ac:dyDescent="0.35">
      <c r="W1212" s="362"/>
    </row>
    <row r="1213" spans="23:23" x14ac:dyDescent="0.35">
      <c r="W1213" s="362"/>
    </row>
    <row r="1214" spans="23:23" x14ac:dyDescent="0.35">
      <c r="W1214" s="362"/>
    </row>
    <row r="1215" spans="23:23" x14ac:dyDescent="0.35">
      <c r="W1215" s="362"/>
    </row>
    <row r="1216" spans="23:23" x14ac:dyDescent="0.35">
      <c r="W1216" s="362"/>
    </row>
    <row r="1217" spans="23:23" x14ac:dyDescent="0.35">
      <c r="W1217" s="362"/>
    </row>
    <row r="1218" spans="23:23" x14ac:dyDescent="0.35">
      <c r="W1218" s="362"/>
    </row>
    <row r="1219" spans="23:23" x14ac:dyDescent="0.35">
      <c r="W1219" s="362"/>
    </row>
    <row r="1220" spans="23:23" x14ac:dyDescent="0.35">
      <c r="W1220" s="362"/>
    </row>
    <row r="1221" spans="23:23" x14ac:dyDescent="0.35">
      <c r="W1221" s="362"/>
    </row>
    <row r="1222" spans="23:23" x14ac:dyDescent="0.35">
      <c r="W1222" s="362"/>
    </row>
    <row r="1223" spans="23:23" x14ac:dyDescent="0.35">
      <c r="W1223" s="362"/>
    </row>
    <row r="1224" spans="23:23" x14ac:dyDescent="0.35">
      <c r="W1224" s="362"/>
    </row>
    <row r="1225" spans="23:23" x14ac:dyDescent="0.35">
      <c r="W1225" s="362"/>
    </row>
    <row r="1226" spans="23:23" x14ac:dyDescent="0.35">
      <c r="W1226" s="362"/>
    </row>
    <row r="1227" spans="23:23" x14ac:dyDescent="0.35">
      <c r="W1227" s="362"/>
    </row>
    <row r="1228" spans="23:23" x14ac:dyDescent="0.35">
      <c r="W1228" s="362"/>
    </row>
    <row r="1229" spans="23:23" x14ac:dyDescent="0.35">
      <c r="W1229" s="362"/>
    </row>
    <row r="1230" spans="23:23" x14ac:dyDescent="0.35">
      <c r="W1230" s="362"/>
    </row>
    <row r="1231" spans="23:23" x14ac:dyDescent="0.35">
      <c r="W1231" s="362"/>
    </row>
    <row r="1232" spans="23:23" x14ac:dyDescent="0.35">
      <c r="W1232" s="362"/>
    </row>
    <row r="1233" spans="23:23" x14ac:dyDescent="0.35">
      <c r="W1233" s="362"/>
    </row>
    <row r="1234" spans="23:23" x14ac:dyDescent="0.35">
      <c r="W1234" s="362"/>
    </row>
    <row r="1235" spans="23:23" x14ac:dyDescent="0.35">
      <c r="W1235" s="362"/>
    </row>
    <row r="1236" spans="23:23" x14ac:dyDescent="0.35">
      <c r="W1236" s="362"/>
    </row>
    <row r="1237" spans="23:23" x14ac:dyDescent="0.35">
      <c r="W1237" s="362"/>
    </row>
  </sheetData>
  <autoFilter ref="A1:AX669" xr:uid="{00000000-0009-0000-0000-00000B000000}">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75"/>
  <sheetViews>
    <sheetView workbookViewId="0">
      <pane ySplit="1" topLeftCell="A2" activePane="bottomLeft" state="frozen"/>
      <selection pane="bottomLeft" activeCell="G45" sqref="G45"/>
    </sheetView>
  </sheetViews>
  <sheetFormatPr baseColWidth="10" defaultColWidth="11.453125" defaultRowHeight="13" x14ac:dyDescent="0.3"/>
  <cols>
    <col min="1" max="1" width="26.7265625" style="220" customWidth="1"/>
    <col min="2" max="2" width="5" style="220" customWidth="1"/>
    <col min="3" max="3" width="21.81640625" style="220" customWidth="1"/>
    <col min="4" max="4" width="33.7265625" style="220" customWidth="1"/>
    <col min="5" max="5" width="39.54296875" style="220" customWidth="1"/>
    <col min="6" max="11" width="16.7265625" style="232" customWidth="1"/>
    <col min="12" max="12" width="15.81640625" style="220" customWidth="1"/>
    <col min="13" max="13" width="19.1796875" style="220" customWidth="1"/>
    <col min="14" max="16384" width="11.453125" style="220"/>
  </cols>
  <sheetData>
    <row r="1" spans="1:13" ht="26.5" thickBot="1" x14ac:dyDescent="0.35">
      <c r="A1" s="215" t="s">
        <v>4565</v>
      </c>
      <c r="B1" s="1454" t="s">
        <v>4566</v>
      </c>
      <c r="C1" s="1454"/>
      <c r="D1" s="216" t="s">
        <v>4567</v>
      </c>
      <c r="E1" s="216" t="s">
        <v>4568</v>
      </c>
      <c r="F1" s="217" t="s">
        <v>4569</v>
      </c>
      <c r="G1" s="217" t="s">
        <v>4570</v>
      </c>
      <c r="H1" s="217" t="s">
        <v>4571</v>
      </c>
      <c r="I1" s="217" t="s">
        <v>4572</v>
      </c>
      <c r="J1" s="217" t="s">
        <v>2520</v>
      </c>
      <c r="K1" s="217" t="s">
        <v>4573</v>
      </c>
      <c r="L1" s="218" t="s">
        <v>4574</v>
      </c>
      <c r="M1" s="219" t="s">
        <v>4575</v>
      </c>
    </row>
    <row r="2" spans="1:13" x14ac:dyDescent="0.3">
      <c r="A2" s="1455" t="s">
        <v>4576</v>
      </c>
      <c r="B2" s="1457"/>
      <c r="C2" s="1459" t="s">
        <v>4577</v>
      </c>
      <c r="D2" s="1461" t="s">
        <v>4578</v>
      </c>
      <c r="E2" s="221" t="s">
        <v>4579</v>
      </c>
      <c r="F2" s="222">
        <v>414311953</v>
      </c>
      <c r="G2" s="222">
        <v>53640933</v>
      </c>
      <c r="H2" s="222">
        <v>360671020</v>
      </c>
      <c r="I2" s="222">
        <v>25895188</v>
      </c>
      <c r="J2" s="223">
        <v>100169374</v>
      </c>
      <c r="K2" s="223">
        <v>101622895</v>
      </c>
      <c r="L2" s="224">
        <v>227687457</v>
      </c>
      <c r="M2" s="225">
        <v>132983563</v>
      </c>
    </row>
    <row r="3" spans="1:13" x14ac:dyDescent="0.3">
      <c r="A3" s="1456"/>
      <c r="B3" s="1458"/>
      <c r="C3" s="1460"/>
      <c r="D3" s="1462"/>
      <c r="E3" s="226" t="s">
        <v>4580</v>
      </c>
      <c r="F3" s="227">
        <v>33985341</v>
      </c>
      <c r="G3" s="227">
        <v>27855341</v>
      </c>
      <c r="H3" s="227">
        <v>6130000</v>
      </c>
      <c r="I3" s="227">
        <v>0</v>
      </c>
      <c r="J3" s="227">
        <v>6130000</v>
      </c>
      <c r="K3" s="227">
        <v>0</v>
      </c>
      <c r="L3" s="224">
        <v>6130000</v>
      </c>
      <c r="M3" s="228">
        <v>0</v>
      </c>
    </row>
    <row r="4" spans="1:13" x14ac:dyDescent="0.3">
      <c r="A4" s="1456"/>
      <c r="B4" s="1458"/>
      <c r="C4" s="1460"/>
      <c r="D4" s="1462" t="s">
        <v>344</v>
      </c>
      <c r="E4" s="226" t="s">
        <v>4581</v>
      </c>
      <c r="F4" s="227">
        <v>11400000</v>
      </c>
      <c r="G4" s="227">
        <v>0</v>
      </c>
      <c r="H4" s="227">
        <v>11400000</v>
      </c>
      <c r="I4" s="227">
        <v>0</v>
      </c>
      <c r="J4" s="227">
        <v>0</v>
      </c>
      <c r="K4" s="227">
        <v>0</v>
      </c>
      <c r="L4" s="224">
        <v>0</v>
      </c>
      <c r="M4" s="228">
        <v>11400000</v>
      </c>
    </row>
    <row r="5" spans="1:13" x14ac:dyDescent="0.3">
      <c r="A5" s="1456"/>
      <c r="B5" s="1458"/>
      <c r="C5" s="1460"/>
      <c r="D5" s="1462"/>
      <c r="E5" s="226" t="s">
        <v>4582</v>
      </c>
      <c r="F5" s="227">
        <v>39485000</v>
      </c>
      <c r="G5" s="227">
        <v>0</v>
      </c>
      <c r="H5" s="227">
        <v>39485000</v>
      </c>
      <c r="I5" s="227">
        <v>0</v>
      </c>
      <c r="J5" s="227">
        <v>0</v>
      </c>
      <c r="K5" s="227">
        <v>0</v>
      </c>
      <c r="L5" s="224">
        <v>0</v>
      </c>
      <c r="M5" s="228">
        <v>39485000</v>
      </c>
    </row>
    <row r="6" spans="1:13" x14ac:dyDescent="0.3">
      <c r="A6" s="1456"/>
      <c r="B6" s="1458"/>
      <c r="C6" s="1460"/>
      <c r="D6" s="1460" t="s">
        <v>4583</v>
      </c>
      <c r="E6" s="226" t="s">
        <v>4584</v>
      </c>
      <c r="F6" s="227">
        <v>150208706</v>
      </c>
      <c r="G6" s="227">
        <v>0</v>
      </c>
      <c r="H6" s="227">
        <v>150208706</v>
      </c>
      <c r="I6" s="227">
        <v>0</v>
      </c>
      <c r="J6" s="227">
        <v>20526992</v>
      </c>
      <c r="K6" s="227">
        <v>0</v>
      </c>
      <c r="L6" s="224">
        <v>20526992</v>
      </c>
      <c r="M6" s="228">
        <v>129681714</v>
      </c>
    </row>
    <row r="7" spans="1:13" x14ac:dyDescent="0.3">
      <c r="A7" s="1456"/>
      <c r="B7" s="1458"/>
      <c r="C7" s="1460"/>
      <c r="D7" s="1460"/>
      <c r="E7" s="226" t="s">
        <v>4585</v>
      </c>
      <c r="F7" s="227">
        <v>3809271859</v>
      </c>
      <c r="G7" s="227">
        <v>0</v>
      </c>
      <c r="H7" s="227">
        <v>3809271859</v>
      </c>
      <c r="I7" s="227">
        <v>0</v>
      </c>
      <c r="J7" s="227">
        <v>268520631</v>
      </c>
      <c r="K7" s="227">
        <v>190303504</v>
      </c>
      <c r="L7" s="224">
        <v>458824135</v>
      </c>
      <c r="M7" s="228">
        <v>3350447724</v>
      </c>
    </row>
    <row r="8" spans="1:13" ht="13.5" thickBot="1" x14ac:dyDescent="0.35">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3.5" thickBot="1" x14ac:dyDescent="0.35"/>
    <row r="10" spans="1:13" x14ac:dyDescent="0.3">
      <c r="A10" s="1466" t="s">
        <v>4586</v>
      </c>
      <c r="B10" s="1467"/>
      <c r="C10" s="1468" t="s">
        <v>4587</v>
      </c>
      <c r="D10" s="1468" t="s">
        <v>4588</v>
      </c>
      <c r="E10" s="233" t="s">
        <v>4589</v>
      </c>
      <c r="F10" s="234">
        <v>1</v>
      </c>
      <c r="G10" s="234">
        <v>0</v>
      </c>
      <c r="H10" s="234">
        <v>1</v>
      </c>
      <c r="I10" s="234">
        <v>0</v>
      </c>
      <c r="J10" s="234">
        <v>0</v>
      </c>
      <c r="K10" s="234">
        <v>0</v>
      </c>
      <c r="L10" s="235">
        <v>0</v>
      </c>
      <c r="M10" s="236">
        <v>1</v>
      </c>
    </row>
    <row r="11" spans="1:13" x14ac:dyDescent="0.3">
      <c r="A11" s="1456"/>
      <c r="B11" s="1458"/>
      <c r="C11" s="1460"/>
      <c r="D11" s="1460"/>
      <c r="E11" s="226" t="s">
        <v>4590</v>
      </c>
      <c r="F11" s="227">
        <v>31978507</v>
      </c>
      <c r="G11" s="227">
        <v>0</v>
      </c>
      <c r="H11" s="227">
        <v>31978507</v>
      </c>
      <c r="I11" s="227">
        <v>0</v>
      </c>
      <c r="J11" s="227">
        <v>0</v>
      </c>
      <c r="K11" s="227">
        <v>0</v>
      </c>
      <c r="L11" s="237">
        <v>0</v>
      </c>
      <c r="M11" s="228">
        <v>31978507</v>
      </c>
    </row>
    <row r="12" spans="1:13" x14ac:dyDescent="0.3">
      <c r="A12" s="1456"/>
      <c r="B12" s="1458"/>
      <c r="C12" s="1460"/>
      <c r="D12" s="1460"/>
      <c r="E12" s="226" t="s">
        <v>4591</v>
      </c>
      <c r="F12" s="227">
        <v>35536124</v>
      </c>
      <c r="G12" s="227">
        <v>0</v>
      </c>
      <c r="H12" s="227">
        <v>35536124</v>
      </c>
      <c r="I12" s="227">
        <v>0</v>
      </c>
      <c r="J12" s="227">
        <v>0</v>
      </c>
      <c r="K12" s="227">
        <v>0</v>
      </c>
      <c r="L12" s="237">
        <v>0</v>
      </c>
      <c r="M12" s="228">
        <v>35536124</v>
      </c>
    </row>
    <row r="13" spans="1:13" ht="13.5" thickBot="1" x14ac:dyDescent="0.35">
      <c r="A13" s="229"/>
      <c r="B13" s="230"/>
      <c r="C13" s="230"/>
      <c r="D13" s="230"/>
      <c r="E13" s="230"/>
      <c r="F13" s="231">
        <v>67514632</v>
      </c>
      <c r="G13" s="231">
        <v>0</v>
      </c>
      <c r="H13" s="231">
        <v>67514632</v>
      </c>
      <c r="I13" s="231">
        <v>0</v>
      </c>
      <c r="J13" s="231">
        <v>0</v>
      </c>
      <c r="K13" s="231">
        <v>0</v>
      </c>
      <c r="L13" s="231">
        <v>0</v>
      </c>
      <c r="M13" s="231">
        <v>67514632</v>
      </c>
    </row>
    <row r="14" spans="1:13" ht="13.5" thickBot="1" x14ac:dyDescent="0.35"/>
    <row r="15" spans="1:13" x14ac:dyDescent="0.3">
      <c r="A15" s="1466" t="s">
        <v>4592</v>
      </c>
      <c r="B15" s="1470"/>
      <c r="C15" s="1468" t="s">
        <v>4593</v>
      </c>
      <c r="D15" s="1473" t="s">
        <v>4588</v>
      </c>
      <c r="E15" s="1475" t="s">
        <v>4594</v>
      </c>
      <c r="F15" s="234">
        <v>329715062</v>
      </c>
      <c r="G15" s="234">
        <v>0</v>
      </c>
      <c r="H15" s="234">
        <v>329715062</v>
      </c>
      <c r="I15" s="234">
        <v>0</v>
      </c>
      <c r="J15" s="234">
        <v>10145833</v>
      </c>
      <c r="K15" s="234">
        <v>0</v>
      </c>
      <c r="L15" s="235">
        <v>10145833</v>
      </c>
      <c r="M15" s="236">
        <v>319569229</v>
      </c>
    </row>
    <row r="16" spans="1:13" ht="13.5" thickBot="1" x14ac:dyDescent="0.35">
      <c r="A16" s="1469"/>
      <c r="B16" s="1471"/>
      <c r="C16" s="1472"/>
      <c r="D16" s="1474"/>
      <c r="E16" s="1476"/>
      <c r="F16" s="231">
        <v>329715062</v>
      </c>
      <c r="G16" s="231">
        <v>0</v>
      </c>
      <c r="H16" s="231">
        <v>329715062</v>
      </c>
      <c r="I16" s="231">
        <v>0</v>
      </c>
      <c r="J16" s="231">
        <v>10145833</v>
      </c>
      <c r="K16" s="231">
        <v>0</v>
      </c>
      <c r="L16" s="231">
        <v>10145833</v>
      </c>
      <c r="M16" s="231">
        <v>319569229</v>
      </c>
    </row>
    <row r="17" spans="1:13" ht="13.5" thickBot="1" x14ac:dyDescent="0.35"/>
    <row r="18" spans="1:13" x14ac:dyDescent="0.3">
      <c r="A18" s="1466" t="s">
        <v>4595</v>
      </c>
      <c r="B18" s="1467"/>
      <c r="C18" s="1468" t="s">
        <v>4596</v>
      </c>
      <c r="D18" s="238" t="s">
        <v>164</v>
      </c>
      <c r="E18" s="233" t="s">
        <v>4597</v>
      </c>
      <c r="F18" s="234">
        <v>59329710</v>
      </c>
      <c r="G18" s="234">
        <v>0</v>
      </c>
      <c r="H18" s="234">
        <v>59329710</v>
      </c>
      <c r="I18" s="234">
        <v>0</v>
      </c>
      <c r="J18" s="234">
        <v>17124544</v>
      </c>
      <c r="K18" s="234">
        <v>20176125</v>
      </c>
      <c r="L18" s="234">
        <v>37300669</v>
      </c>
      <c r="M18" s="239">
        <v>22029041</v>
      </c>
    </row>
    <row r="19" spans="1:13" x14ac:dyDescent="0.3">
      <c r="A19" s="1456"/>
      <c r="B19" s="1458"/>
      <c r="C19" s="1460"/>
      <c r="D19" s="240" t="s">
        <v>4598</v>
      </c>
      <c r="E19" s="226" t="s">
        <v>4599</v>
      </c>
      <c r="F19" s="227">
        <v>2355567</v>
      </c>
      <c r="G19" s="227">
        <v>0</v>
      </c>
      <c r="H19" s="227">
        <v>2355567</v>
      </c>
      <c r="I19" s="227">
        <v>0</v>
      </c>
      <c r="J19" s="227">
        <v>1931167</v>
      </c>
      <c r="K19" s="227">
        <v>0</v>
      </c>
      <c r="L19" s="227">
        <v>1931167</v>
      </c>
      <c r="M19" s="241">
        <v>424400</v>
      </c>
    </row>
    <row r="20" spans="1:13" x14ac:dyDescent="0.3">
      <c r="A20" s="1456"/>
      <c r="B20" s="1458"/>
      <c r="C20" s="1460"/>
      <c r="D20" s="226" t="s">
        <v>214</v>
      </c>
      <c r="E20" s="226" t="s">
        <v>4600</v>
      </c>
      <c r="F20" s="242">
        <v>140946733</v>
      </c>
      <c r="G20" s="227">
        <v>0</v>
      </c>
      <c r="H20" s="227">
        <v>140946733</v>
      </c>
      <c r="I20" s="227">
        <v>0</v>
      </c>
      <c r="J20" s="226">
        <v>0</v>
      </c>
      <c r="K20" s="226">
        <v>0</v>
      </c>
      <c r="L20" s="226">
        <v>0</v>
      </c>
      <c r="M20" s="241">
        <v>140946733</v>
      </c>
    </row>
    <row r="21" spans="1:13" x14ac:dyDescent="0.3">
      <c r="A21" s="1456"/>
      <c r="B21" s="1458"/>
      <c r="C21" s="1460"/>
      <c r="D21" s="226" t="s">
        <v>184</v>
      </c>
      <c r="E21" s="226" t="s">
        <v>4601</v>
      </c>
      <c r="F21" s="227">
        <v>277204263</v>
      </c>
      <c r="G21" s="227">
        <v>0</v>
      </c>
      <c r="H21" s="227">
        <v>277204263</v>
      </c>
      <c r="I21" s="227">
        <v>0</v>
      </c>
      <c r="J21" s="227">
        <v>23024011</v>
      </c>
      <c r="K21" s="227">
        <v>37521178</v>
      </c>
      <c r="L21" s="227">
        <v>60545189</v>
      </c>
      <c r="M21" s="241">
        <v>216659074</v>
      </c>
    </row>
    <row r="22" spans="1:13" ht="13.5" thickBot="1" x14ac:dyDescent="0.35">
      <c r="A22" s="229"/>
      <c r="B22" s="230"/>
      <c r="C22" s="230"/>
      <c r="D22" s="230"/>
      <c r="E22" s="230"/>
      <c r="F22" s="231">
        <v>479836273</v>
      </c>
      <c r="G22" s="231">
        <v>0</v>
      </c>
      <c r="H22" s="231">
        <v>479836273</v>
      </c>
      <c r="I22" s="231">
        <v>0</v>
      </c>
      <c r="J22" s="231">
        <v>42079722</v>
      </c>
      <c r="K22" s="231">
        <v>57697303</v>
      </c>
      <c r="L22" s="231">
        <v>99777025</v>
      </c>
      <c r="M22" s="231">
        <v>380059248</v>
      </c>
    </row>
    <row r="23" spans="1:13" ht="13.5" thickBot="1" x14ac:dyDescent="0.35">
      <c r="E23" s="285">
        <f>+F22+F16+F13+F8</f>
        <v>5335728826</v>
      </c>
    </row>
    <row r="24" spans="1:13" s="251" customFormat="1" ht="26.5" thickBot="1" x14ac:dyDescent="0.4">
      <c r="A24" s="243" t="s">
        <v>4565</v>
      </c>
      <c r="B24" s="1477" t="s">
        <v>4602</v>
      </c>
      <c r="C24" s="1477"/>
      <c r="D24" s="244" t="s">
        <v>4567</v>
      </c>
      <c r="E24" s="244" t="s">
        <v>4568</v>
      </c>
      <c r="F24" s="245" t="s">
        <v>4569</v>
      </c>
      <c r="G24" s="246"/>
      <c r="H24" s="246"/>
      <c r="I24" s="247" t="s">
        <v>4572</v>
      </c>
      <c r="J24" s="248" t="s">
        <v>2520</v>
      </c>
      <c r="K24" s="249" t="s">
        <v>4573</v>
      </c>
      <c r="L24" s="250" t="s">
        <v>4574</v>
      </c>
      <c r="M24" s="250" t="s">
        <v>4575</v>
      </c>
    </row>
    <row r="25" spans="1:13" x14ac:dyDescent="0.3">
      <c r="A25" s="1455" t="s">
        <v>4603</v>
      </c>
      <c r="B25" s="1483">
        <v>295</v>
      </c>
      <c r="C25" s="1485" t="s">
        <v>4604</v>
      </c>
      <c r="D25" s="1487" t="s">
        <v>344</v>
      </c>
      <c r="E25" s="252" t="s">
        <v>343</v>
      </c>
      <c r="F25" s="253">
        <v>4459721939</v>
      </c>
      <c r="G25" s="254">
        <v>0</v>
      </c>
      <c r="H25" s="254">
        <v>4459721939</v>
      </c>
      <c r="I25" s="254">
        <v>0</v>
      </c>
      <c r="J25" s="254">
        <v>42932000</v>
      </c>
      <c r="K25" s="254">
        <v>0</v>
      </c>
      <c r="L25" s="253">
        <v>42932000</v>
      </c>
      <c r="M25" s="255">
        <v>4416789939</v>
      </c>
    </row>
    <row r="26" spans="1:13" x14ac:dyDescent="0.3">
      <c r="A26" s="1456"/>
      <c r="B26" s="1484"/>
      <c r="C26" s="1486"/>
      <c r="D26" s="1487"/>
      <c r="E26" s="252" t="s">
        <v>4605</v>
      </c>
      <c r="F26" s="256">
        <v>5423958273</v>
      </c>
      <c r="G26" s="256">
        <v>0</v>
      </c>
      <c r="H26" s="256">
        <v>5423958273</v>
      </c>
      <c r="I26" s="256">
        <v>0</v>
      </c>
      <c r="J26" s="256">
        <v>0</v>
      </c>
      <c r="K26" s="256">
        <v>1777877355</v>
      </c>
      <c r="L26" s="256">
        <v>1777877355</v>
      </c>
      <c r="M26" s="257">
        <v>3646080918</v>
      </c>
    </row>
    <row r="27" spans="1:13" ht="15" customHeight="1" x14ac:dyDescent="0.3">
      <c r="A27" s="1456"/>
      <c r="B27" s="1488">
        <v>289</v>
      </c>
      <c r="C27" s="1489" t="s">
        <v>4606</v>
      </c>
      <c r="D27" s="1460" t="s">
        <v>4583</v>
      </c>
      <c r="E27" s="252" t="s">
        <v>4607</v>
      </c>
      <c r="F27" s="256">
        <v>10333334</v>
      </c>
      <c r="G27" s="256">
        <v>0</v>
      </c>
      <c r="H27" s="256">
        <v>10333334</v>
      </c>
      <c r="I27" s="256">
        <v>0</v>
      </c>
      <c r="J27" s="256">
        <v>10000000</v>
      </c>
      <c r="K27" s="256">
        <v>0</v>
      </c>
      <c r="L27" s="256">
        <v>10000000</v>
      </c>
      <c r="M27" s="257">
        <v>333334</v>
      </c>
    </row>
    <row r="28" spans="1:13" x14ac:dyDescent="0.3">
      <c r="A28" s="1456"/>
      <c r="B28" s="1484"/>
      <c r="C28" s="1486"/>
      <c r="D28" s="1460"/>
      <c r="E28" s="252" t="s">
        <v>397</v>
      </c>
      <c r="F28" s="256">
        <v>0</v>
      </c>
      <c r="G28" s="256">
        <v>0</v>
      </c>
      <c r="H28" s="256">
        <v>0</v>
      </c>
      <c r="I28" s="256">
        <v>0</v>
      </c>
      <c r="J28" s="256">
        <v>0</v>
      </c>
      <c r="K28" s="256">
        <v>0</v>
      </c>
      <c r="L28" s="256">
        <v>0</v>
      </c>
      <c r="M28" s="257">
        <v>0</v>
      </c>
    </row>
    <row r="29" spans="1:13" ht="12.75" customHeight="1" x14ac:dyDescent="0.3">
      <c r="A29" s="1456"/>
      <c r="B29" s="252">
        <v>291</v>
      </c>
      <c r="C29" s="252" t="s">
        <v>4608</v>
      </c>
      <c r="D29" s="258" t="s">
        <v>344</v>
      </c>
      <c r="E29" s="252" t="s">
        <v>4609</v>
      </c>
      <c r="F29" s="256">
        <v>0</v>
      </c>
      <c r="G29" s="256">
        <v>0</v>
      </c>
      <c r="H29" s="256">
        <v>0</v>
      </c>
      <c r="I29" s="256">
        <v>0</v>
      </c>
      <c r="J29" s="256">
        <v>0</v>
      </c>
      <c r="K29" s="256">
        <v>0</v>
      </c>
      <c r="L29" s="256">
        <v>0</v>
      </c>
      <c r="M29" s="257">
        <v>0</v>
      </c>
    </row>
    <row r="30" spans="1:13" x14ac:dyDescent="0.3">
      <c r="A30" s="1456"/>
      <c r="B30" s="1488">
        <v>292</v>
      </c>
      <c r="C30" s="1489" t="s">
        <v>4610</v>
      </c>
      <c r="D30" s="1487" t="s">
        <v>4578</v>
      </c>
      <c r="E30" s="252" t="s">
        <v>283</v>
      </c>
      <c r="F30" s="256">
        <v>0</v>
      </c>
      <c r="G30" s="256">
        <v>0</v>
      </c>
      <c r="H30" s="256">
        <v>0</v>
      </c>
      <c r="I30" s="256">
        <v>0</v>
      </c>
      <c r="J30" s="256">
        <v>0</v>
      </c>
      <c r="K30" s="256">
        <v>0</v>
      </c>
      <c r="L30" s="256">
        <v>0</v>
      </c>
      <c r="M30" s="257">
        <v>0</v>
      </c>
    </row>
    <row r="31" spans="1:13" x14ac:dyDescent="0.3">
      <c r="A31" s="1456"/>
      <c r="B31" s="1490"/>
      <c r="C31" s="1491"/>
      <c r="D31" s="1487"/>
      <c r="E31" s="252" t="s">
        <v>4611</v>
      </c>
      <c r="F31" s="256">
        <v>0</v>
      </c>
      <c r="G31" s="256">
        <v>0</v>
      </c>
      <c r="H31" s="256">
        <v>0</v>
      </c>
      <c r="I31" s="256">
        <v>0</v>
      </c>
      <c r="J31" s="256">
        <v>0</v>
      </c>
      <c r="K31" s="256">
        <v>0</v>
      </c>
      <c r="L31" s="256">
        <v>0</v>
      </c>
      <c r="M31" s="257">
        <v>0</v>
      </c>
    </row>
    <row r="32" spans="1:13" x14ac:dyDescent="0.3">
      <c r="A32" s="1456"/>
      <c r="B32" s="1490"/>
      <c r="C32" s="1491"/>
      <c r="D32" s="1487"/>
      <c r="E32" s="252" t="s">
        <v>4612</v>
      </c>
      <c r="F32" s="256">
        <v>450773351</v>
      </c>
      <c r="G32" s="256">
        <v>19190000</v>
      </c>
      <c r="H32" s="256">
        <v>431583351</v>
      </c>
      <c r="I32" s="256">
        <v>0</v>
      </c>
      <c r="J32" s="256">
        <v>135148168</v>
      </c>
      <c r="K32" s="256">
        <v>93969438</v>
      </c>
      <c r="L32" s="256">
        <v>229117606</v>
      </c>
      <c r="M32" s="257">
        <v>202465745</v>
      </c>
    </row>
    <row r="33" spans="1:13" x14ac:dyDescent="0.3">
      <c r="A33" s="1456"/>
      <c r="B33" s="1490"/>
      <c r="C33" s="1491"/>
      <c r="D33" s="1487"/>
      <c r="E33" s="259" t="s">
        <v>269</v>
      </c>
      <c r="F33" s="256">
        <v>905426665</v>
      </c>
      <c r="G33" s="256">
        <v>49570000</v>
      </c>
      <c r="H33" s="256">
        <v>855856665</v>
      </c>
      <c r="I33" s="256">
        <v>0</v>
      </c>
      <c r="J33" s="256">
        <v>232710000</v>
      </c>
      <c r="K33" s="256">
        <v>104213333</v>
      </c>
      <c r="L33" s="260">
        <v>336923333</v>
      </c>
      <c r="M33" s="257">
        <v>518933332</v>
      </c>
    </row>
    <row r="34" spans="1:13" x14ac:dyDescent="0.3">
      <c r="A34" s="1456"/>
      <c r="B34" s="1490"/>
      <c r="C34" s="1491"/>
      <c r="D34" s="1487"/>
      <c r="E34" s="252" t="s">
        <v>4613</v>
      </c>
      <c r="F34" s="256">
        <v>1084564216</v>
      </c>
      <c r="G34" s="256">
        <v>0</v>
      </c>
      <c r="H34" s="256">
        <v>1084564216</v>
      </c>
      <c r="I34" s="256">
        <v>2850293</v>
      </c>
      <c r="J34" s="256">
        <v>166953847</v>
      </c>
      <c r="K34" s="256">
        <v>187497016</v>
      </c>
      <c r="L34" s="256">
        <v>357301156</v>
      </c>
      <c r="M34" s="257">
        <v>727263060</v>
      </c>
    </row>
    <row r="35" spans="1:13" x14ac:dyDescent="0.3">
      <c r="A35" s="1456"/>
      <c r="B35" s="1490"/>
      <c r="C35" s="1491"/>
      <c r="D35" s="1487"/>
      <c r="E35" s="252" t="s">
        <v>254</v>
      </c>
      <c r="F35" s="256">
        <v>0</v>
      </c>
      <c r="G35" s="256">
        <v>0</v>
      </c>
      <c r="H35" s="256">
        <v>0</v>
      </c>
      <c r="I35" s="256">
        <v>0</v>
      </c>
      <c r="J35" s="256">
        <v>0</v>
      </c>
      <c r="K35" s="256">
        <v>0</v>
      </c>
      <c r="L35" s="256">
        <v>0</v>
      </c>
      <c r="M35" s="257">
        <v>0</v>
      </c>
    </row>
    <row r="36" spans="1:13" x14ac:dyDescent="0.3">
      <c r="A36" s="1456"/>
      <c r="B36" s="1484"/>
      <c r="C36" s="1486"/>
      <c r="D36" s="1487"/>
      <c r="E36" s="252" t="s">
        <v>4614</v>
      </c>
      <c r="F36" s="256">
        <v>0</v>
      </c>
      <c r="G36" s="256">
        <v>0</v>
      </c>
      <c r="H36" s="256">
        <v>0</v>
      </c>
      <c r="I36" s="256">
        <v>0</v>
      </c>
      <c r="J36" s="256">
        <v>0</v>
      </c>
      <c r="K36" s="256">
        <v>0</v>
      </c>
      <c r="L36" s="256">
        <v>0</v>
      </c>
      <c r="M36" s="257">
        <v>0</v>
      </c>
    </row>
    <row r="37" spans="1:13" x14ac:dyDescent="0.3">
      <c r="A37" s="1456"/>
      <c r="B37" s="1488">
        <v>293</v>
      </c>
      <c r="C37" s="1489" t="s">
        <v>4615</v>
      </c>
      <c r="D37" s="1463" t="s">
        <v>4583</v>
      </c>
      <c r="E37" s="252" t="s">
        <v>390</v>
      </c>
      <c r="F37" s="260">
        <v>540620734</v>
      </c>
      <c r="G37" s="256">
        <v>0</v>
      </c>
      <c r="H37" s="256">
        <v>540620734</v>
      </c>
      <c r="I37" s="256">
        <v>0</v>
      </c>
      <c r="J37" s="256">
        <v>283109013</v>
      </c>
      <c r="K37" s="256">
        <v>129261322</v>
      </c>
      <c r="L37" s="260">
        <v>412370335</v>
      </c>
      <c r="M37" s="257">
        <v>128250399</v>
      </c>
    </row>
    <row r="38" spans="1:13" x14ac:dyDescent="0.3">
      <c r="A38" s="1456"/>
      <c r="B38" s="1490"/>
      <c r="C38" s="1491"/>
      <c r="D38" s="1464"/>
      <c r="E38" s="252" t="s">
        <v>4616</v>
      </c>
      <c r="F38" s="256">
        <v>3897513995</v>
      </c>
      <c r="G38" s="256">
        <v>0</v>
      </c>
      <c r="H38" s="256">
        <v>3897513995</v>
      </c>
      <c r="I38" s="256">
        <v>0</v>
      </c>
      <c r="J38" s="256">
        <v>0</v>
      </c>
      <c r="K38" s="256">
        <v>429489722</v>
      </c>
      <c r="L38" s="256">
        <v>429489722</v>
      </c>
      <c r="M38" s="257">
        <v>3468024273</v>
      </c>
    </row>
    <row r="39" spans="1:13" ht="12.75" customHeight="1" x14ac:dyDescent="0.3">
      <c r="A39" s="1456"/>
      <c r="B39" s="1484"/>
      <c r="C39" s="1486"/>
      <c r="D39" s="1465"/>
      <c r="E39" s="252" t="s">
        <v>421</v>
      </c>
      <c r="F39" s="256">
        <v>0</v>
      </c>
      <c r="G39" s="256">
        <v>0</v>
      </c>
      <c r="H39" s="256">
        <v>0</v>
      </c>
      <c r="I39" s="256">
        <v>0</v>
      </c>
      <c r="J39" s="256">
        <v>0</v>
      </c>
      <c r="K39" s="256">
        <v>0</v>
      </c>
      <c r="L39" s="256">
        <v>0</v>
      </c>
      <c r="M39" s="257">
        <v>0</v>
      </c>
    </row>
    <row r="40" spans="1:13" x14ac:dyDescent="0.3">
      <c r="A40" s="1456"/>
      <c r="B40" s="261">
        <v>294</v>
      </c>
      <c r="C40" s="258" t="s">
        <v>4617</v>
      </c>
      <c r="D40" s="1460" t="s">
        <v>4583</v>
      </c>
      <c r="E40" s="258" t="s">
        <v>4618</v>
      </c>
      <c r="F40" s="256">
        <v>6636995128</v>
      </c>
      <c r="G40" s="256">
        <v>0</v>
      </c>
      <c r="H40" s="256">
        <v>6636995128</v>
      </c>
      <c r="I40" s="256">
        <v>0</v>
      </c>
      <c r="J40" s="256">
        <v>0</v>
      </c>
      <c r="K40" s="256">
        <v>1580025696</v>
      </c>
      <c r="L40" s="256">
        <v>1580025696</v>
      </c>
      <c r="M40" s="257">
        <v>5056969432</v>
      </c>
    </row>
    <row r="41" spans="1:13" x14ac:dyDescent="0.3">
      <c r="A41" s="1456"/>
      <c r="B41" s="261">
        <v>296</v>
      </c>
      <c r="C41" s="252" t="s">
        <v>4619</v>
      </c>
      <c r="D41" s="1460"/>
      <c r="E41" s="252" t="s">
        <v>4620</v>
      </c>
      <c r="F41" s="256">
        <v>367820828</v>
      </c>
      <c r="G41" s="256">
        <v>13430000</v>
      </c>
      <c r="H41" s="256">
        <v>354390828</v>
      </c>
      <c r="I41" s="256">
        <v>0</v>
      </c>
      <c r="J41" s="256">
        <v>156517902</v>
      </c>
      <c r="K41" s="256">
        <v>86064327</v>
      </c>
      <c r="L41" s="256">
        <v>242582229</v>
      </c>
      <c r="M41" s="257">
        <v>111808599</v>
      </c>
    </row>
    <row r="42" spans="1:13" x14ac:dyDescent="0.3">
      <c r="A42" s="1456"/>
      <c r="B42" s="1488">
        <v>297</v>
      </c>
      <c r="C42" s="1489" t="s">
        <v>4621</v>
      </c>
      <c r="D42" s="1487" t="s">
        <v>4578</v>
      </c>
      <c r="E42" s="252" t="s">
        <v>4622</v>
      </c>
      <c r="F42" s="256">
        <v>748098733</v>
      </c>
      <c r="G42" s="256">
        <v>0</v>
      </c>
      <c r="H42" s="256">
        <v>748098733</v>
      </c>
      <c r="I42" s="256">
        <v>0</v>
      </c>
      <c r="J42" s="256">
        <v>51872067</v>
      </c>
      <c r="K42" s="256">
        <v>33100000</v>
      </c>
      <c r="L42" s="256">
        <v>84972067</v>
      </c>
      <c r="M42" s="257">
        <v>663126666</v>
      </c>
    </row>
    <row r="43" spans="1:13" x14ac:dyDescent="0.3">
      <c r="A43" s="1456"/>
      <c r="B43" s="1484"/>
      <c r="C43" s="1486"/>
      <c r="D43" s="1487"/>
      <c r="E43" s="252" t="s">
        <v>4623</v>
      </c>
      <c r="F43" s="256">
        <v>359222850</v>
      </c>
      <c r="G43" s="256">
        <v>0</v>
      </c>
      <c r="H43" s="256">
        <v>359222850</v>
      </c>
      <c r="I43" s="256">
        <v>28063505</v>
      </c>
      <c r="J43" s="256">
        <v>74571595</v>
      </c>
      <c r="K43" s="256">
        <v>51317550</v>
      </c>
      <c r="L43" s="256">
        <v>153952650</v>
      </c>
      <c r="M43" s="257">
        <v>205270200</v>
      </c>
    </row>
    <row r="44" spans="1:13" ht="13.5" thickBot="1" x14ac:dyDescent="0.35">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3.5" thickBot="1" x14ac:dyDescent="0.35">
      <c r="A45" s="285"/>
      <c r="C45" s="286"/>
      <c r="D45" s="285"/>
      <c r="E45" s="285"/>
      <c r="F45" s="296"/>
      <c r="M45" s="266"/>
    </row>
    <row r="46" spans="1:13" x14ac:dyDescent="0.3">
      <c r="A46" s="1478" t="s">
        <v>4624</v>
      </c>
      <c r="B46" s="1480">
        <v>509</v>
      </c>
      <c r="C46" s="1480" t="s">
        <v>4625</v>
      </c>
      <c r="D46" s="1482"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x14ac:dyDescent="0.3">
      <c r="A47" s="1479"/>
      <c r="B47" s="1481"/>
      <c r="C47" s="1481"/>
      <c r="D47" s="1462"/>
      <c r="E47" s="270" t="s">
        <v>4626</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x14ac:dyDescent="0.3">
      <c r="A48" s="1479"/>
      <c r="B48" s="1481"/>
      <c r="C48" s="1481"/>
      <c r="D48" s="240" t="s">
        <v>184</v>
      </c>
      <c r="E48" s="226" t="s">
        <v>4627</v>
      </c>
      <c r="F48" s="256">
        <v>1348945476</v>
      </c>
      <c r="G48" s="256">
        <v>0</v>
      </c>
      <c r="H48" s="256">
        <f t="shared" si="0"/>
        <v>1348945476</v>
      </c>
      <c r="I48" s="256">
        <v>0</v>
      </c>
      <c r="J48" s="256">
        <v>169247286</v>
      </c>
      <c r="K48" s="256">
        <v>550876160</v>
      </c>
      <c r="L48" s="289">
        <f t="shared" si="1"/>
        <v>720123446</v>
      </c>
      <c r="M48" s="294">
        <f t="shared" si="2"/>
        <v>628822030</v>
      </c>
    </row>
    <row r="49" spans="1:13" x14ac:dyDescent="0.3">
      <c r="A49" s="1479"/>
      <c r="B49" s="1481"/>
      <c r="C49" s="1481"/>
      <c r="D49" s="287" t="s">
        <v>143</v>
      </c>
      <c r="E49" s="270" t="s">
        <v>4626</v>
      </c>
      <c r="F49" s="256">
        <v>779787974</v>
      </c>
      <c r="G49" s="256">
        <v>0</v>
      </c>
      <c r="H49" s="256">
        <f t="shared" si="0"/>
        <v>779787974</v>
      </c>
      <c r="I49" s="256">
        <v>0</v>
      </c>
      <c r="J49" s="256">
        <v>82200000</v>
      </c>
      <c r="K49" s="256">
        <v>51624361</v>
      </c>
      <c r="L49" s="289">
        <f t="shared" si="1"/>
        <v>133824361</v>
      </c>
      <c r="M49" s="294">
        <f t="shared" si="2"/>
        <v>645963613</v>
      </c>
    </row>
    <row r="50" spans="1:13" x14ac:dyDescent="0.3">
      <c r="A50" s="1479"/>
      <c r="B50" s="1481"/>
      <c r="C50" s="1481"/>
      <c r="D50" s="226" t="s">
        <v>210</v>
      </c>
      <c r="E50" s="270" t="s">
        <v>4626</v>
      </c>
      <c r="F50" s="256">
        <v>189354635</v>
      </c>
      <c r="G50" s="256">
        <v>0</v>
      </c>
      <c r="H50" s="256">
        <f t="shared" si="0"/>
        <v>189354635</v>
      </c>
      <c r="I50" s="256">
        <v>0</v>
      </c>
      <c r="J50" s="256">
        <v>69159674</v>
      </c>
      <c r="K50" s="256">
        <v>51351469</v>
      </c>
      <c r="L50" s="289">
        <f t="shared" si="1"/>
        <v>120511143</v>
      </c>
      <c r="M50" s="294">
        <f t="shared" si="2"/>
        <v>68843492</v>
      </c>
    </row>
    <row r="51" spans="1:13" x14ac:dyDescent="0.3">
      <c r="A51" s="1479"/>
      <c r="B51" s="1481"/>
      <c r="C51" s="1481"/>
      <c r="D51" s="226" t="s">
        <v>214</v>
      </c>
      <c r="E51" s="270" t="s">
        <v>4626</v>
      </c>
      <c r="F51" s="256">
        <v>986157067</v>
      </c>
      <c r="G51" s="256">
        <v>0</v>
      </c>
      <c r="H51" s="256">
        <f t="shared" si="0"/>
        <v>986157067</v>
      </c>
      <c r="I51" s="256">
        <v>0</v>
      </c>
      <c r="J51" s="256">
        <v>265945102</v>
      </c>
      <c r="K51" s="256">
        <v>244826741</v>
      </c>
      <c r="L51" s="289">
        <f t="shared" si="1"/>
        <v>510771843</v>
      </c>
      <c r="M51" s="294">
        <f t="shared" si="2"/>
        <v>475385224</v>
      </c>
    </row>
    <row r="52" spans="1:13" x14ac:dyDescent="0.3">
      <c r="A52" s="1455"/>
      <c r="B52" s="1481"/>
      <c r="C52" s="1481"/>
      <c r="D52" s="226" t="s">
        <v>206</v>
      </c>
      <c r="E52" s="270" t="s">
        <v>4626</v>
      </c>
      <c r="F52" s="256">
        <v>38133332</v>
      </c>
      <c r="G52" s="256">
        <v>0</v>
      </c>
      <c r="H52" s="295">
        <f t="shared" si="0"/>
        <v>38133332</v>
      </c>
      <c r="I52" s="256">
        <v>0</v>
      </c>
      <c r="J52" s="256">
        <v>12566666</v>
      </c>
      <c r="K52" s="256">
        <v>19716666</v>
      </c>
      <c r="L52" s="289">
        <f t="shared" si="1"/>
        <v>32283332</v>
      </c>
      <c r="M52" s="294">
        <f t="shared" si="2"/>
        <v>5850000</v>
      </c>
    </row>
    <row r="53" spans="1:13" ht="13.5" thickBot="1" x14ac:dyDescent="0.35">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3.5" thickBot="1" x14ac:dyDescent="0.35">
      <c r="L54" s="272"/>
      <c r="M54" s="273">
        <v>0</v>
      </c>
    </row>
    <row r="55" spans="1:13" x14ac:dyDescent="0.3">
      <c r="A55" s="1498" t="s">
        <v>4628</v>
      </c>
      <c r="B55" s="1480">
        <v>278</v>
      </c>
      <c r="C55" s="1480" t="s">
        <v>4629</v>
      </c>
      <c r="D55" s="1468" t="s">
        <v>4588</v>
      </c>
      <c r="E55" s="267" t="s">
        <v>81</v>
      </c>
      <c r="F55" s="283">
        <v>318199601</v>
      </c>
      <c r="G55" s="268">
        <v>0</v>
      </c>
      <c r="H55" s="268">
        <v>318199601</v>
      </c>
      <c r="I55" s="268">
        <v>0</v>
      </c>
      <c r="J55" s="268">
        <v>0</v>
      </c>
      <c r="K55" s="268">
        <v>14629877</v>
      </c>
      <c r="L55" s="274">
        <v>14629877</v>
      </c>
      <c r="M55" s="269">
        <v>303569724</v>
      </c>
    </row>
    <row r="56" spans="1:13" x14ac:dyDescent="0.3">
      <c r="A56" s="1499"/>
      <c r="B56" s="1481"/>
      <c r="C56" s="1481"/>
      <c r="D56" s="1460"/>
      <c r="E56" s="270" t="s">
        <v>4630</v>
      </c>
      <c r="F56" s="256">
        <v>1231297370</v>
      </c>
      <c r="G56" s="256">
        <v>0</v>
      </c>
      <c r="H56" s="256">
        <v>1231297370</v>
      </c>
      <c r="I56" s="256">
        <v>0</v>
      </c>
      <c r="J56" s="256">
        <v>224383229</v>
      </c>
      <c r="K56" s="256">
        <v>88195896</v>
      </c>
      <c r="L56" s="256">
        <v>312579125</v>
      </c>
      <c r="M56" s="257">
        <v>918718245</v>
      </c>
    </row>
    <row r="57" spans="1:13" ht="12.75" customHeight="1" x14ac:dyDescent="0.3">
      <c r="A57" s="1499"/>
      <c r="B57" s="1481"/>
      <c r="C57" s="1481"/>
      <c r="D57" s="1460"/>
      <c r="E57" s="270" t="s">
        <v>4631</v>
      </c>
      <c r="F57" s="256">
        <v>383916527</v>
      </c>
      <c r="G57" s="256">
        <v>0</v>
      </c>
      <c r="H57" s="256">
        <v>383916527</v>
      </c>
      <c r="I57" s="256">
        <v>0</v>
      </c>
      <c r="J57" s="256">
        <v>190409230</v>
      </c>
      <c r="K57" s="256">
        <v>60903382</v>
      </c>
      <c r="L57" s="256">
        <v>251312612</v>
      </c>
      <c r="M57" s="257">
        <v>132603915</v>
      </c>
    </row>
    <row r="58" spans="1:13" x14ac:dyDescent="0.3">
      <c r="A58" s="1499"/>
      <c r="B58" s="1481"/>
      <c r="C58" s="1481"/>
      <c r="D58" s="1460"/>
      <c r="E58" s="226" t="s">
        <v>4632</v>
      </c>
      <c r="F58" s="256">
        <v>0</v>
      </c>
      <c r="G58" s="256">
        <v>0</v>
      </c>
      <c r="H58" s="256">
        <v>0</v>
      </c>
      <c r="I58" s="256">
        <v>0</v>
      </c>
      <c r="J58" s="256">
        <v>0</v>
      </c>
      <c r="K58" s="256">
        <v>0</v>
      </c>
      <c r="L58" s="256">
        <v>0</v>
      </c>
      <c r="M58" s="257">
        <v>0</v>
      </c>
    </row>
    <row r="59" spans="1:13" ht="13.5" thickBot="1" x14ac:dyDescent="0.35">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3.5" thickBot="1" x14ac:dyDescent="0.35">
      <c r="F60" s="284">
        <f>+F59+F13</f>
        <v>2000928130</v>
      </c>
      <c r="M60" s="273">
        <v>0</v>
      </c>
    </row>
    <row r="61" spans="1:13" x14ac:dyDescent="0.3">
      <c r="A61" s="1498" t="s">
        <v>4633</v>
      </c>
      <c r="B61" s="1480">
        <v>335</v>
      </c>
      <c r="C61" s="1480" t="s">
        <v>4634</v>
      </c>
      <c r="D61" s="1496" t="s">
        <v>4588</v>
      </c>
      <c r="E61" s="233" t="s">
        <v>113</v>
      </c>
      <c r="F61" s="268">
        <v>2475172690</v>
      </c>
      <c r="G61" s="268">
        <v>0</v>
      </c>
      <c r="H61" s="268">
        <v>2475172690</v>
      </c>
      <c r="I61" s="268">
        <v>0</v>
      </c>
      <c r="J61" s="268">
        <v>960000000</v>
      </c>
      <c r="K61" s="268">
        <v>470000000</v>
      </c>
      <c r="L61" s="268">
        <v>1430000000</v>
      </c>
      <c r="M61" s="269">
        <v>1045172690</v>
      </c>
    </row>
    <row r="62" spans="1:13" x14ac:dyDescent="0.3">
      <c r="A62" s="1499"/>
      <c r="B62" s="1481"/>
      <c r="C62" s="1481"/>
      <c r="D62" s="1497"/>
      <c r="E62" s="226" t="s">
        <v>4635</v>
      </c>
      <c r="F62" s="256">
        <v>245315690</v>
      </c>
      <c r="G62" s="256">
        <v>0</v>
      </c>
      <c r="H62" s="256">
        <v>245315690</v>
      </c>
      <c r="I62" s="256">
        <v>0</v>
      </c>
      <c r="J62" s="256">
        <v>117997808</v>
      </c>
      <c r="K62" s="256">
        <v>78520699</v>
      </c>
      <c r="L62" s="256">
        <v>196518507</v>
      </c>
      <c r="M62" s="257">
        <v>48797183</v>
      </c>
    </row>
    <row r="63" spans="1:13" ht="13.5" thickBot="1" x14ac:dyDescent="0.35">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3.5" thickBot="1" x14ac:dyDescent="0.35">
      <c r="F64" s="284">
        <f>+F63+F16</f>
        <v>3050203442</v>
      </c>
      <c r="M64" s="273">
        <v>0</v>
      </c>
    </row>
    <row r="65" spans="1:13" x14ac:dyDescent="0.3">
      <c r="A65" s="1492" t="s">
        <v>4636</v>
      </c>
      <c r="B65" s="1494">
        <v>5</v>
      </c>
      <c r="C65" s="1494" t="s">
        <v>4637</v>
      </c>
      <c r="D65" s="1496" t="s">
        <v>4588</v>
      </c>
      <c r="E65" s="233" t="s">
        <v>4638</v>
      </c>
      <c r="F65" s="268">
        <v>400000000</v>
      </c>
      <c r="G65" s="268">
        <v>0</v>
      </c>
      <c r="H65" s="268">
        <v>400000000</v>
      </c>
      <c r="I65" s="268">
        <v>0</v>
      </c>
      <c r="J65" s="268">
        <v>390632270</v>
      </c>
      <c r="K65" s="268">
        <v>4276920</v>
      </c>
      <c r="L65" s="234">
        <v>394909190</v>
      </c>
      <c r="M65" s="269">
        <v>5090810</v>
      </c>
    </row>
    <row r="66" spans="1:13" x14ac:dyDescent="0.3">
      <c r="A66" s="1493"/>
      <c r="B66" s="1495"/>
      <c r="C66" s="1495"/>
      <c r="D66" s="1497"/>
      <c r="E66" s="226" t="s">
        <v>4639</v>
      </c>
      <c r="F66" s="256">
        <v>0</v>
      </c>
      <c r="G66" s="256">
        <v>0</v>
      </c>
      <c r="H66" s="256">
        <v>0</v>
      </c>
      <c r="I66" s="256">
        <v>0</v>
      </c>
      <c r="J66" s="256">
        <v>0</v>
      </c>
      <c r="K66" s="256">
        <v>0</v>
      </c>
      <c r="L66" s="226">
        <v>0</v>
      </c>
      <c r="M66" s="257">
        <v>0</v>
      </c>
    </row>
    <row r="67" spans="1:13" ht="13.5" thickBot="1" x14ac:dyDescent="0.35">
      <c r="A67" s="229"/>
      <c r="B67" s="230"/>
      <c r="C67" s="230"/>
      <c r="D67" s="230"/>
      <c r="E67" s="230"/>
      <c r="F67" s="231">
        <v>400000000</v>
      </c>
      <c r="G67" s="231">
        <v>0</v>
      </c>
      <c r="H67" s="231">
        <v>400000000</v>
      </c>
      <c r="I67" s="231">
        <v>0</v>
      </c>
      <c r="J67" s="231">
        <v>390632270</v>
      </c>
      <c r="K67" s="231">
        <v>4276920</v>
      </c>
      <c r="L67" s="231">
        <v>394909190</v>
      </c>
      <c r="M67" s="231">
        <v>5090810</v>
      </c>
    </row>
    <row r="69" spans="1:13" ht="14.5" x14ac:dyDescent="0.35">
      <c r="E69" s="276" t="s">
        <v>4640</v>
      </c>
      <c r="F69" s="277">
        <v>41653138944</v>
      </c>
      <c r="G69" s="277">
        <v>163686274</v>
      </c>
      <c r="H69" s="277">
        <v>41489452670</v>
      </c>
      <c r="I69" s="277">
        <v>56808986</v>
      </c>
      <c r="J69" s="277">
        <v>4529413967</v>
      </c>
      <c r="K69" s="277">
        <v>7139501548</v>
      </c>
      <c r="L69" s="277">
        <v>11725724501</v>
      </c>
      <c r="M69" s="277">
        <v>29763728169</v>
      </c>
    </row>
    <row r="70" spans="1:13" ht="3" customHeight="1" x14ac:dyDescent="0.3">
      <c r="E70" s="278"/>
      <c r="F70" s="279"/>
      <c r="G70" s="279"/>
      <c r="H70" s="279"/>
      <c r="I70" s="279"/>
      <c r="J70" s="279"/>
      <c r="K70" s="279"/>
      <c r="L70" s="279"/>
      <c r="M70" s="279"/>
    </row>
    <row r="71" spans="1:13" x14ac:dyDescent="0.3">
      <c r="E71" s="280" t="s">
        <v>4641</v>
      </c>
      <c r="F71" s="281">
        <v>3102982477</v>
      </c>
      <c r="G71" s="281"/>
      <c r="H71" s="281">
        <v>3102982477</v>
      </c>
      <c r="I71" s="281">
        <v>56808986</v>
      </c>
      <c r="J71" s="281">
        <v>391172201</v>
      </c>
      <c r="K71" s="281">
        <v>150919843</v>
      </c>
      <c r="L71" s="281">
        <v>1398284235</v>
      </c>
      <c r="M71" s="281">
        <v>1704698242</v>
      </c>
    </row>
    <row r="72" spans="1:13" ht="3" customHeight="1" x14ac:dyDescent="0.3">
      <c r="E72" s="278"/>
    </row>
    <row r="73" spans="1:13" ht="14.5" x14ac:dyDescent="0.35">
      <c r="E73" s="276" t="s">
        <v>4642</v>
      </c>
      <c r="F73" s="277">
        <v>44756121421</v>
      </c>
      <c r="G73" s="277">
        <v>163686274</v>
      </c>
      <c r="H73" s="277">
        <v>44592435147</v>
      </c>
      <c r="I73" s="277">
        <v>113617972</v>
      </c>
      <c r="J73" s="277">
        <v>4920586168</v>
      </c>
      <c r="K73" s="277">
        <v>7290421391</v>
      </c>
      <c r="L73" s="277">
        <v>13124008736</v>
      </c>
      <c r="M73" s="277">
        <v>31468426411</v>
      </c>
    </row>
    <row r="75" spans="1:13" x14ac:dyDescent="0.3">
      <c r="E75" s="282" t="s">
        <v>4643</v>
      </c>
    </row>
  </sheetData>
  <mergeCells count="5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E15:E16"/>
    <mergeCell ref="A18:A21"/>
    <mergeCell ref="B18:B21"/>
    <mergeCell ref="C18:C21"/>
    <mergeCell ref="B24:C24"/>
    <mergeCell ref="D37:D39"/>
    <mergeCell ref="A10:A12"/>
    <mergeCell ref="B10:B12"/>
    <mergeCell ref="C10:C12"/>
    <mergeCell ref="D10:D12"/>
    <mergeCell ref="A15:A16"/>
    <mergeCell ref="B15:B16"/>
    <mergeCell ref="C15:C16"/>
    <mergeCell ref="D15:D16"/>
    <mergeCell ref="B1:C1"/>
    <mergeCell ref="A2:A7"/>
    <mergeCell ref="B2:B7"/>
    <mergeCell ref="C2:C7"/>
    <mergeCell ref="D2:D3"/>
    <mergeCell ref="D4:D5"/>
    <mergeCell ref="D6:D7"/>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33"/>
  <sheetViews>
    <sheetView zoomScale="136" zoomScaleNormal="136" workbookViewId="0">
      <selection activeCell="G13" sqref="G13"/>
    </sheetView>
  </sheetViews>
  <sheetFormatPr baseColWidth="10" defaultColWidth="11.54296875" defaultRowHeight="14.5" x14ac:dyDescent="0.35"/>
  <cols>
    <col min="2" max="2" width="27.81640625" customWidth="1"/>
    <col min="3" max="3" width="18.54296875" customWidth="1"/>
    <col min="4" max="4" width="20.54296875" customWidth="1"/>
    <col min="5" max="5" width="15.1796875" customWidth="1"/>
    <col min="6" max="6" width="16.453125" customWidth="1"/>
    <col min="7" max="7" width="15.81640625" customWidth="1"/>
    <col min="8" max="8" width="20.81640625" customWidth="1"/>
    <col min="9" max="9" width="24.54296875" customWidth="1"/>
    <col min="10" max="10" width="108.81640625" customWidth="1"/>
    <col min="11" max="11" width="87.7265625" customWidth="1"/>
  </cols>
  <sheetData>
    <row r="1" spans="1:31" s="1" customFormat="1" ht="23.5" x14ac:dyDescent="0.55000000000000004">
      <c r="A1" s="1500" t="s">
        <v>4644</v>
      </c>
      <c r="B1" s="1501"/>
      <c r="C1" s="1501"/>
      <c r="D1" s="1501"/>
      <c r="E1" s="1501"/>
      <c r="F1" s="1501"/>
      <c r="G1" s="1501"/>
      <c r="H1" s="1501"/>
      <c r="I1" s="1501"/>
      <c r="J1" s="1501"/>
      <c r="K1" s="1501"/>
      <c r="L1" s="1501"/>
      <c r="M1" s="1501"/>
      <c r="N1" s="1501"/>
      <c r="O1" s="1501"/>
      <c r="P1" s="1501"/>
      <c r="Q1" s="1501"/>
      <c r="R1" s="1501"/>
      <c r="S1" s="1501"/>
      <c r="T1" s="1501"/>
      <c r="U1" s="1501"/>
      <c r="V1" s="1501"/>
      <c r="W1" s="1501"/>
      <c r="X1" s="1501"/>
      <c r="Y1" s="1501"/>
      <c r="Z1" s="1501"/>
      <c r="AA1" s="1501"/>
      <c r="AB1" s="1501"/>
      <c r="AC1" s="1501"/>
      <c r="AD1" s="1501"/>
      <c r="AE1" s="1501"/>
    </row>
    <row r="2" spans="1:31" s="1" customFormat="1" ht="23.5" x14ac:dyDescent="0.55000000000000004">
      <c r="A2" s="1500" t="s">
        <v>4645</v>
      </c>
      <c r="B2" s="1501"/>
      <c r="C2" s="1501"/>
      <c r="D2" s="1501"/>
      <c r="E2" s="1501"/>
      <c r="F2" s="1501"/>
      <c r="G2" s="1501"/>
      <c r="H2" s="1501"/>
      <c r="I2" s="1501"/>
      <c r="J2" s="1501"/>
      <c r="K2" s="1501"/>
      <c r="L2" s="1501"/>
      <c r="M2" s="1501"/>
      <c r="N2" s="1501"/>
      <c r="O2" s="1501"/>
      <c r="P2" s="1501"/>
      <c r="Q2" s="1501"/>
      <c r="R2" s="1501"/>
      <c r="S2" s="1501"/>
      <c r="T2" s="1501"/>
      <c r="U2" s="1501"/>
      <c r="V2" s="1501"/>
      <c r="W2" s="1501"/>
      <c r="X2" s="1501"/>
      <c r="Y2" s="1501"/>
      <c r="Z2" s="1501"/>
      <c r="AA2" s="1501"/>
      <c r="AB2" s="1501"/>
      <c r="AC2" s="1501"/>
      <c r="AD2" s="1501"/>
      <c r="AE2" s="1501"/>
    </row>
    <row r="3" spans="1:31" s="1" customFormat="1" ht="23.5" x14ac:dyDescent="0.55000000000000004">
      <c r="A3" s="1500" t="s">
        <v>4646</v>
      </c>
      <c r="B3" s="1501"/>
      <c r="C3" s="1501"/>
      <c r="D3" s="1501"/>
      <c r="E3" s="1501"/>
      <c r="F3" s="1501"/>
      <c r="G3" s="1501"/>
      <c r="H3" s="1501"/>
      <c r="I3" s="1501"/>
      <c r="J3" s="1501"/>
      <c r="K3" s="1501"/>
      <c r="L3" s="1501"/>
      <c r="M3" s="1501"/>
      <c r="N3" s="1501"/>
      <c r="O3" s="1501"/>
      <c r="P3" s="1501"/>
      <c r="Q3" s="1501"/>
      <c r="R3" s="1501"/>
      <c r="S3" s="1501"/>
      <c r="T3" s="1501"/>
      <c r="U3" s="1501"/>
      <c r="V3" s="1501"/>
      <c r="W3" s="1501"/>
      <c r="X3" s="1501"/>
      <c r="Y3" s="1501"/>
      <c r="Z3" s="1501"/>
      <c r="AA3" s="1501"/>
      <c r="AB3" s="1501"/>
      <c r="AC3" s="1501"/>
      <c r="AD3" s="1501"/>
      <c r="AE3" s="1501"/>
    </row>
    <row r="4" spans="1:31" s="1" customFormat="1" ht="23.5" x14ac:dyDescent="0.55000000000000004">
      <c r="A4" s="188" t="s">
        <v>4647</v>
      </c>
      <c r="B4" s="189" t="s">
        <v>4648</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x14ac:dyDescent="0.35"/>
    <row r="6" spans="1:31" s="1" customFormat="1" ht="15" thickBot="1" x14ac:dyDescent="0.4"/>
    <row r="7" spans="1:31" ht="62.5" thickBot="1" x14ac:dyDescent="0.4">
      <c r="A7" s="190" t="s">
        <v>4565</v>
      </c>
      <c r="B7" s="191" t="s">
        <v>4649</v>
      </c>
      <c r="C7" s="191" t="s">
        <v>4650</v>
      </c>
      <c r="D7" s="191" t="s">
        <v>4651</v>
      </c>
      <c r="E7" s="191" t="s">
        <v>4652</v>
      </c>
      <c r="F7" s="191" t="s">
        <v>4653</v>
      </c>
      <c r="G7" s="191" t="s">
        <v>4654</v>
      </c>
      <c r="H7" s="191" t="s">
        <v>4655</v>
      </c>
      <c r="I7" s="192" t="s">
        <v>4656</v>
      </c>
      <c r="J7" s="193" t="s">
        <v>4657</v>
      </c>
      <c r="K7" s="193" t="s">
        <v>4658</v>
      </c>
    </row>
    <row r="8" spans="1:31" ht="93" customHeight="1" x14ac:dyDescent="0.35">
      <c r="A8" s="194">
        <v>7628</v>
      </c>
      <c r="B8" s="195" t="s">
        <v>4659</v>
      </c>
      <c r="C8" s="196">
        <v>12591966000</v>
      </c>
      <c r="D8" s="196">
        <v>458448851</v>
      </c>
      <c r="E8" s="197">
        <f t="shared" ref="E8:E20" si="0">D8/C8</f>
        <v>3.6408043906725925E-2</v>
      </c>
      <c r="F8" s="197">
        <v>1</v>
      </c>
      <c r="G8" s="197">
        <v>1.2E-2</v>
      </c>
      <c r="H8" s="197">
        <f>G8/F8</f>
        <v>1.2E-2</v>
      </c>
      <c r="I8" s="198">
        <v>0.2024</v>
      </c>
      <c r="J8" s="199" t="s">
        <v>4660</v>
      </c>
      <c r="K8" s="199"/>
    </row>
    <row r="9" spans="1:31" ht="75" customHeight="1" x14ac:dyDescent="0.35">
      <c r="A9" s="148">
        <v>7660</v>
      </c>
      <c r="B9" s="199" t="s">
        <v>4661</v>
      </c>
      <c r="C9" s="200">
        <v>100000000</v>
      </c>
      <c r="D9" s="200">
        <v>0</v>
      </c>
      <c r="E9" s="201">
        <f t="shared" si="0"/>
        <v>0</v>
      </c>
      <c r="F9" s="202">
        <v>3396</v>
      </c>
      <c r="G9" s="202">
        <v>163</v>
      </c>
      <c r="H9" s="201">
        <f>G9/F9</f>
        <v>4.7997644287396939E-2</v>
      </c>
      <c r="I9" s="203">
        <v>0.1242</v>
      </c>
      <c r="J9" s="199" t="s">
        <v>4662</v>
      </c>
      <c r="K9" s="199"/>
    </row>
    <row r="10" spans="1:31" ht="106.5" customHeight="1" x14ac:dyDescent="0.35">
      <c r="A10" s="148">
        <v>7644</v>
      </c>
      <c r="B10" s="199" t="s">
        <v>37</v>
      </c>
      <c r="C10" s="200">
        <v>6894681000</v>
      </c>
      <c r="D10" s="200">
        <v>0</v>
      </c>
      <c r="E10" s="204">
        <f t="shared" si="0"/>
        <v>0</v>
      </c>
      <c r="F10" s="202">
        <v>475</v>
      </c>
      <c r="G10" s="202">
        <v>0</v>
      </c>
      <c r="H10" s="201">
        <v>0</v>
      </c>
      <c r="I10" s="198">
        <v>0</v>
      </c>
      <c r="J10" s="199" t="s">
        <v>4663</v>
      </c>
      <c r="K10" s="199" t="s">
        <v>4664</v>
      </c>
    </row>
    <row r="11" spans="1:31" ht="103" customHeight="1" x14ac:dyDescent="0.35">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4665</v>
      </c>
      <c r="K11" s="199"/>
    </row>
    <row r="12" spans="1:31" ht="75" customHeight="1" x14ac:dyDescent="0.35">
      <c r="A12" s="148">
        <v>7569</v>
      </c>
      <c r="B12" s="199" t="s">
        <v>4666</v>
      </c>
      <c r="C12" s="200">
        <v>294780000</v>
      </c>
      <c r="D12" s="200">
        <v>0</v>
      </c>
      <c r="E12" s="201">
        <f t="shared" si="0"/>
        <v>0</v>
      </c>
      <c r="F12" s="202">
        <v>1</v>
      </c>
      <c r="G12" s="202">
        <v>0</v>
      </c>
      <c r="H12" s="201">
        <f t="shared" si="1"/>
        <v>0</v>
      </c>
      <c r="I12" s="203">
        <v>0.2</v>
      </c>
      <c r="J12" s="199" t="s">
        <v>4667</v>
      </c>
      <c r="K12" s="199"/>
    </row>
    <row r="13" spans="1:31" ht="75" customHeight="1" x14ac:dyDescent="0.35">
      <c r="A13" s="148">
        <v>7569</v>
      </c>
      <c r="B13" s="199" t="s">
        <v>378</v>
      </c>
      <c r="C13" s="200">
        <v>300000000</v>
      </c>
      <c r="D13" s="200">
        <v>108350</v>
      </c>
      <c r="E13" s="201">
        <f t="shared" si="0"/>
        <v>3.6116666666666665E-4</v>
      </c>
      <c r="F13" s="206">
        <v>0.76</v>
      </c>
      <c r="G13" s="206">
        <v>0</v>
      </c>
      <c r="H13" s="201">
        <f t="shared" si="1"/>
        <v>0</v>
      </c>
      <c r="I13" s="203">
        <v>0.24</v>
      </c>
      <c r="J13" s="199" t="s">
        <v>4668</v>
      </c>
      <c r="K13" s="199"/>
    </row>
    <row r="14" spans="1:31" ht="75" customHeight="1" x14ac:dyDescent="0.35">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4669</v>
      </c>
      <c r="K14" s="199"/>
    </row>
    <row r="15" spans="1:31" ht="135" customHeight="1" x14ac:dyDescent="0.35">
      <c r="A15" s="148">
        <v>7569</v>
      </c>
      <c r="B15" s="199" t="s">
        <v>389</v>
      </c>
      <c r="C15" s="200">
        <v>42861454668</v>
      </c>
      <c r="D15" s="200">
        <v>0</v>
      </c>
      <c r="E15" s="201">
        <f t="shared" si="0"/>
        <v>0</v>
      </c>
      <c r="F15" s="204">
        <v>1</v>
      </c>
      <c r="G15" s="201">
        <v>8.3299999999999999E-2</v>
      </c>
      <c r="H15" s="201">
        <f t="shared" si="1"/>
        <v>8.3299999999999999E-2</v>
      </c>
      <c r="I15" s="203">
        <v>0.2167</v>
      </c>
      <c r="J15" s="199" t="s">
        <v>4670</v>
      </c>
      <c r="K15" s="199"/>
    </row>
    <row r="16" spans="1:31" ht="75" customHeight="1" x14ac:dyDescent="0.35">
      <c r="A16" s="148">
        <v>7569</v>
      </c>
      <c r="B16" s="199" t="s">
        <v>426</v>
      </c>
      <c r="C16" s="200">
        <v>19330561332</v>
      </c>
      <c r="D16" s="200">
        <v>0</v>
      </c>
      <c r="E16" s="201">
        <f t="shared" si="0"/>
        <v>0</v>
      </c>
      <c r="F16" s="204">
        <v>1</v>
      </c>
      <c r="G16" s="201">
        <v>8.3299999999999999E-2</v>
      </c>
      <c r="H16" s="201">
        <f t="shared" si="1"/>
        <v>8.3299999999999999E-2</v>
      </c>
      <c r="I16" s="203">
        <v>0.2167</v>
      </c>
      <c r="J16" s="199" t="s">
        <v>4671</v>
      </c>
      <c r="K16" s="199"/>
    </row>
    <row r="17" spans="1:11" ht="75" customHeight="1" x14ac:dyDescent="0.35">
      <c r="A17" s="148">
        <v>7569</v>
      </c>
      <c r="B17" s="199" t="s">
        <v>358</v>
      </c>
      <c r="C17" s="200">
        <v>1711170350</v>
      </c>
      <c r="D17" s="200">
        <v>57000000</v>
      </c>
      <c r="E17" s="201">
        <f t="shared" si="0"/>
        <v>3.3310535096637221E-2</v>
      </c>
      <c r="F17" s="202">
        <v>1</v>
      </c>
      <c r="G17" s="206">
        <v>0</v>
      </c>
      <c r="H17" s="201">
        <v>0</v>
      </c>
      <c r="I17" s="203">
        <v>0</v>
      </c>
      <c r="J17" s="199" t="s">
        <v>4668</v>
      </c>
      <c r="K17" s="199" t="s">
        <v>4672</v>
      </c>
    </row>
    <row r="18" spans="1:11" ht="75" customHeight="1" x14ac:dyDescent="0.35">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4673</v>
      </c>
      <c r="K18" s="199"/>
    </row>
    <row r="19" spans="1:11" ht="75" customHeight="1" x14ac:dyDescent="0.35">
      <c r="A19" s="148">
        <v>7652</v>
      </c>
      <c r="B19" s="199" t="s">
        <v>4674</v>
      </c>
      <c r="C19" s="200">
        <v>7926512000</v>
      </c>
      <c r="D19" s="200">
        <v>96984000</v>
      </c>
      <c r="E19" s="201">
        <f t="shared" si="0"/>
        <v>1.2235394332336846E-2</v>
      </c>
      <c r="F19" s="202">
        <v>23258</v>
      </c>
      <c r="G19" s="202">
        <v>1390</v>
      </c>
      <c r="H19" s="201">
        <f>G19/F19</f>
        <v>5.9764382148078082E-2</v>
      </c>
      <c r="I19" s="203">
        <v>0.10639999999999999</v>
      </c>
      <c r="J19" s="199" t="s">
        <v>4675</v>
      </c>
      <c r="K19" s="199"/>
    </row>
    <row r="20" spans="1:11" x14ac:dyDescent="0.35">
      <c r="B20" s="207" t="s">
        <v>4676</v>
      </c>
      <c r="C20" s="208">
        <f>SUM(C8:C19)</f>
        <v>147117947000</v>
      </c>
      <c r="D20" s="208">
        <f>SUM(D8:D19)</f>
        <v>2091294033</v>
      </c>
      <c r="E20" s="209">
        <f t="shared" si="0"/>
        <v>1.4215084397554841E-2</v>
      </c>
    </row>
    <row r="21" spans="1:11" s="1" customFormat="1" x14ac:dyDescent="0.35">
      <c r="A21" s="131" t="s">
        <v>4677</v>
      </c>
      <c r="B21" s="131"/>
    </row>
    <row r="22" spans="1:11" s="1" customFormat="1" x14ac:dyDescent="0.35"/>
    <row r="23" spans="1:11" s="1" customFormat="1" x14ac:dyDescent="0.35"/>
    <row r="24" spans="1:11" s="1" customFormat="1" x14ac:dyDescent="0.35"/>
    <row r="25" spans="1:11" s="1" customFormat="1" x14ac:dyDescent="0.35"/>
    <row r="26" spans="1:11" s="1" customFormat="1" x14ac:dyDescent="0.35"/>
    <row r="27" spans="1:11" s="1" customFormat="1" x14ac:dyDescent="0.35"/>
    <row r="28" spans="1:11" s="1" customFormat="1" x14ac:dyDescent="0.35"/>
    <row r="29" spans="1:11" s="1" customFormat="1" x14ac:dyDescent="0.35"/>
    <row r="30" spans="1:11" s="1" customFormat="1" x14ac:dyDescent="0.35"/>
    <row r="31" spans="1:11" s="1" customFormat="1" x14ac:dyDescent="0.35"/>
    <row r="32" spans="1:11" s="1" customFormat="1" x14ac:dyDescent="0.35"/>
    <row r="33" s="1" customFormat="1" x14ac:dyDescent="0.35"/>
  </sheetData>
  <autoFilter ref="A7:AE21" xr:uid="{00000000-0009-0000-0000-00000D000000}"/>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
  <sheetViews>
    <sheetView workbookViewId="0">
      <selection activeCell="B10" sqref="B10"/>
    </sheetView>
  </sheetViews>
  <sheetFormatPr baseColWidth="10" defaultColWidth="11.453125" defaultRowHeight="13" x14ac:dyDescent="0.3"/>
  <cols>
    <col min="1" max="1" width="19.7265625" style="888" bestFit="1" customWidth="1"/>
    <col min="2" max="2" width="17.81640625" style="888" bestFit="1" customWidth="1"/>
    <col min="3" max="3" width="75.26953125" style="989" customWidth="1"/>
    <col min="4" max="4" width="13.81640625" style="888" bestFit="1" customWidth="1"/>
    <col min="5" max="5" width="13.81640625" style="990" customWidth="1"/>
    <col min="6" max="6" width="55.81640625" style="989" customWidth="1"/>
    <col min="7" max="7" width="11.453125" style="972"/>
    <col min="8" max="16384" width="11.453125" style="888"/>
  </cols>
  <sheetData>
    <row r="1" spans="1:7" x14ac:dyDescent="0.3">
      <c r="A1" s="1447" t="s">
        <v>444</v>
      </c>
      <c r="B1" s="1447"/>
      <c r="C1" s="1447"/>
      <c r="D1" s="1447"/>
      <c r="E1" s="1447"/>
      <c r="F1" s="1447"/>
    </row>
    <row r="2" spans="1:7" x14ac:dyDescent="0.3">
      <c r="A2" s="973" t="s">
        <v>445</v>
      </c>
      <c r="B2" s="973" t="s">
        <v>446</v>
      </c>
      <c r="C2" s="974" t="s">
        <v>447</v>
      </c>
      <c r="D2" s="973" t="s">
        <v>448</v>
      </c>
      <c r="E2" s="975" t="s">
        <v>449</v>
      </c>
      <c r="F2" s="974" t="s">
        <v>450</v>
      </c>
    </row>
    <row r="3" spans="1:7" ht="39" x14ac:dyDescent="0.3">
      <c r="A3" s="976" t="s">
        <v>451</v>
      </c>
      <c r="B3" s="976" t="s">
        <v>452</v>
      </c>
      <c r="C3" s="977" t="s">
        <v>453</v>
      </c>
      <c r="D3" s="976" t="s">
        <v>184</v>
      </c>
      <c r="E3" s="978">
        <v>4000000</v>
      </c>
      <c r="F3" s="977" t="s">
        <v>454</v>
      </c>
      <c r="G3" s="972" t="s">
        <v>455</v>
      </c>
    </row>
    <row r="4" spans="1:7" ht="39" x14ac:dyDescent="0.3">
      <c r="A4" s="976" t="s">
        <v>451</v>
      </c>
      <c r="B4" s="976" t="s">
        <v>456</v>
      </c>
      <c r="C4" s="977" t="s">
        <v>457</v>
      </c>
      <c r="D4" s="976" t="s">
        <v>458</v>
      </c>
      <c r="E4" s="978">
        <v>20000000</v>
      </c>
      <c r="F4" s="977" t="s">
        <v>454</v>
      </c>
      <c r="G4" s="972" t="s">
        <v>459</v>
      </c>
    </row>
    <row r="5" spans="1:7" ht="52" x14ac:dyDescent="0.3">
      <c r="A5" s="976" t="s">
        <v>451</v>
      </c>
      <c r="B5" s="976" t="s">
        <v>460</v>
      </c>
      <c r="C5" s="977" t="s">
        <v>461</v>
      </c>
      <c r="D5" s="976" t="s">
        <v>458</v>
      </c>
      <c r="E5" s="978">
        <v>23500000</v>
      </c>
      <c r="F5" s="977" t="s">
        <v>462</v>
      </c>
      <c r="G5" s="972" t="s">
        <v>459</v>
      </c>
    </row>
    <row r="6" spans="1:7" ht="65" x14ac:dyDescent="0.3">
      <c r="A6" s="976" t="s">
        <v>463</v>
      </c>
      <c r="B6" s="976" t="s">
        <v>464</v>
      </c>
      <c r="C6" s="977" t="s">
        <v>465</v>
      </c>
      <c r="D6" s="976" t="s">
        <v>466</v>
      </c>
      <c r="E6" s="978">
        <v>574189853</v>
      </c>
      <c r="F6" s="977" t="s">
        <v>467</v>
      </c>
      <c r="G6" s="972" t="s">
        <v>455</v>
      </c>
    </row>
    <row r="7" spans="1:7" ht="39" x14ac:dyDescent="0.3">
      <c r="A7" s="976" t="s">
        <v>463</v>
      </c>
      <c r="B7" s="976" t="s">
        <v>468</v>
      </c>
      <c r="C7" s="979" t="s">
        <v>469</v>
      </c>
      <c r="D7" s="976" t="s">
        <v>470</v>
      </c>
      <c r="E7" s="978">
        <v>171538714</v>
      </c>
      <c r="F7" s="977" t="s">
        <v>471</v>
      </c>
      <c r="G7" s="972" t="s">
        <v>455</v>
      </c>
    </row>
    <row r="8" spans="1:7" ht="91" x14ac:dyDescent="0.3">
      <c r="A8" s="976" t="s">
        <v>463</v>
      </c>
      <c r="B8" s="976" t="s">
        <v>472</v>
      </c>
      <c r="C8" s="979" t="s">
        <v>473</v>
      </c>
      <c r="D8" s="976" t="s">
        <v>474</v>
      </c>
      <c r="E8" s="978">
        <v>275000000</v>
      </c>
      <c r="F8" s="977" t="s">
        <v>475</v>
      </c>
      <c r="G8" s="972" t="s">
        <v>455</v>
      </c>
    </row>
    <row r="9" spans="1:7" s="985" customFormat="1" ht="24" x14ac:dyDescent="0.3">
      <c r="A9" s="980" t="s">
        <v>476</v>
      </c>
      <c r="B9" s="980" t="s">
        <v>477</v>
      </c>
      <c r="C9" s="981" t="s">
        <v>478</v>
      </c>
      <c r="D9" s="980" t="s">
        <v>479</v>
      </c>
      <c r="E9" s="982">
        <v>1800000000</v>
      </c>
      <c r="F9" s="983" t="s">
        <v>475</v>
      </c>
      <c r="G9" s="984" t="s">
        <v>455</v>
      </c>
    </row>
    <row r="10" spans="1:7" ht="36" x14ac:dyDescent="0.3">
      <c r="A10" s="986" t="s">
        <v>480</v>
      </c>
      <c r="B10" s="986" t="s">
        <v>481</v>
      </c>
      <c r="C10" s="987" t="s">
        <v>482</v>
      </c>
      <c r="D10" s="986" t="s">
        <v>479</v>
      </c>
      <c r="E10" s="988">
        <v>400000000</v>
      </c>
      <c r="F10" s="977" t="s">
        <v>483</v>
      </c>
      <c r="G10" s="972" t="s">
        <v>455</v>
      </c>
    </row>
    <row r="11" spans="1:7" ht="36" x14ac:dyDescent="0.3">
      <c r="A11" s="986" t="s">
        <v>480</v>
      </c>
      <c r="B11" s="986" t="s">
        <v>484</v>
      </c>
      <c r="C11" s="987" t="s">
        <v>485</v>
      </c>
      <c r="D11" s="986" t="s">
        <v>184</v>
      </c>
      <c r="E11" s="988">
        <v>250000000</v>
      </c>
      <c r="F11" s="977" t="s">
        <v>475</v>
      </c>
      <c r="G11" s="972" t="s">
        <v>486</v>
      </c>
    </row>
    <row r="12" spans="1:7" s="985" customFormat="1" ht="24" x14ac:dyDescent="0.3">
      <c r="A12" s="980" t="s">
        <v>480</v>
      </c>
      <c r="B12" s="980" t="s">
        <v>487</v>
      </c>
      <c r="C12" s="981" t="s">
        <v>488</v>
      </c>
      <c r="D12" s="980" t="s">
        <v>479</v>
      </c>
      <c r="E12" s="982">
        <v>6113277404</v>
      </c>
      <c r="F12" s="983" t="s">
        <v>489</v>
      </c>
      <c r="G12" s="984" t="s">
        <v>455</v>
      </c>
    </row>
    <row r="13" spans="1:7" x14ac:dyDescent="0.3">
      <c r="E13" s="990">
        <f>SUM(E3:E12)</f>
        <v>9631505971</v>
      </c>
    </row>
  </sheetData>
  <autoFilter ref="A2:F12" xr:uid="{00000000-0009-0000-0000-000001000000}"/>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I7"/>
  <sheetViews>
    <sheetView workbookViewId="0">
      <selection activeCell="F5" sqref="F5"/>
    </sheetView>
  </sheetViews>
  <sheetFormatPr baseColWidth="10" defaultColWidth="11.453125" defaultRowHeight="10.5" x14ac:dyDescent="0.25"/>
  <cols>
    <col min="1" max="1" width="8" style="908" bestFit="1" customWidth="1"/>
    <col min="2" max="3" width="34.453125" style="908" customWidth="1"/>
    <col min="4" max="4" width="11.453125" style="908"/>
    <col min="5" max="6" width="12" style="908" bestFit="1" customWidth="1"/>
    <col min="7" max="7" width="11.453125" style="910"/>
    <col min="8" max="8" width="11.453125" style="908"/>
    <col min="9" max="9" width="11.453125" style="911"/>
    <col min="10" max="16384" width="11.453125" style="908"/>
  </cols>
  <sheetData>
    <row r="2" spans="1:9" s="888" customFormat="1" ht="13" x14ac:dyDescent="0.3">
      <c r="B2" s="915" t="s">
        <v>490</v>
      </c>
      <c r="C2" s="915" t="s">
        <v>491</v>
      </c>
      <c r="G2" s="916"/>
      <c r="I2" s="917"/>
    </row>
    <row r="3" spans="1:9" s="888" customFormat="1" ht="13.5" thickBot="1" x14ac:dyDescent="0.35">
      <c r="B3" s="918"/>
      <c r="G3" s="916"/>
      <c r="I3" s="917"/>
    </row>
    <row r="4" spans="1:9" ht="21.5" thickBot="1" x14ac:dyDescent="0.3">
      <c r="A4" s="947" t="s">
        <v>12</v>
      </c>
      <c r="B4" s="947" t="s">
        <v>492</v>
      </c>
      <c r="C4" s="948" t="s">
        <v>493</v>
      </c>
      <c r="D4" s="948" t="s">
        <v>494</v>
      </c>
      <c r="E4" s="948" t="s">
        <v>495</v>
      </c>
      <c r="F4" s="949" t="s">
        <v>496</v>
      </c>
      <c r="G4" s="912" t="s">
        <v>497</v>
      </c>
      <c r="H4" s="913" t="s">
        <v>498</v>
      </c>
      <c r="I4" s="914" t="s">
        <v>499</v>
      </c>
    </row>
    <row r="5" spans="1:9" s="940" customFormat="1" ht="42" x14ac:dyDescent="0.25">
      <c r="A5" s="919">
        <v>292</v>
      </c>
      <c r="B5" s="950" t="s">
        <v>254</v>
      </c>
      <c r="C5" s="951" t="s">
        <v>500</v>
      </c>
      <c r="D5" s="951" t="s">
        <v>43</v>
      </c>
      <c r="E5" s="952">
        <v>58000000</v>
      </c>
      <c r="F5" s="953"/>
      <c r="G5" s="944">
        <v>58000000</v>
      </c>
      <c r="H5" s="920" t="s">
        <v>256</v>
      </c>
      <c r="I5" s="921">
        <f>G5-E5</f>
        <v>0</v>
      </c>
    </row>
    <row r="6" spans="1:9" s="940" customFormat="1" ht="73.5" x14ac:dyDescent="0.25">
      <c r="A6" s="925">
        <v>292</v>
      </c>
      <c r="B6" s="909" t="s">
        <v>269</v>
      </c>
      <c r="C6" s="922" t="s">
        <v>500</v>
      </c>
      <c r="D6" s="922" t="s">
        <v>43</v>
      </c>
      <c r="E6" s="923">
        <v>238595000</v>
      </c>
      <c r="F6" s="954"/>
      <c r="G6" s="945">
        <v>238595000</v>
      </c>
      <c r="H6" s="926" t="s">
        <v>334</v>
      </c>
      <c r="I6" s="927">
        <f>G6-E6</f>
        <v>0</v>
      </c>
    </row>
    <row r="7" spans="1:9" ht="53" thickBot="1" x14ac:dyDescent="0.3">
      <c r="A7" s="930">
        <v>292</v>
      </c>
      <c r="B7" s="955" t="s">
        <v>224</v>
      </c>
      <c r="C7" s="928" t="s">
        <v>501</v>
      </c>
      <c r="D7" s="928" t="s">
        <v>43</v>
      </c>
      <c r="E7" s="929"/>
      <c r="F7" s="936">
        <f>+E5+E6</f>
        <v>296595000</v>
      </c>
      <c r="G7" s="946">
        <f>144893578</f>
        <v>144893578</v>
      </c>
      <c r="H7" s="931" t="s">
        <v>229</v>
      </c>
      <c r="I7" s="932">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6"/>
  <sheetViews>
    <sheetView workbookViewId="0">
      <selection activeCell="G5" sqref="G5"/>
    </sheetView>
  </sheetViews>
  <sheetFormatPr baseColWidth="10" defaultColWidth="11.453125" defaultRowHeight="10.5" x14ac:dyDescent="0.25"/>
  <cols>
    <col min="1" max="1" width="11.453125" style="908"/>
    <col min="2" max="3" width="34.453125" style="908" customWidth="1"/>
    <col min="4" max="4" width="11.453125" style="908"/>
    <col min="5" max="6" width="12" style="908" bestFit="1" customWidth="1"/>
    <col min="7" max="7" width="12.54296875" style="910" bestFit="1" customWidth="1"/>
    <col min="8" max="8" width="26.7265625" style="908" customWidth="1"/>
    <col min="9" max="9" width="11.453125" style="911"/>
    <col min="10" max="16384" width="11.453125" style="908"/>
  </cols>
  <sheetData>
    <row r="2" spans="1:10" ht="13" x14ac:dyDescent="0.3">
      <c r="B2" s="915" t="s">
        <v>490</v>
      </c>
      <c r="C2" s="915" t="s">
        <v>502</v>
      </c>
    </row>
    <row r="3" spans="1:10" ht="13.5" thickBot="1" x14ac:dyDescent="0.35">
      <c r="B3" s="918"/>
      <c r="C3" s="888"/>
    </row>
    <row r="4" spans="1:10" ht="21.5" thickBot="1" x14ac:dyDescent="0.3">
      <c r="A4" s="947" t="s">
        <v>12</v>
      </c>
      <c r="B4" s="947" t="s">
        <v>492</v>
      </c>
      <c r="C4" s="948" t="s">
        <v>493</v>
      </c>
      <c r="D4" s="948" t="s">
        <v>494</v>
      </c>
      <c r="E4" s="948" t="s">
        <v>495</v>
      </c>
      <c r="F4" s="949" t="s">
        <v>496</v>
      </c>
      <c r="G4" s="933" t="s">
        <v>497</v>
      </c>
      <c r="H4" s="934" t="s">
        <v>498</v>
      </c>
      <c r="I4" s="935" t="s">
        <v>499</v>
      </c>
    </row>
    <row r="5" spans="1:10" s="942" customFormat="1" ht="105" x14ac:dyDescent="0.25">
      <c r="A5" s="919">
        <v>292</v>
      </c>
      <c r="B5" s="951" t="s">
        <v>257</v>
      </c>
      <c r="C5" s="951" t="s">
        <v>503</v>
      </c>
      <c r="D5" s="951" t="s">
        <v>43</v>
      </c>
      <c r="E5" s="952">
        <v>220188240</v>
      </c>
      <c r="F5" s="953"/>
      <c r="G5" s="944">
        <v>220211840</v>
      </c>
      <c r="H5" s="920" t="s">
        <v>504</v>
      </c>
      <c r="I5" s="921">
        <f>G5-E5</f>
        <v>23600</v>
      </c>
      <c r="J5" s="920" t="s">
        <v>505</v>
      </c>
    </row>
    <row r="6" spans="1:10" s="943" customFormat="1" ht="53" thickBot="1" x14ac:dyDescent="0.3">
      <c r="A6" s="930">
        <v>292</v>
      </c>
      <c r="B6" s="928" t="s">
        <v>224</v>
      </c>
      <c r="C6" s="928" t="s">
        <v>501</v>
      </c>
      <c r="D6" s="928" t="s">
        <v>43</v>
      </c>
      <c r="E6" s="956"/>
      <c r="F6" s="936">
        <f>+E5</f>
        <v>220188240</v>
      </c>
      <c r="G6" s="946">
        <v>450408276</v>
      </c>
      <c r="H6" s="931" t="s">
        <v>229</v>
      </c>
      <c r="I6" s="932">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14"/>
  <sheetViews>
    <sheetView topLeftCell="A9" workbookViewId="0">
      <selection activeCell="E15" sqref="E15"/>
    </sheetView>
  </sheetViews>
  <sheetFormatPr baseColWidth="10" defaultColWidth="11.453125" defaultRowHeight="10.5" x14ac:dyDescent="0.25"/>
  <cols>
    <col min="1" max="1" width="11.453125" style="910"/>
    <col min="2" max="2" width="34.453125" style="957" customWidth="1"/>
    <col min="3" max="3" width="34.453125" style="908" customWidth="1"/>
    <col min="4" max="4" width="11.453125" style="908"/>
    <col min="5" max="6" width="12" style="908" bestFit="1" customWidth="1"/>
    <col min="7" max="7" width="12.54296875" style="910" bestFit="1" customWidth="1"/>
    <col min="8" max="8" width="26.7265625" style="908" customWidth="1"/>
    <col min="9" max="9" width="12.54296875" style="911" bestFit="1" customWidth="1"/>
    <col min="10" max="16384" width="11.453125" style="908"/>
  </cols>
  <sheetData>
    <row r="2" spans="1:11" ht="13" x14ac:dyDescent="0.3">
      <c r="B2" s="958" t="s">
        <v>490</v>
      </c>
      <c r="C2" s="915" t="s">
        <v>506</v>
      </c>
    </row>
    <row r="3" spans="1:11" ht="13.5" thickBot="1" x14ac:dyDescent="0.35">
      <c r="B3" s="959"/>
      <c r="C3" s="888"/>
    </row>
    <row r="4" spans="1:11" ht="21.5" thickBot="1" x14ac:dyDescent="0.3">
      <c r="A4" s="960" t="s">
        <v>12</v>
      </c>
      <c r="B4" s="961" t="s">
        <v>492</v>
      </c>
      <c r="C4" s="948" t="s">
        <v>493</v>
      </c>
      <c r="D4" s="948" t="s">
        <v>494</v>
      </c>
      <c r="E4" s="948" t="s">
        <v>495</v>
      </c>
      <c r="F4" s="949" t="s">
        <v>496</v>
      </c>
      <c r="G4" s="933" t="s">
        <v>497</v>
      </c>
      <c r="H4" s="934" t="s">
        <v>498</v>
      </c>
      <c r="I4" s="935" t="s">
        <v>499</v>
      </c>
    </row>
    <row r="5" spans="1:11" s="942" customFormat="1" ht="31.5" x14ac:dyDescent="0.25">
      <c r="A5" s="919">
        <v>292</v>
      </c>
      <c r="B5" s="950" t="s">
        <v>283</v>
      </c>
      <c r="C5" s="951" t="s">
        <v>507</v>
      </c>
      <c r="D5" s="951" t="s">
        <v>43</v>
      </c>
      <c r="E5" s="962">
        <v>8155333</v>
      </c>
      <c r="F5" s="963"/>
      <c r="G5" s="937">
        <v>8155333</v>
      </c>
      <c r="H5" s="920" t="s">
        <v>284</v>
      </c>
      <c r="I5" s="967">
        <f>G5-E5</f>
        <v>0</v>
      </c>
    </row>
    <row r="6" spans="1:11" s="942" customFormat="1" ht="52.5" x14ac:dyDescent="0.25">
      <c r="A6" s="925">
        <v>292</v>
      </c>
      <c r="B6" s="909" t="s">
        <v>236</v>
      </c>
      <c r="C6" s="922" t="s">
        <v>508</v>
      </c>
      <c r="D6" s="922" t="s">
        <v>43</v>
      </c>
      <c r="E6" s="964">
        <v>248323333</v>
      </c>
      <c r="F6" s="965"/>
      <c r="G6" s="939">
        <v>207914739</v>
      </c>
      <c r="H6" s="926" t="s">
        <v>509</v>
      </c>
      <c r="I6" s="968">
        <f>G6-E6</f>
        <v>-40408594</v>
      </c>
      <c r="J6" s="970" t="s">
        <v>505</v>
      </c>
      <c r="K6" s="971"/>
    </row>
    <row r="7" spans="1:11" s="942" customFormat="1" ht="63" x14ac:dyDescent="0.25">
      <c r="A7" s="925">
        <v>292</v>
      </c>
      <c r="B7" s="909" t="s">
        <v>269</v>
      </c>
      <c r="C7" s="922" t="s">
        <v>510</v>
      </c>
      <c r="D7" s="922" t="s">
        <v>43</v>
      </c>
      <c r="E7" s="964">
        <v>13558000</v>
      </c>
      <c r="F7" s="965"/>
      <c r="G7" s="939">
        <v>62891334</v>
      </c>
      <c r="H7" s="926" t="s">
        <v>271</v>
      </c>
      <c r="I7" s="968">
        <f>G7-E7</f>
        <v>49333334</v>
      </c>
      <c r="J7" s="970" t="s">
        <v>505</v>
      </c>
      <c r="K7" s="971"/>
    </row>
    <row r="8" spans="1:11" s="942" customFormat="1" ht="42" x14ac:dyDescent="0.25">
      <c r="A8" s="925">
        <v>292</v>
      </c>
      <c r="B8" s="909" t="s">
        <v>254</v>
      </c>
      <c r="C8" s="922" t="s">
        <v>511</v>
      </c>
      <c r="D8" s="922" t="s">
        <v>43</v>
      </c>
      <c r="E8" s="964">
        <v>21233333</v>
      </c>
      <c r="F8" s="924"/>
      <c r="G8" s="939">
        <v>21233333</v>
      </c>
      <c r="H8" s="926" t="s">
        <v>275</v>
      </c>
      <c r="I8" s="968">
        <f>E8-G8</f>
        <v>0</v>
      </c>
    </row>
    <row r="9" spans="1:11" s="942" customFormat="1" ht="63" x14ac:dyDescent="0.25">
      <c r="A9" s="925">
        <v>297</v>
      </c>
      <c r="B9" s="909" t="s">
        <v>289</v>
      </c>
      <c r="C9" s="922" t="s">
        <v>507</v>
      </c>
      <c r="D9" s="922" t="s">
        <v>43</v>
      </c>
      <c r="E9" s="964">
        <v>264926666</v>
      </c>
      <c r="F9" s="924"/>
      <c r="G9" s="939">
        <v>264926666</v>
      </c>
      <c r="H9" s="926" t="s">
        <v>290</v>
      </c>
      <c r="I9" s="968">
        <f>G9-E9</f>
        <v>0</v>
      </c>
    </row>
    <row r="10" spans="1:11" s="942" customFormat="1" ht="52.5" x14ac:dyDescent="0.25">
      <c r="A10" s="925">
        <v>297</v>
      </c>
      <c r="B10" s="909" t="s">
        <v>294</v>
      </c>
      <c r="C10" s="922" t="s">
        <v>507</v>
      </c>
      <c r="D10" s="922" t="s">
        <v>43</v>
      </c>
      <c r="E10" s="964">
        <v>7730000</v>
      </c>
      <c r="F10" s="924"/>
      <c r="G10" s="939">
        <v>31580000</v>
      </c>
      <c r="H10" s="926" t="s">
        <v>295</v>
      </c>
      <c r="I10" s="968">
        <f>G10-E10</f>
        <v>23850000</v>
      </c>
      <c r="J10" s="970" t="s">
        <v>505</v>
      </c>
      <c r="K10" s="971"/>
    </row>
    <row r="11" spans="1:11" s="942" customFormat="1" ht="42" x14ac:dyDescent="0.25">
      <c r="A11" s="925">
        <v>292</v>
      </c>
      <c r="B11" s="909" t="s">
        <v>257</v>
      </c>
      <c r="C11" s="922" t="s">
        <v>507</v>
      </c>
      <c r="D11" s="922" t="s">
        <v>43</v>
      </c>
      <c r="E11" s="964">
        <v>30000000</v>
      </c>
      <c r="F11" s="924"/>
      <c r="G11" s="939">
        <v>30000000</v>
      </c>
      <c r="H11" s="926" t="s">
        <v>260</v>
      </c>
      <c r="I11" s="968">
        <f>G11-E11</f>
        <v>0</v>
      </c>
    </row>
    <row r="12" spans="1:11" s="942" customFormat="1" ht="42" x14ac:dyDescent="0.25">
      <c r="A12" s="925">
        <v>292</v>
      </c>
      <c r="B12" s="909" t="s">
        <v>233</v>
      </c>
      <c r="C12" s="922" t="s">
        <v>507</v>
      </c>
      <c r="D12" s="922" t="s">
        <v>43</v>
      </c>
      <c r="E12" s="964">
        <v>44163256</v>
      </c>
      <c r="F12" s="924"/>
      <c r="G12" s="939">
        <v>61863256</v>
      </c>
      <c r="H12" s="926" t="s">
        <v>279</v>
      </c>
      <c r="I12" s="968">
        <f>G12-E12</f>
        <v>17700000</v>
      </c>
      <c r="J12" s="970" t="s">
        <v>505</v>
      </c>
    </row>
    <row r="13" spans="1:11" s="941" customFormat="1" ht="53" thickBot="1" x14ac:dyDescent="0.3">
      <c r="A13" s="930">
        <v>292</v>
      </c>
      <c r="B13" s="955" t="s">
        <v>224</v>
      </c>
      <c r="C13" s="928" t="s">
        <v>507</v>
      </c>
      <c r="D13" s="928" t="s">
        <v>43</v>
      </c>
      <c r="E13" s="956"/>
      <c r="F13" s="966">
        <f>SUM(E5:E12)</f>
        <v>638089921</v>
      </c>
      <c r="G13" s="938">
        <v>682841016</v>
      </c>
      <c r="H13" s="931" t="s">
        <v>229</v>
      </c>
      <c r="I13" s="969">
        <f>G13+F13</f>
        <v>1320930937</v>
      </c>
      <c r="J13" s="970" t="s">
        <v>505</v>
      </c>
    </row>
    <row r="14" spans="1:11" ht="21" x14ac:dyDescent="0.25">
      <c r="F14" s="970" t="s">
        <v>505</v>
      </c>
      <c r="G14" s="9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4296875" defaultRowHeight="14.5" x14ac:dyDescent="0.35"/>
  <cols>
    <col min="1" max="1" width="30.453125" bestFit="1" customWidth="1"/>
    <col min="2" max="2" width="27.7265625" bestFit="1" customWidth="1"/>
    <col min="3" max="3" width="20.7265625" bestFit="1" customWidth="1"/>
    <col min="4" max="4" width="39.1796875" style="330" customWidth="1"/>
    <col min="5" max="5" width="44.453125" style="330" customWidth="1"/>
    <col min="6" max="6" width="42.1796875" customWidth="1"/>
    <col min="7" max="7" width="24.54296875" hidden="1" customWidth="1"/>
    <col min="8" max="8" width="19.26953125" hidden="1" customWidth="1"/>
    <col min="9" max="9" width="19.7265625" hidden="1" customWidth="1"/>
    <col min="10" max="10" width="20.26953125" hidden="1" customWidth="1"/>
    <col min="11" max="13" width="20.26953125" customWidth="1"/>
    <col min="14" max="14" width="35.54296875" customWidth="1"/>
    <col min="15" max="15" width="33.7265625" style="1" customWidth="1"/>
    <col min="16" max="16" width="42.453125" customWidth="1"/>
    <col min="17" max="17" width="59.81640625" style="888" customWidth="1"/>
    <col min="18" max="19" width="42.453125" style="888" customWidth="1"/>
    <col min="20" max="20" width="30.453125" customWidth="1"/>
    <col min="21" max="21" width="21.7265625" customWidth="1"/>
    <col min="22" max="22" width="22.26953125" customWidth="1"/>
    <col min="23" max="23" width="21.1796875" customWidth="1"/>
    <col min="24" max="24" width="23" style="127" customWidth="1"/>
    <col min="25" max="25" width="27.1796875" style="127" customWidth="1"/>
    <col min="26" max="26" width="24.1796875" style="129" customWidth="1"/>
    <col min="27" max="27" width="11.54296875" style="128" customWidth="1"/>
    <col min="28" max="28" width="28" bestFit="1" customWidth="1"/>
    <col min="29" max="29" width="21.453125" style="130" customWidth="1"/>
    <col min="43" max="43" width="19.81640625" bestFit="1" customWidth="1"/>
    <col min="44" max="44" width="18.54296875" bestFit="1" customWidth="1"/>
    <col min="45" max="45" width="11.54296875" bestFit="1" customWidth="1"/>
  </cols>
  <sheetData>
    <row r="1" spans="1:29" s="1" customFormat="1" ht="35.25" customHeight="1" x14ac:dyDescent="0.45">
      <c r="A1" s="305" t="s">
        <v>512</v>
      </c>
      <c r="D1" s="855"/>
      <c r="E1" s="855"/>
      <c r="F1" s="6"/>
      <c r="G1" s="6"/>
      <c r="H1" s="6"/>
      <c r="I1" s="6"/>
      <c r="J1" s="7"/>
      <c r="K1" s="8"/>
      <c r="L1" s="9"/>
      <c r="M1" s="9"/>
      <c r="N1" s="9"/>
      <c r="O1" s="10"/>
      <c r="P1" s="11"/>
      <c r="Q1" s="866"/>
      <c r="R1" s="866"/>
      <c r="S1" s="866"/>
      <c r="T1" s="10"/>
      <c r="X1" s="12"/>
      <c r="Y1" s="12">
        <f>+X1-X2</f>
        <v>0</v>
      </c>
      <c r="Z1" s="12"/>
      <c r="AA1" s="13"/>
    </row>
    <row r="2" spans="1:29" s="1" customFormat="1" ht="27.75" customHeight="1" x14ac:dyDescent="0.35">
      <c r="D2" s="855"/>
      <c r="E2" s="855"/>
      <c r="F2" s="8"/>
      <c r="G2" s="8"/>
      <c r="H2" s="8"/>
      <c r="I2" s="8"/>
      <c r="J2" s="14"/>
      <c r="K2" s="8"/>
      <c r="L2" s="9"/>
      <c r="M2" s="9"/>
      <c r="N2" s="9"/>
      <c r="O2" s="10"/>
      <c r="P2" s="11"/>
      <c r="Q2" s="866"/>
      <c r="R2" s="866"/>
      <c r="S2" s="866"/>
      <c r="T2" s="10"/>
      <c r="X2" s="12"/>
      <c r="Y2" s="12"/>
      <c r="Z2" s="12"/>
      <c r="AA2" s="13"/>
    </row>
    <row r="3" spans="1:29" s="1" customFormat="1" ht="20.25" customHeight="1" x14ac:dyDescent="0.35">
      <c r="D3" s="855"/>
      <c r="E3" s="855"/>
      <c r="F3" s="15"/>
      <c r="G3" s="1446" t="s">
        <v>3</v>
      </c>
      <c r="H3" s="1446"/>
      <c r="I3" s="1446"/>
      <c r="J3" s="16"/>
      <c r="K3" s="16"/>
      <c r="L3" s="1446" t="s">
        <v>4</v>
      </c>
      <c r="M3" s="1446"/>
      <c r="N3" s="1446"/>
      <c r="O3" s="17"/>
      <c r="P3" s="778" t="s">
        <v>5</v>
      </c>
      <c r="Q3" s="867"/>
      <c r="R3" s="867"/>
      <c r="S3" s="867"/>
      <c r="T3" s="19" t="s">
        <v>7</v>
      </c>
      <c r="X3" s="12"/>
      <c r="Y3" s="12"/>
      <c r="Z3" s="12"/>
      <c r="AA3" s="13"/>
    </row>
    <row r="4" spans="1:29" s="1" customFormat="1" ht="15" thickBot="1" x14ac:dyDescent="0.4">
      <c r="D4" s="855"/>
      <c r="E4" s="855"/>
      <c r="F4" s="739"/>
      <c r="G4" s="740"/>
      <c r="H4" s="740"/>
      <c r="I4" s="740"/>
      <c r="J4" s="739"/>
      <c r="K4" s="739"/>
      <c r="L4" s="740"/>
      <c r="M4" s="740"/>
      <c r="N4" s="740"/>
      <c r="O4" s="303"/>
      <c r="P4" s="304"/>
      <c r="Q4" s="867"/>
      <c r="R4" s="867"/>
      <c r="S4" s="867"/>
      <c r="T4" s="19"/>
      <c r="X4" s="12"/>
      <c r="Y4" s="12"/>
      <c r="Z4" s="12"/>
      <c r="AA4" s="13"/>
    </row>
    <row r="5" spans="1:29" s="29" customFormat="1" ht="45" customHeight="1" thickBot="1" x14ac:dyDescent="0.4">
      <c r="A5" s="741" t="s">
        <v>9</v>
      </c>
      <c r="B5" s="742" t="s">
        <v>10</v>
      </c>
      <c r="C5" s="742" t="s">
        <v>11</v>
      </c>
      <c r="D5" s="743" t="s">
        <v>12</v>
      </c>
      <c r="E5" s="744" t="s">
        <v>13</v>
      </c>
      <c r="F5" s="742" t="s">
        <v>14</v>
      </c>
      <c r="G5" s="745" t="s">
        <v>15</v>
      </c>
      <c r="H5" s="804" t="s">
        <v>16</v>
      </c>
      <c r="I5" s="745" t="s">
        <v>17</v>
      </c>
      <c r="J5" s="746" t="s">
        <v>18</v>
      </c>
      <c r="K5" s="746" t="s">
        <v>19</v>
      </c>
      <c r="L5" s="747" t="s">
        <v>15</v>
      </c>
      <c r="M5" s="747" t="s">
        <v>16</v>
      </c>
      <c r="N5" s="747" t="s">
        <v>17</v>
      </c>
      <c r="O5" s="748" t="s">
        <v>20</v>
      </c>
      <c r="P5" s="749" t="s">
        <v>21</v>
      </c>
      <c r="Q5" s="868" t="s">
        <v>22</v>
      </c>
      <c r="R5" s="868" t="s">
        <v>23</v>
      </c>
      <c r="S5" s="868"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x14ac:dyDescent="0.35">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1" t="s">
        <v>513</v>
      </c>
      <c r="R6" s="832"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x14ac:dyDescent="0.3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x14ac:dyDescent="0.3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7" t="s">
        <v>514</v>
      </c>
      <c r="R8" s="828"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x14ac:dyDescent="0.3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x14ac:dyDescent="0.3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4" t="s">
        <v>73</v>
      </c>
      <c r="R10" s="835" t="s">
        <v>74</v>
      </c>
      <c r="S10" s="899"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x14ac:dyDescent="0.3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6" t="s">
        <v>73</v>
      </c>
      <c r="R11" s="837" t="s">
        <v>518</v>
      </c>
      <c r="S11" s="900"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x14ac:dyDescent="0.3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x14ac:dyDescent="0.3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x14ac:dyDescent="0.3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x14ac:dyDescent="0.3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8" t="s">
        <v>520</v>
      </c>
      <c r="R15" s="839"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x14ac:dyDescent="0.3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29" t="s">
        <v>522</v>
      </c>
      <c r="R16" s="830" t="s">
        <v>523</v>
      </c>
      <c r="S16" s="181"/>
      <c r="T16" s="338"/>
      <c r="U16" s="554"/>
      <c r="V16" s="736">
        <v>376139123</v>
      </c>
      <c r="W16" s="430">
        <f>+V16</f>
        <v>376139123</v>
      </c>
      <c r="X16" s="430">
        <v>1601093</v>
      </c>
      <c r="Y16" s="430"/>
      <c r="Z16" s="430"/>
      <c r="AA16" s="429"/>
      <c r="AB16" s="703"/>
      <c r="AC16" s="335"/>
    </row>
    <row r="17" spans="1:45" s="39" customFormat="1" ht="113.25" hidden="1" customHeight="1" x14ac:dyDescent="0.3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3" t="s">
        <v>524</v>
      </c>
      <c r="R17" s="844"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3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0" t="s">
        <v>97</v>
      </c>
      <c r="R18" s="840"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x14ac:dyDescent="0.3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0" t="s">
        <v>97</v>
      </c>
      <c r="R19" s="84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3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0" t="s">
        <v>97</v>
      </c>
      <c r="R20" s="84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x14ac:dyDescent="0.35">
      <c r="A21" s="845" t="s">
        <v>100</v>
      </c>
      <c r="B21" s="845" t="s">
        <v>101</v>
      </c>
      <c r="C21" s="846">
        <v>2020110010195</v>
      </c>
      <c r="D21" s="845" t="s">
        <v>102</v>
      </c>
      <c r="E21" s="845" t="s">
        <v>103</v>
      </c>
      <c r="F21" s="60" t="s">
        <v>104</v>
      </c>
      <c r="G21" s="177" t="s">
        <v>53</v>
      </c>
      <c r="H21" s="176" t="s">
        <v>54</v>
      </c>
      <c r="I21" s="175" t="s">
        <v>105</v>
      </c>
      <c r="J21" s="174" t="s">
        <v>43</v>
      </c>
      <c r="K21" s="819" t="s">
        <v>43</v>
      </c>
      <c r="L21" s="55" t="s">
        <v>106</v>
      </c>
      <c r="M21" s="55" t="s">
        <v>107</v>
      </c>
      <c r="N21" s="60" t="s">
        <v>108</v>
      </c>
      <c r="O21" s="20" t="s">
        <v>47</v>
      </c>
      <c r="P21" s="847" t="s">
        <v>109</v>
      </c>
      <c r="Q21" s="897" t="s">
        <v>526</v>
      </c>
      <c r="R21" s="898">
        <v>100000000</v>
      </c>
      <c r="S21" s="847"/>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x14ac:dyDescent="0.3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1" t="s">
        <v>119</v>
      </c>
      <c r="R22" s="842"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x14ac:dyDescent="0.3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3"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x14ac:dyDescent="0.3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x14ac:dyDescent="0.3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x14ac:dyDescent="0.4">
      <c r="A26" s="55" t="s">
        <v>136</v>
      </c>
      <c r="B26" s="55" t="s">
        <v>137</v>
      </c>
      <c r="C26" s="78">
        <v>2020110010168</v>
      </c>
      <c r="D26" s="856" t="s">
        <v>138</v>
      </c>
      <c r="E26" s="857" t="s">
        <v>139</v>
      </c>
      <c r="F26" s="164" t="s">
        <v>140</v>
      </c>
      <c r="G26" s="163" t="s">
        <v>60</v>
      </c>
      <c r="H26" s="162" t="s">
        <v>61</v>
      </c>
      <c r="I26" s="161" t="s">
        <v>141</v>
      </c>
      <c r="J26" s="160" t="s">
        <v>116</v>
      </c>
      <c r="K26" s="65" t="s">
        <v>43</v>
      </c>
      <c r="L26" s="159" t="s">
        <v>44</v>
      </c>
      <c r="M26" s="158" t="s">
        <v>45</v>
      </c>
      <c r="N26" s="157" t="s">
        <v>142</v>
      </c>
      <c r="O26" s="156" t="s">
        <v>143</v>
      </c>
      <c r="P26" s="155" t="s">
        <v>144</v>
      </c>
      <c r="Q26" s="798" t="s">
        <v>532</v>
      </c>
      <c r="R26" s="799" t="s">
        <v>533</v>
      </c>
      <c r="S26" s="577"/>
      <c r="T26" s="342">
        <v>800000000</v>
      </c>
      <c r="U26" s="578">
        <v>800000000</v>
      </c>
      <c r="V26" s="579"/>
      <c r="W26" s="433">
        <v>800000000</v>
      </c>
      <c r="X26" s="433">
        <v>720783333</v>
      </c>
      <c r="Y26" s="433">
        <f t="shared" si="3"/>
        <v>79216667</v>
      </c>
      <c r="Z26" s="802">
        <v>670316666</v>
      </c>
      <c r="AA26" s="435">
        <f t="shared" si="4"/>
        <v>0.83789583249999999</v>
      </c>
      <c r="AB26" s="796">
        <f>7366666+29983332+59645513+62178846+78616667+77577030</f>
        <v>315368054</v>
      </c>
      <c r="AC26" s="428" t="s">
        <v>67</v>
      </c>
    </row>
    <row r="27" spans="1:45" s="39" customFormat="1" ht="122.25" hidden="1" customHeight="1" thickBot="1" x14ac:dyDescent="0.4">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0" t="s">
        <v>534</v>
      </c>
      <c r="R27" s="797"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x14ac:dyDescent="0.4">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400000000000006" hidden="1" customHeight="1" thickBot="1" x14ac:dyDescent="0.4">
      <c r="A29" s="55" t="s">
        <v>136</v>
      </c>
      <c r="B29" s="55" t="s">
        <v>137</v>
      </c>
      <c r="C29" s="78">
        <v>2020110010168</v>
      </c>
      <c r="D29" s="55" t="s">
        <v>138</v>
      </c>
      <c r="E29" s="55" t="s">
        <v>160</v>
      </c>
      <c r="F29" s="63" t="s">
        <v>140</v>
      </c>
      <c r="G29" s="154" t="s">
        <v>68</v>
      </c>
      <c r="H29" s="153" t="s">
        <v>161</v>
      </c>
      <c r="I29" s="152" t="s">
        <v>162</v>
      </c>
      <c r="J29" s="151" t="s">
        <v>116</v>
      </c>
      <c r="K29" s="825" t="s">
        <v>43</v>
      </c>
      <c r="L29" s="149" t="s">
        <v>44</v>
      </c>
      <c r="M29" s="148" t="s">
        <v>45</v>
      </c>
      <c r="N29" s="147" t="s">
        <v>163</v>
      </c>
      <c r="O29" s="146" t="s">
        <v>164</v>
      </c>
      <c r="P29" s="145" t="s">
        <v>165</v>
      </c>
      <c r="Q29" s="791" t="s">
        <v>536</v>
      </c>
      <c r="R29" s="792" t="s">
        <v>537</v>
      </c>
      <c r="S29" s="901"/>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400000000000006" hidden="1" customHeight="1" thickBot="1" x14ac:dyDescent="0.4">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x14ac:dyDescent="0.4">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x14ac:dyDescent="0.4">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1" t="s">
        <v>175</v>
      </c>
      <c r="R32" s="862"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x14ac:dyDescent="0.4">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x14ac:dyDescent="0.4">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59">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x14ac:dyDescent="0.4">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x14ac:dyDescent="0.4">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0">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x14ac:dyDescent="0.4">
      <c r="A37" s="55" t="s">
        <v>136</v>
      </c>
      <c r="B37" s="55" t="s">
        <v>137</v>
      </c>
      <c r="C37" s="78">
        <v>2020110010168</v>
      </c>
      <c r="D37" s="55" t="s">
        <v>138</v>
      </c>
      <c r="E37" s="143" t="s">
        <v>181</v>
      </c>
      <c r="F37" s="63" t="s">
        <v>140</v>
      </c>
      <c r="G37" s="81" t="s">
        <v>60</v>
      </c>
      <c r="H37" s="82" t="s">
        <v>61</v>
      </c>
      <c r="I37" s="83" t="s">
        <v>141</v>
      </c>
      <c r="J37" s="69" t="s">
        <v>116</v>
      </c>
      <c r="K37" s="826" t="s">
        <v>43</v>
      </c>
      <c r="L37" s="35" t="s">
        <v>44</v>
      </c>
      <c r="M37" s="48" t="s">
        <v>45</v>
      </c>
      <c r="N37" s="66" t="s">
        <v>142</v>
      </c>
      <c r="O37" s="72" t="s">
        <v>184</v>
      </c>
      <c r="P37" s="79" t="s">
        <v>199</v>
      </c>
      <c r="Q37" s="767" t="s">
        <v>551</v>
      </c>
      <c r="R37" s="768" t="s">
        <v>552</v>
      </c>
      <c r="S37" s="588"/>
      <c r="T37" s="332">
        <v>800000000</v>
      </c>
      <c r="U37" s="332">
        <v>800000000</v>
      </c>
      <c r="V37" s="859">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400000000000006" hidden="1" customHeight="1" thickBot="1" x14ac:dyDescent="0.4">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7"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400000000000006" hidden="1" customHeight="1" thickBot="1" x14ac:dyDescent="0.4">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0" t="s">
        <v>555</v>
      </c>
      <c r="R39" s="801" t="s">
        <v>556</v>
      </c>
      <c r="S39" s="588"/>
      <c r="T39" s="332">
        <v>125000000</v>
      </c>
      <c r="U39" s="554">
        <v>125000000</v>
      </c>
      <c r="V39" s="333"/>
      <c r="W39" s="430">
        <v>125000000</v>
      </c>
      <c r="X39" s="430">
        <v>114500000</v>
      </c>
      <c r="Y39" s="430">
        <f t="shared" si="3"/>
        <v>10500000</v>
      </c>
      <c r="Z39" s="430">
        <f>60000000+32500000</f>
        <v>92500000</v>
      </c>
      <c r="AA39" s="429">
        <f t="shared" si="4"/>
        <v>0.74</v>
      </c>
      <c r="AB39" s="803">
        <f>18216667+18500000+18500000</f>
        <v>55216667</v>
      </c>
      <c r="AC39" s="333"/>
    </row>
    <row r="40" spans="1:29" s="39" customFormat="1" ht="150" hidden="1" customHeight="1" thickBot="1" x14ac:dyDescent="0.4">
      <c r="A40" s="55" t="s">
        <v>136</v>
      </c>
      <c r="B40" s="55" t="s">
        <v>137</v>
      </c>
      <c r="C40" s="78">
        <v>2020110010168</v>
      </c>
      <c r="D40" s="61" t="s">
        <v>138</v>
      </c>
      <c r="E40" s="61" t="s">
        <v>139</v>
      </c>
      <c r="F40" s="63" t="s">
        <v>140</v>
      </c>
      <c r="G40" s="56" t="s">
        <v>60</v>
      </c>
      <c r="H40" s="88" t="s">
        <v>61</v>
      </c>
      <c r="I40" s="89" t="s">
        <v>141</v>
      </c>
      <c r="J40" s="858"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x14ac:dyDescent="0.4">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2">
        <f>212150000+836311070+345235986+54250000+169330000+117200000</f>
        <v>1734477056</v>
      </c>
      <c r="AA41" s="429">
        <f t="shared" si="4"/>
        <v>0.75412045913043479</v>
      </c>
      <c r="AB41" s="796">
        <f>4646667+29933334+40945457+140408710+165239211+173537988</f>
        <v>554711367</v>
      </c>
      <c r="AC41" s="431" t="s">
        <v>67</v>
      </c>
    </row>
    <row r="42" spans="1:29" s="39" customFormat="1" ht="70.400000000000006" hidden="1" customHeight="1" thickBot="1" x14ac:dyDescent="0.4">
      <c r="A42" s="55" t="s">
        <v>136</v>
      </c>
      <c r="B42" s="55" t="s">
        <v>137</v>
      </c>
      <c r="C42" s="78">
        <v>2020110010168</v>
      </c>
      <c r="D42" s="61" t="s">
        <v>138</v>
      </c>
      <c r="E42" s="61" t="s">
        <v>202</v>
      </c>
      <c r="F42" s="63" t="s">
        <v>140</v>
      </c>
      <c r="G42" s="64" t="s">
        <v>53</v>
      </c>
      <c r="H42" s="94" t="s">
        <v>54</v>
      </c>
      <c r="I42" s="95" t="s">
        <v>218</v>
      </c>
      <c r="J42" s="96" t="s">
        <v>116</v>
      </c>
      <c r="K42" s="826" t="s">
        <v>43</v>
      </c>
      <c r="L42" s="35" t="s">
        <v>44</v>
      </c>
      <c r="M42" s="48" t="s">
        <v>45</v>
      </c>
      <c r="N42" s="141" t="s">
        <v>219</v>
      </c>
      <c r="O42" s="97" t="s">
        <v>164</v>
      </c>
      <c r="P42" s="98" t="s">
        <v>220</v>
      </c>
      <c r="Q42" s="824" t="s">
        <v>97</v>
      </c>
      <c r="R42" s="824" t="s">
        <v>97</v>
      </c>
      <c r="S42" s="824"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x14ac:dyDescent="0.3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2"/>
      <c r="T43" s="332">
        <v>684000000</v>
      </c>
      <c r="U43" s="554">
        <v>684000000</v>
      </c>
      <c r="V43" s="613">
        <f>695695200+817106046+13400000</f>
        <v>1526201246</v>
      </c>
      <c r="W43" s="430">
        <f>+U43+V43</f>
        <v>2210201246</v>
      </c>
      <c r="X43" s="889">
        <f>1763532150</f>
        <v>1763532150</v>
      </c>
      <c r="Y43" s="430">
        <f>+W43-X43</f>
        <v>446669096</v>
      </c>
      <c r="Z43" s="430">
        <v>1284327668</v>
      </c>
      <c r="AA43" s="429">
        <f t="shared" si="4"/>
        <v>0.58109082615185537</v>
      </c>
      <c r="AB43" s="430">
        <v>117269914</v>
      </c>
      <c r="AC43" s="357" t="s">
        <v>232</v>
      </c>
    </row>
    <row r="44" spans="1:29" s="39" customFormat="1" ht="122.25" hidden="1" customHeight="1" x14ac:dyDescent="0.3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69"/>
      <c r="T44" s="332"/>
      <c r="U44" s="554"/>
      <c r="V44" s="613">
        <v>60460372</v>
      </c>
      <c r="W44" s="711">
        <f>+V44</f>
        <v>60460372</v>
      </c>
      <c r="X44" s="347"/>
      <c r="Y44" s="430">
        <f>+W44-X44</f>
        <v>60460372</v>
      </c>
      <c r="Z44" s="430"/>
      <c r="AA44" s="429"/>
      <c r="AB44" s="430"/>
      <c r="AC44" s="357"/>
    </row>
    <row r="45" spans="1:29" s="39" customFormat="1" ht="126" hidden="1" customHeight="1" x14ac:dyDescent="0.3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2"/>
      <c r="T45" s="332">
        <v>756000000</v>
      </c>
      <c r="U45" s="554">
        <v>756000000</v>
      </c>
      <c r="V45" s="617"/>
      <c r="W45" s="430">
        <v>756000000</v>
      </c>
      <c r="X45" s="889">
        <f>234240000</f>
        <v>234240000</v>
      </c>
      <c r="Y45" s="430">
        <f t="shared" si="3"/>
        <v>521760000</v>
      </c>
      <c r="Z45" s="430">
        <v>114240000</v>
      </c>
      <c r="AA45" s="429">
        <f t="shared" si="4"/>
        <v>0.15111111111111111</v>
      </c>
      <c r="AB45" s="333"/>
      <c r="AC45" s="344" t="s">
        <v>240</v>
      </c>
    </row>
    <row r="46" spans="1:29" s="39" customFormat="1" ht="161.25" hidden="1" customHeight="1" x14ac:dyDescent="0.3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0" t="s">
        <v>565</v>
      </c>
      <c r="R46" s="871" t="s">
        <v>566</v>
      </c>
      <c r="S46" s="869"/>
      <c r="T46" s="332">
        <v>8600000000</v>
      </c>
      <c r="U46" s="554">
        <v>8600000000</v>
      </c>
      <c r="V46" s="617"/>
      <c r="W46" s="711">
        <v>8600000000</v>
      </c>
      <c r="X46" s="430">
        <v>40000000</v>
      </c>
      <c r="Y46" s="430">
        <f t="shared" si="3"/>
        <v>8560000000</v>
      </c>
      <c r="Z46" s="333"/>
      <c r="AA46" s="429">
        <f t="shared" si="4"/>
        <v>0</v>
      </c>
      <c r="AB46" s="333"/>
      <c r="AC46" s="333"/>
    </row>
    <row r="47" spans="1:29" s="39" customFormat="1" ht="70.400000000000006" hidden="1" customHeight="1" x14ac:dyDescent="0.3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69"/>
      <c r="R47" s="869"/>
      <c r="S47" s="869"/>
      <c r="T47" s="332">
        <v>7108000000</v>
      </c>
      <c r="U47" s="554">
        <v>7108000000</v>
      </c>
      <c r="V47" s="617"/>
      <c r="W47" s="711">
        <v>7108000000</v>
      </c>
      <c r="X47" s="430">
        <v>4054230820</v>
      </c>
      <c r="Y47" s="430">
        <f t="shared" si="3"/>
        <v>3053769180</v>
      </c>
      <c r="Z47" s="333"/>
      <c r="AA47" s="429">
        <f t="shared" si="4"/>
        <v>0</v>
      </c>
      <c r="AB47" s="333"/>
      <c r="AC47" s="333"/>
    </row>
    <row r="48" spans="1:29" s="39" customFormat="1" ht="70.400000000000006" hidden="1" customHeight="1" x14ac:dyDescent="0.3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2"/>
      <c r="R48" s="872"/>
      <c r="S48" s="902"/>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400000000000006" hidden="1" customHeight="1" x14ac:dyDescent="0.3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3" t="s">
        <v>97</v>
      </c>
      <c r="R49" s="873" t="s">
        <v>97</v>
      </c>
      <c r="S49" s="902"/>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400000000000006" hidden="1" customHeight="1" x14ac:dyDescent="0.3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x14ac:dyDescent="0.3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4" t="s">
        <v>567</v>
      </c>
      <c r="R51" s="875" t="s">
        <v>568</v>
      </c>
      <c r="S51" s="87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x14ac:dyDescent="0.3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2"/>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400000000000006" hidden="1" customHeight="1" x14ac:dyDescent="0.3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6"/>
      <c r="R53" s="876"/>
      <c r="S53" s="87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x14ac:dyDescent="0.3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x14ac:dyDescent="0.3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x14ac:dyDescent="0.3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x14ac:dyDescent="0.3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x14ac:dyDescent="0.3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3"/>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x14ac:dyDescent="0.3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400000000000006" hidden="1" customHeight="1" x14ac:dyDescent="0.3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3" t="s">
        <v>579</v>
      </c>
      <c r="R60" s="894" t="s">
        <v>580</v>
      </c>
      <c r="S60" s="904"/>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x14ac:dyDescent="0.3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7" t="s">
        <v>303</v>
      </c>
      <c r="R61" s="878" t="s">
        <v>304</v>
      </c>
      <c r="S61" s="869"/>
      <c r="T61" s="332">
        <v>300000000</v>
      </c>
      <c r="U61" s="554">
        <v>300000000</v>
      </c>
      <c r="V61" s="617"/>
      <c r="W61" s="711">
        <v>300000000</v>
      </c>
      <c r="X61" s="430"/>
      <c r="Y61" s="430">
        <f t="shared" si="6"/>
        <v>300000000</v>
      </c>
      <c r="Z61" s="333"/>
      <c r="AA61" s="429">
        <f t="shared" si="5"/>
        <v>0</v>
      </c>
      <c r="AB61" s="333"/>
      <c r="AC61" s="333"/>
    </row>
    <row r="62" spans="1:29" s="39" customFormat="1" ht="70.400000000000006" hidden="1" customHeight="1" x14ac:dyDescent="0.3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0" t="s">
        <v>581</v>
      </c>
      <c r="R62" s="891" t="s">
        <v>580</v>
      </c>
      <c r="S62" s="876"/>
      <c r="T62" s="332">
        <v>1500000000</v>
      </c>
      <c r="U62" s="554">
        <v>1500000000</v>
      </c>
      <c r="V62" s="617"/>
      <c r="W62" s="711">
        <v>1500000000</v>
      </c>
      <c r="X62" s="430"/>
      <c r="Y62" s="430">
        <f t="shared" si="6"/>
        <v>1500000000</v>
      </c>
      <c r="Z62" s="333"/>
      <c r="AA62" s="429">
        <f t="shared" si="5"/>
        <v>0</v>
      </c>
      <c r="AB62" s="333"/>
      <c r="AC62" s="333"/>
    </row>
    <row r="63" spans="1:29" s="39" customFormat="1" ht="70.400000000000006" hidden="1" customHeight="1" x14ac:dyDescent="0.3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3" t="s">
        <v>97</v>
      </c>
      <c r="R63" s="873" t="s">
        <v>97</v>
      </c>
      <c r="S63" s="869"/>
      <c r="T63" s="332"/>
      <c r="U63" s="554"/>
      <c r="V63" s="554">
        <v>292893954</v>
      </c>
      <c r="W63" s="711">
        <f>+V63</f>
        <v>292893954</v>
      </c>
      <c r="X63" s="430">
        <v>292893954</v>
      </c>
      <c r="Y63" s="430"/>
      <c r="Z63" s="333"/>
      <c r="AA63" s="429"/>
      <c r="AB63" s="333"/>
      <c r="AC63" s="333"/>
    </row>
    <row r="64" spans="1:29" s="39" customFormat="1" ht="98.25" hidden="1" customHeight="1" x14ac:dyDescent="0.3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79" t="s">
        <v>582</v>
      </c>
      <c r="R64" s="880" t="s">
        <v>583</v>
      </c>
      <c r="S64" s="902"/>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400000000000006" hidden="1" customHeight="1" x14ac:dyDescent="0.3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1" t="s">
        <v>319</v>
      </c>
      <c r="R65" s="882" t="s">
        <v>320</v>
      </c>
      <c r="S65" s="869"/>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x14ac:dyDescent="0.3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2"/>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x14ac:dyDescent="0.3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x14ac:dyDescent="0.3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3" t="s">
        <v>588</v>
      </c>
      <c r="R68" s="884" t="s">
        <v>589</v>
      </c>
      <c r="S68" s="902"/>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400000000000006" hidden="1" customHeight="1" x14ac:dyDescent="0.3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2" t="s">
        <v>590</v>
      </c>
      <c r="R69" s="885" t="s">
        <v>591</v>
      </c>
      <c r="S69" s="902"/>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400000000000006" hidden="1" customHeight="1" x14ac:dyDescent="0.3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6"/>
      <c r="R70" s="887"/>
      <c r="S70" s="902"/>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x14ac:dyDescent="0.3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5"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400000000000006" hidden="1" customHeight="1" x14ac:dyDescent="0.3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x14ac:dyDescent="0.3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6" t="s">
        <v>595</v>
      </c>
      <c r="S73" s="852"/>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x14ac:dyDescent="0.3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400000000000006" hidden="1" customHeight="1" x14ac:dyDescent="0.3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1" t="s">
        <v>360</v>
      </c>
      <c r="Q75" s="822" t="s">
        <v>361</v>
      </c>
      <c r="R75" s="823" t="s">
        <v>362</v>
      </c>
      <c r="S75" s="906"/>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400000000000006" hidden="1" customHeight="1" x14ac:dyDescent="0.3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4"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400000000000006" hidden="1" customHeight="1" x14ac:dyDescent="0.3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400000000000006" hidden="1" customHeight="1" x14ac:dyDescent="0.35">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x14ac:dyDescent="0.3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x14ac:dyDescent="0.3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400000000000006" hidden="1" customHeight="1" x14ac:dyDescent="0.3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5" t="s">
        <v>607</v>
      </c>
      <c r="R81" s="896" t="s">
        <v>382</v>
      </c>
      <c r="S81" s="55"/>
      <c r="T81" s="332">
        <v>300000000</v>
      </c>
      <c r="U81" s="554">
        <v>300000000</v>
      </c>
      <c r="V81" s="617"/>
      <c r="W81" s="711">
        <v>300000000</v>
      </c>
      <c r="X81" s="430"/>
      <c r="Y81" s="430">
        <f t="shared" si="6"/>
        <v>300000000</v>
      </c>
      <c r="Z81" s="333"/>
      <c r="AA81" s="429">
        <f t="shared" si="5"/>
        <v>0</v>
      </c>
      <c r="AB81" s="333"/>
      <c r="AC81" s="333"/>
    </row>
    <row r="82" spans="1:45" s="39" customFormat="1" ht="70.400000000000006" hidden="1" customHeight="1" x14ac:dyDescent="0.35">
      <c r="A82" s="60" t="s">
        <v>221</v>
      </c>
      <c r="B82" s="55" t="s">
        <v>222</v>
      </c>
      <c r="C82" s="848">
        <v>2020110010206</v>
      </c>
      <c r="D82" s="849" t="s">
        <v>342</v>
      </c>
      <c r="E82" s="849" t="s">
        <v>351</v>
      </c>
      <c r="F82" s="30" t="s">
        <v>225</v>
      </c>
      <c r="G82" s="719" t="s">
        <v>68</v>
      </c>
      <c r="H82" s="720" t="s">
        <v>69</v>
      </c>
      <c r="I82" s="721" t="s">
        <v>309</v>
      </c>
      <c r="J82" s="720" t="s">
        <v>43</v>
      </c>
      <c r="K82" s="35" t="s">
        <v>43</v>
      </c>
      <c r="L82" s="35" t="s">
        <v>44</v>
      </c>
      <c r="M82" s="36" t="s">
        <v>45</v>
      </c>
      <c r="N82" s="31" t="s">
        <v>310</v>
      </c>
      <c r="O82" s="35" t="s">
        <v>344</v>
      </c>
      <c r="P82" s="108" t="s">
        <v>383</v>
      </c>
      <c r="Q82" s="850" t="s">
        <v>384</v>
      </c>
      <c r="R82" s="851" t="s">
        <v>385</v>
      </c>
      <c r="S82" s="852"/>
      <c r="T82" s="332">
        <v>8000000000</v>
      </c>
      <c r="U82" s="554">
        <v>8000000000</v>
      </c>
      <c r="V82" s="620">
        <v>-8000000000</v>
      </c>
      <c r="W82" s="430">
        <f>+U82+V82</f>
        <v>0</v>
      </c>
      <c r="X82" s="333"/>
      <c r="Y82" s="333">
        <f t="shared" si="6"/>
        <v>0</v>
      </c>
      <c r="Z82" s="333"/>
      <c r="AA82" s="333" t="e">
        <f t="shared" si="5"/>
        <v>#DIV/0!</v>
      </c>
      <c r="AB82" s="333"/>
      <c r="AC82" s="333"/>
    </row>
    <row r="83" spans="1:45" s="39" customFormat="1" ht="70.400000000000006" hidden="1" customHeight="1" x14ac:dyDescent="0.3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1" t="s">
        <v>387</v>
      </c>
      <c r="Q83" s="853" t="s">
        <v>388</v>
      </c>
      <c r="R83" s="854" t="s">
        <v>304</v>
      </c>
      <c r="S83" s="852"/>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x14ac:dyDescent="0.3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400000000000006" hidden="1" customHeight="1" x14ac:dyDescent="0.3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x14ac:dyDescent="0.3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x14ac:dyDescent="0.3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7" t="s">
        <v>97</v>
      </c>
      <c r="R87" s="817" t="s">
        <v>97</v>
      </c>
      <c r="S87" s="907" t="s">
        <v>97</v>
      </c>
      <c r="T87" s="354"/>
      <c r="U87" s="333"/>
      <c r="V87" s="554">
        <v>2000000000</v>
      </c>
      <c r="W87" s="430">
        <f>+V87</f>
        <v>2000000000</v>
      </c>
      <c r="X87" s="430">
        <v>2000000000</v>
      </c>
      <c r="Y87" s="430"/>
      <c r="Z87" s="333"/>
      <c r="AA87" s="429"/>
      <c r="AB87" s="333"/>
      <c r="AC87" s="333"/>
    </row>
    <row r="88" spans="1:45" s="39" customFormat="1" ht="70.400000000000006" hidden="1" customHeight="1" x14ac:dyDescent="0.3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x14ac:dyDescent="0.3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5"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400000000000006" hidden="1" customHeight="1" x14ac:dyDescent="0.3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4"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400000000000006" hidden="1" customHeight="1" x14ac:dyDescent="0.3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4" t="s">
        <v>97</v>
      </c>
      <c r="T91" s="332">
        <v>4000000000</v>
      </c>
      <c r="U91" s="554">
        <v>4000000000</v>
      </c>
      <c r="V91" s="617"/>
      <c r="W91" s="430">
        <v>4000000000</v>
      </c>
      <c r="X91" s="430"/>
      <c r="Y91" s="430">
        <f t="shared" si="7"/>
        <v>4000000000</v>
      </c>
      <c r="Z91" s="333"/>
      <c r="AA91" s="429">
        <f t="shared" si="5"/>
        <v>0</v>
      </c>
      <c r="AB91" s="333"/>
      <c r="AC91" s="333"/>
    </row>
    <row r="92" spans="1:45" s="39" customFormat="1" ht="70.400000000000006" hidden="1" customHeight="1" x14ac:dyDescent="0.3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4" t="s">
        <v>97</v>
      </c>
      <c r="T92" s="332">
        <v>500000000</v>
      </c>
      <c r="U92" s="554">
        <v>500000000</v>
      </c>
      <c r="V92" s="617"/>
      <c r="W92" s="430">
        <v>500000000</v>
      </c>
      <c r="X92" s="430"/>
      <c r="Y92" s="430">
        <f t="shared" si="7"/>
        <v>500000000</v>
      </c>
      <c r="Z92" s="333"/>
      <c r="AA92" s="429">
        <f t="shared" si="5"/>
        <v>0</v>
      </c>
      <c r="AB92" s="333"/>
      <c r="AC92" s="333"/>
    </row>
    <row r="93" spans="1:45" s="39" customFormat="1" ht="70.400000000000006" hidden="1" customHeight="1" x14ac:dyDescent="0.3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4"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400000000000006" hidden="1" customHeight="1" x14ac:dyDescent="0.3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3" t="s">
        <v>615</v>
      </c>
      <c r="R94" s="864">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x14ac:dyDescent="0.3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4"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400000000000006" customHeight="1" x14ac:dyDescent="0.3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4"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400000000000006" customHeight="1" x14ac:dyDescent="0.3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4"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35">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4"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400000000000006" customHeight="1" x14ac:dyDescent="0.35">
      <c r="A99" s="99" t="s">
        <v>221</v>
      </c>
      <c r="B99" s="20" t="s">
        <v>222</v>
      </c>
      <c r="C99" s="102">
        <v>2020110010206</v>
      </c>
      <c r="D99" s="99" t="s">
        <v>389</v>
      </c>
      <c r="E99" s="99" t="s">
        <v>410</v>
      </c>
      <c r="F99" s="99" t="s">
        <v>225</v>
      </c>
      <c r="G99" s="121"/>
      <c r="H99" s="121"/>
      <c r="I99" s="122"/>
      <c r="J99" s="123" t="s">
        <v>439</v>
      </c>
      <c r="K99" s="818" t="s">
        <v>440</v>
      </c>
      <c r="L99" s="819" t="s">
        <v>44</v>
      </c>
      <c r="M99" s="52" t="s">
        <v>131</v>
      </c>
      <c r="N99" s="820" t="s">
        <v>416</v>
      </c>
      <c r="O99" s="820" t="s">
        <v>391</v>
      </c>
      <c r="P99" s="114" t="s">
        <v>96</v>
      </c>
      <c r="Q99" s="788" t="s">
        <v>97</v>
      </c>
      <c r="R99" s="788" t="s">
        <v>97</v>
      </c>
      <c r="S99" s="824" t="s">
        <v>97</v>
      </c>
      <c r="T99" s="332">
        <v>1383905000</v>
      </c>
      <c r="U99" s="554">
        <v>1383905000</v>
      </c>
      <c r="V99" s="617"/>
      <c r="W99" s="711">
        <v>1383905000</v>
      </c>
      <c r="X99" s="430"/>
      <c r="Y99" s="430">
        <f t="shared" si="7"/>
        <v>1383905000</v>
      </c>
      <c r="Z99" s="333"/>
      <c r="AA99" s="429">
        <f t="shared" si="5"/>
        <v>0</v>
      </c>
      <c r="AB99" s="333"/>
      <c r="AC99" s="333"/>
    </row>
    <row r="100" spans="1:45" s="39" customFormat="1" ht="70.400000000000006" customHeight="1" x14ac:dyDescent="0.35">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4" t="s">
        <v>97</v>
      </c>
      <c r="T100" s="332">
        <v>25838000</v>
      </c>
      <c r="U100" s="554">
        <v>25838000</v>
      </c>
      <c r="V100" s="617"/>
      <c r="W100" s="711">
        <v>25838000</v>
      </c>
      <c r="X100" s="430"/>
      <c r="Y100" s="430">
        <f t="shared" si="7"/>
        <v>25838000</v>
      </c>
      <c r="Z100" s="333"/>
      <c r="AA100" s="429">
        <f t="shared" si="5"/>
        <v>0</v>
      </c>
      <c r="AB100" s="430"/>
      <c r="AC100" s="333"/>
    </row>
    <row r="101" spans="1:45" s="39" customFormat="1" ht="70.400000000000006" customHeight="1" x14ac:dyDescent="0.3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4"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x14ac:dyDescent="0.35">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400000000000006" customHeight="1" x14ac:dyDescent="0.35">
      <c r="A103"/>
      <c r="B103"/>
      <c r="C103"/>
      <c r="D103" s="330"/>
      <c r="E103" s="330"/>
      <c r="F103"/>
      <c r="G103"/>
      <c r="H103"/>
      <c r="I103"/>
      <c r="J103"/>
      <c r="K103"/>
      <c r="L103"/>
      <c r="M103"/>
      <c r="N103"/>
      <c r="O103"/>
      <c r="P103"/>
      <c r="Q103" s="888"/>
      <c r="R103" s="888"/>
      <c r="S103" s="888"/>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x14ac:dyDescent="0.35">
      <c r="A104"/>
      <c r="B104"/>
      <c r="C104"/>
      <c r="D104" s="330"/>
      <c r="E104" s="330"/>
      <c r="F104"/>
      <c r="G104"/>
      <c r="H104"/>
      <c r="I104"/>
      <c r="J104"/>
      <c r="K104"/>
      <c r="L104"/>
      <c r="M104"/>
      <c r="N104"/>
      <c r="O104"/>
      <c r="P104"/>
      <c r="Q104" s="888"/>
      <c r="R104" s="888"/>
      <c r="S104" s="888"/>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x14ac:dyDescent="0.35">
      <c r="A105"/>
      <c r="B105"/>
      <c r="C105"/>
      <c r="D105" s="330"/>
      <c r="E105" s="330"/>
      <c r="F105"/>
      <c r="G105"/>
      <c r="H105"/>
      <c r="I105"/>
      <c r="J105"/>
      <c r="K105"/>
      <c r="L105"/>
      <c r="M105"/>
      <c r="N105"/>
      <c r="O105"/>
      <c r="P105"/>
      <c r="Q105" s="888"/>
      <c r="R105" s="888"/>
      <c r="S105" s="888"/>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x14ac:dyDescent="0.35">
      <c r="A106"/>
      <c r="B106"/>
      <c r="C106"/>
      <c r="D106" s="330"/>
      <c r="E106" s="330"/>
      <c r="F106"/>
      <c r="G106"/>
      <c r="H106"/>
      <c r="I106"/>
      <c r="J106"/>
      <c r="K106"/>
      <c r="L106"/>
      <c r="M106"/>
      <c r="N106"/>
      <c r="O106"/>
      <c r="P106"/>
      <c r="Q106" s="888"/>
      <c r="R106" s="888"/>
      <c r="S106" s="888"/>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35">
      <c r="A107"/>
      <c r="B107"/>
      <c r="C107"/>
      <c r="D107" s="330"/>
      <c r="E107" s="330"/>
      <c r="F107"/>
      <c r="G107"/>
      <c r="H107"/>
      <c r="I107"/>
      <c r="J107"/>
      <c r="K107"/>
      <c r="L107"/>
      <c r="M107"/>
      <c r="N107"/>
      <c r="O107"/>
      <c r="P107"/>
      <c r="Q107" s="888"/>
      <c r="R107" s="888"/>
      <c r="S107" s="888"/>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35">
      <c r="A108"/>
      <c r="B108"/>
      <c r="C108"/>
      <c r="D108" s="330"/>
      <c r="E108" s="330"/>
      <c r="F108"/>
      <c r="G108"/>
      <c r="H108"/>
      <c r="I108"/>
      <c r="J108"/>
      <c r="K108"/>
      <c r="L108"/>
      <c r="M108"/>
      <c r="N108"/>
      <c r="O108"/>
      <c r="P108"/>
      <c r="Q108" s="888"/>
      <c r="R108" s="888"/>
      <c r="S108" s="888"/>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x14ac:dyDescent="0.35">
      <c r="A109"/>
      <c r="B109"/>
      <c r="C109"/>
      <c r="D109" s="330"/>
      <c r="E109" s="330"/>
      <c r="F109"/>
      <c r="G109"/>
      <c r="H109"/>
      <c r="I109"/>
      <c r="J109"/>
      <c r="K109"/>
      <c r="L109"/>
      <c r="M109"/>
      <c r="N109"/>
      <c r="O109"/>
      <c r="P109"/>
      <c r="Q109" s="888"/>
      <c r="R109" s="888"/>
      <c r="S109" s="888"/>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35">
      <c r="A110"/>
      <c r="B110"/>
      <c r="C110"/>
      <c r="D110" s="330"/>
      <c r="E110" s="330"/>
      <c r="F110"/>
      <c r="G110"/>
      <c r="H110"/>
      <c r="I110"/>
      <c r="J110"/>
      <c r="K110"/>
      <c r="L110"/>
      <c r="M110"/>
      <c r="N110"/>
      <c r="O110"/>
      <c r="P110"/>
      <c r="Q110" s="888"/>
      <c r="R110" s="888"/>
      <c r="S110" s="888"/>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35">
      <c r="O111"/>
      <c r="X111" s="442"/>
      <c r="Z111" s="443"/>
      <c r="AB111" s="3"/>
    </row>
    <row r="112" spans="1:45" x14ac:dyDescent="0.35">
      <c r="O112"/>
      <c r="X112" s="442"/>
      <c r="Z112" s="443"/>
      <c r="AB112" s="3"/>
    </row>
    <row r="113" spans="1:45" s="127" customFormat="1" x14ac:dyDescent="0.35">
      <c r="A113"/>
      <c r="B113"/>
      <c r="C113"/>
      <c r="D113" s="330"/>
      <c r="E113" s="330"/>
      <c r="F113"/>
      <c r="G113"/>
      <c r="H113"/>
      <c r="I113"/>
      <c r="J113"/>
      <c r="K113"/>
      <c r="L113"/>
      <c r="M113"/>
      <c r="N113"/>
      <c r="O113"/>
      <c r="P113"/>
      <c r="Q113" s="888"/>
      <c r="R113" s="888"/>
      <c r="S113" s="888"/>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35">
      <c r="O114"/>
      <c r="X114" s="442"/>
      <c r="Z114" s="443"/>
    </row>
    <row r="115" spans="1:45" x14ac:dyDescent="0.35">
      <c r="O115"/>
      <c r="X115" s="442"/>
      <c r="Z115" s="443"/>
    </row>
    <row r="116" spans="1:45" x14ac:dyDescent="0.35">
      <c r="O116"/>
      <c r="X116" s="442"/>
      <c r="Z116" s="443"/>
    </row>
    <row r="117" spans="1:45" x14ac:dyDescent="0.35">
      <c r="O117"/>
      <c r="X117" s="442"/>
      <c r="Z117" s="443"/>
    </row>
    <row r="118" spans="1:45" x14ac:dyDescent="0.35">
      <c r="O118"/>
      <c r="X118" s="442"/>
      <c r="Z118" s="443"/>
    </row>
    <row r="119" spans="1:45" x14ac:dyDescent="0.35">
      <c r="O119"/>
      <c r="X119" s="442"/>
      <c r="Z119" s="443"/>
    </row>
    <row r="120" spans="1:45" x14ac:dyDescent="0.35">
      <c r="O120"/>
      <c r="X120" s="442"/>
      <c r="Z120" s="443"/>
    </row>
    <row r="121" spans="1:45" x14ac:dyDescent="0.35">
      <c r="O121"/>
      <c r="X121" s="442"/>
      <c r="Z121" s="443"/>
    </row>
    <row r="122" spans="1:45" x14ac:dyDescent="0.35">
      <c r="O122"/>
      <c r="X122" s="442"/>
      <c r="Z122" s="443"/>
    </row>
    <row r="123" spans="1:45" x14ac:dyDescent="0.35">
      <c r="O123"/>
      <c r="X123" s="442"/>
      <c r="Z123" s="443"/>
    </row>
    <row r="124" spans="1:45" x14ac:dyDescent="0.35">
      <c r="O124"/>
      <c r="X124" s="442"/>
    </row>
    <row r="125" spans="1:45" x14ac:dyDescent="0.35">
      <c r="O125"/>
      <c r="X125" s="442"/>
    </row>
    <row r="126" spans="1:45" x14ac:dyDescent="0.35">
      <c r="O126"/>
      <c r="X126" s="442"/>
    </row>
    <row r="127" spans="1:45" x14ac:dyDescent="0.35">
      <c r="O127"/>
      <c r="X127" s="442"/>
    </row>
    <row r="128" spans="1:45" x14ac:dyDescent="0.35">
      <c r="O128"/>
      <c r="X128" s="442"/>
    </row>
    <row r="129" spans="15:24" x14ac:dyDescent="0.35">
      <c r="O129"/>
      <c r="X129" s="442"/>
    </row>
    <row r="130" spans="15:24" x14ac:dyDescent="0.35">
      <c r="O130"/>
      <c r="X130" s="442"/>
    </row>
    <row r="131" spans="15:24" x14ac:dyDescent="0.35">
      <c r="O131"/>
      <c r="X131" s="442"/>
    </row>
    <row r="132" spans="15:24" x14ac:dyDescent="0.35">
      <c r="O132"/>
      <c r="X132" s="442"/>
    </row>
    <row r="133" spans="15:24" x14ac:dyDescent="0.35">
      <c r="O133"/>
      <c r="X133" s="442"/>
    </row>
    <row r="134" spans="15:24" x14ac:dyDescent="0.35">
      <c r="O134"/>
      <c r="X134" s="442"/>
    </row>
    <row r="135" spans="15:24" x14ac:dyDescent="0.35">
      <c r="O135"/>
      <c r="X135" s="442"/>
    </row>
    <row r="136" spans="15:24" x14ac:dyDescent="0.35">
      <c r="O136"/>
      <c r="X136" s="442"/>
    </row>
    <row r="137" spans="15:24" x14ac:dyDescent="0.35">
      <c r="O137"/>
      <c r="X137" s="442"/>
    </row>
    <row r="138" spans="15:24" x14ac:dyDescent="0.35">
      <c r="O138"/>
      <c r="X138" s="442"/>
    </row>
    <row r="139" spans="15:24" x14ac:dyDescent="0.35">
      <c r="O139"/>
      <c r="X139" s="442"/>
    </row>
    <row r="140" spans="15:24" x14ac:dyDescent="0.35">
      <c r="O140"/>
      <c r="X140" s="442"/>
    </row>
    <row r="141" spans="15:24" x14ac:dyDescent="0.35">
      <c r="O141"/>
      <c r="X141" s="442"/>
    </row>
    <row r="142" spans="15:24" x14ac:dyDescent="0.35">
      <c r="O142"/>
      <c r="X142" s="442"/>
    </row>
    <row r="143" spans="15:24" x14ac:dyDescent="0.35">
      <c r="O143"/>
      <c r="X143" s="442"/>
    </row>
    <row r="144" spans="15:24" x14ac:dyDescent="0.35">
      <c r="O144"/>
      <c r="X144" s="442"/>
    </row>
    <row r="145" spans="15:24" x14ac:dyDescent="0.35">
      <c r="O145"/>
      <c r="X145" s="442"/>
    </row>
    <row r="146" spans="15:24" x14ac:dyDescent="0.35">
      <c r="O146"/>
      <c r="X146" s="442"/>
    </row>
    <row r="147" spans="15:24" x14ac:dyDescent="0.35">
      <c r="O147"/>
      <c r="X147" s="442"/>
    </row>
    <row r="148" spans="15:24" x14ac:dyDescent="0.35">
      <c r="O148"/>
      <c r="X148" s="442"/>
    </row>
    <row r="149" spans="15:24" x14ac:dyDescent="0.35">
      <c r="O149"/>
      <c r="X149" s="442"/>
    </row>
    <row r="150" spans="15:24" x14ac:dyDescent="0.35">
      <c r="O150"/>
      <c r="X150" s="442"/>
    </row>
    <row r="151" spans="15:24" x14ac:dyDescent="0.35">
      <c r="O151"/>
      <c r="X151" s="442"/>
    </row>
    <row r="152" spans="15:24" x14ac:dyDescent="0.35">
      <c r="O152"/>
      <c r="X152" s="442"/>
    </row>
    <row r="153" spans="15:24" x14ac:dyDescent="0.35">
      <c r="O153"/>
      <c r="X153" s="442"/>
    </row>
    <row r="154" spans="15:24" x14ac:dyDescent="0.35">
      <c r="O154"/>
      <c r="X154" s="442"/>
    </row>
    <row r="155" spans="15:24" x14ac:dyDescent="0.35">
      <c r="O155"/>
      <c r="X155" s="442"/>
    </row>
    <row r="156" spans="15:24" x14ac:dyDescent="0.35">
      <c r="O156"/>
      <c r="X156" s="442"/>
    </row>
    <row r="157" spans="15:24" x14ac:dyDescent="0.35">
      <c r="O157"/>
      <c r="X157" s="442"/>
    </row>
    <row r="158" spans="15:24" x14ac:dyDescent="0.35">
      <c r="O158"/>
      <c r="X158" s="442"/>
    </row>
    <row r="159" spans="15:24" x14ac:dyDescent="0.35">
      <c r="O159"/>
      <c r="X159" s="442"/>
    </row>
    <row r="160" spans="15:24" x14ac:dyDescent="0.35">
      <c r="O160"/>
      <c r="X160" s="442"/>
    </row>
    <row r="161" spans="15:24" x14ac:dyDescent="0.35">
      <c r="O161"/>
      <c r="X161" s="442"/>
    </row>
    <row r="162" spans="15:24" x14ac:dyDescent="0.35">
      <c r="O162"/>
      <c r="X162" s="442"/>
    </row>
    <row r="163" spans="15:24" x14ac:dyDescent="0.35">
      <c r="O163"/>
      <c r="X163" s="442"/>
    </row>
    <row r="164" spans="15:24" x14ac:dyDescent="0.35">
      <c r="O164"/>
      <c r="X164" s="442"/>
    </row>
    <row r="165" spans="15:24" x14ac:dyDescent="0.35">
      <c r="O165"/>
      <c r="X165" s="442"/>
    </row>
    <row r="166" spans="15:24" x14ac:dyDescent="0.35">
      <c r="O166"/>
      <c r="X166" s="442"/>
    </row>
    <row r="167" spans="15:24" x14ac:dyDescent="0.35">
      <c r="O167"/>
      <c r="X167" s="442"/>
    </row>
    <row r="168" spans="15:24" x14ac:dyDescent="0.35">
      <c r="O168"/>
      <c r="X168" s="442"/>
    </row>
    <row r="169" spans="15:24" x14ac:dyDescent="0.35">
      <c r="O169"/>
      <c r="X169" s="442"/>
    </row>
    <row r="170" spans="15:24" x14ac:dyDescent="0.35">
      <c r="O170"/>
      <c r="X170" s="442"/>
    </row>
    <row r="171" spans="15:24" x14ac:dyDescent="0.35">
      <c r="O171"/>
      <c r="X171" s="442"/>
    </row>
    <row r="172" spans="15:24" x14ac:dyDescent="0.35">
      <c r="O172"/>
      <c r="X172" s="442"/>
    </row>
    <row r="173" spans="15:24" x14ac:dyDescent="0.35">
      <c r="O173"/>
      <c r="X173" s="442"/>
    </row>
    <row r="174" spans="15:24" x14ac:dyDescent="0.35">
      <c r="O174"/>
      <c r="X174" s="442"/>
    </row>
    <row r="175" spans="15:24" x14ac:dyDescent="0.35">
      <c r="O175"/>
      <c r="X175" s="442"/>
    </row>
    <row r="176" spans="15:24" x14ac:dyDescent="0.35">
      <c r="O176"/>
      <c r="X176" s="442"/>
    </row>
    <row r="177" spans="15:24" x14ac:dyDescent="0.35">
      <c r="O177"/>
      <c r="X177" s="442"/>
    </row>
    <row r="178" spans="15:24" x14ac:dyDescent="0.35">
      <c r="O178"/>
      <c r="X178" s="442"/>
    </row>
    <row r="179" spans="15:24" x14ac:dyDescent="0.35">
      <c r="O179"/>
      <c r="X179" s="442"/>
    </row>
    <row r="180" spans="15:24" x14ac:dyDescent="0.35">
      <c r="O180"/>
      <c r="X180" s="442"/>
    </row>
    <row r="181" spans="15:24" x14ac:dyDescent="0.35">
      <c r="O181"/>
      <c r="X181" s="442"/>
    </row>
    <row r="182" spans="15:24" x14ac:dyDescent="0.35">
      <c r="O182"/>
      <c r="X182" s="442"/>
    </row>
    <row r="183" spans="15:24" x14ac:dyDescent="0.35">
      <c r="O183"/>
      <c r="X183" s="442"/>
    </row>
    <row r="184" spans="15:24" x14ac:dyDescent="0.35">
      <c r="O184"/>
      <c r="X184" s="442"/>
    </row>
    <row r="185" spans="15:24" x14ac:dyDescent="0.35">
      <c r="O185"/>
      <c r="X185" s="442"/>
    </row>
    <row r="186" spans="15:24" x14ac:dyDescent="0.35">
      <c r="O186"/>
      <c r="X186" s="442"/>
    </row>
    <row r="187" spans="15:24" x14ac:dyDescent="0.35">
      <c r="O187"/>
      <c r="X187" s="442"/>
    </row>
    <row r="188" spans="15:24" x14ac:dyDescent="0.35">
      <c r="O188"/>
      <c r="X188" s="442"/>
    </row>
    <row r="189" spans="15:24" x14ac:dyDescent="0.35">
      <c r="O189"/>
      <c r="X189" s="442"/>
    </row>
    <row r="190" spans="15:24" x14ac:dyDescent="0.35">
      <c r="O190"/>
      <c r="X190" s="442"/>
    </row>
    <row r="191" spans="15:24" x14ac:dyDescent="0.35">
      <c r="O191"/>
      <c r="X191" s="442"/>
    </row>
    <row r="192" spans="15:24" x14ac:dyDescent="0.35">
      <c r="O192"/>
      <c r="X192" s="442"/>
    </row>
    <row r="193" spans="15:24" x14ac:dyDescent="0.35">
      <c r="O193"/>
      <c r="X193" s="442"/>
    </row>
    <row r="194" spans="15:24" x14ac:dyDescent="0.35">
      <c r="O194"/>
      <c r="X194" s="442"/>
    </row>
    <row r="195" spans="15:24" x14ac:dyDescent="0.35">
      <c r="O195"/>
      <c r="X195" s="442"/>
    </row>
    <row r="196" spans="15:24" x14ac:dyDescent="0.35">
      <c r="O196"/>
      <c r="X196" s="442"/>
    </row>
    <row r="197" spans="15:24" x14ac:dyDescent="0.35">
      <c r="O197"/>
      <c r="X197" s="442"/>
    </row>
    <row r="198" spans="15:24" x14ac:dyDescent="0.35">
      <c r="O198"/>
      <c r="X198" s="442"/>
    </row>
    <row r="199" spans="15:24" x14ac:dyDescent="0.35">
      <c r="O199"/>
      <c r="X199" s="442"/>
    </row>
    <row r="200" spans="15:24" x14ac:dyDescent="0.35">
      <c r="O200"/>
      <c r="X200" s="442"/>
    </row>
    <row r="201" spans="15:24" x14ac:dyDescent="0.35">
      <c r="O201"/>
      <c r="X201" s="442"/>
    </row>
    <row r="202" spans="15:24" x14ac:dyDescent="0.35">
      <c r="O202"/>
      <c r="X202" s="442"/>
    </row>
    <row r="203" spans="15:24" x14ac:dyDescent="0.35">
      <c r="O203"/>
      <c r="X203" s="442"/>
    </row>
    <row r="204" spans="15:24" x14ac:dyDescent="0.35">
      <c r="O204"/>
      <c r="X204" s="442"/>
    </row>
    <row r="205" spans="15:24" x14ac:dyDescent="0.35">
      <c r="O205"/>
      <c r="X205" s="442"/>
    </row>
    <row r="206" spans="15:24" x14ac:dyDescent="0.35">
      <c r="O206"/>
      <c r="X206" s="442"/>
    </row>
    <row r="207" spans="15:24" x14ac:dyDescent="0.35">
      <c r="O207"/>
      <c r="X207" s="442"/>
    </row>
    <row r="208" spans="15:24" x14ac:dyDescent="0.35">
      <c r="O208"/>
      <c r="X208" s="442"/>
    </row>
    <row r="209" spans="15:24" x14ac:dyDescent="0.35">
      <c r="O209"/>
      <c r="X209" s="442"/>
    </row>
    <row r="210" spans="15:24" x14ac:dyDescent="0.35">
      <c r="O210"/>
      <c r="X210" s="442"/>
    </row>
    <row r="211" spans="15:24" x14ac:dyDescent="0.35">
      <c r="O211"/>
      <c r="X211" s="442"/>
    </row>
    <row r="212" spans="15:24" x14ac:dyDescent="0.35">
      <c r="O212"/>
      <c r="X212" s="442"/>
    </row>
    <row r="213" spans="15:24" x14ac:dyDescent="0.35">
      <c r="O213"/>
    </row>
    <row r="214" spans="15:24" x14ac:dyDescent="0.35">
      <c r="O214"/>
    </row>
    <row r="215" spans="15:24" x14ac:dyDescent="0.35">
      <c r="O215"/>
    </row>
    <row r="216" spans="15:24" x14ac:dyDescent="0.35">
      <c r="O216"/>
    </row>
    <row r="217" spans="15:24" x14ac:dyDescent="0.35">
      <c r="O217"/>
    </row>
    <row r="218" spans="15:24" x14ac:dyDescent="0.35">
      <c r="O218"/>
    </row>
    <row r="219" spans="15:24" x14ac:dyDescent="0.35">
      <c r="O219"/>
    </row>
    <row r="220" spans="15:24" x14ac:dyDescent="0.35">
      <c r="O220"/>
    </row>
    <row r="221" spans="15:24" x14ac:dyDescent="0.35">
      <c r="O221"/>
    </row>
    <row r="222" spans="15:24" x14ac:dyDescent="0.35">
      <c r="O222"/>
    </row>
    <row r="223" spans="15:24" x14ac:dyDescent="0.35">
      <c r="O223"/>
    </row>
    <row r="224" spans="15:24" x14ac:dyDescent="0.35">
      <c r="O224"/>
    </row>
    <row r="225" spans="15:15" x14ac:dyDescent="0.35">
      <c r="O225"/>
    </row>
    <row r="226" spans="15:15" x14ac:dyDescent="0.35">
      <c r="O226"/>
    </row>
    <row r="227" spans="15:15" x14ac:dyDescent="0.35">
      <c r="O227"/>
    </row>
    <row r="228" spans="15:15" x14ac:dyDescent="0.35">
      <c r="O228"/>
    </row>
    <row r="229" spans="15:15" x14ac:dyDescent="0.35">
      <c r="O229"/>
    </row>
    <row r="230" spans="15:15" x14ac:dyDescent="0.35">
      <c r="O230"/>
    </row>
    <row r="231" spans="15:15" x14ac:dyDescent="0.35">
      <c r="O231"/>
    </row>
    <row r="232" spans="15:15" x14ac:dyDescent="0.35">
      <c r="O232"/>
    </row>
    <row r="233" spans="15:15" x14ac:dyDescent="0.35">
      <c r="O233"/>
    </row>
    <row r="234" spans="15:15" x14ac:dyDescent="0.35">
      <c r="O234"/>
    </row>
    <row r="235" spans="15:15" x14ac:dyDescent="0.35">
      <c r="O235"/>
    </row>
    <row r="236" spans="15:15" x14ac:dyDescent="0.35">
      <c r="O236"/>
    </row>
    <row r="237" spans="15:15" x14ac:dyDescent="0.35">
      <c r="O237"/>
    </row>
    <row r="238" spans="15:15" x14ac:dyDescent="0.35">
      <c r="O238"/>
    </row>
    <row r="239" spans="15:15" x14ac:dyDescent="0.35">
      <c r="O239"/>
    </row>
    <row r="240" spans="15:15" x14ac:dyDescent="0.35">
      <c r="O240"/>
    </row>
    <row r="241" spans="15:15" x14ac:dyDescent="0.35">
      <c r="O241"/>
    </row>
    <row r="242" spans="15:15" x14ac:dyDescent="0.35">
      <c r="O242"/>
    </row>
    <row r="243" spans="15:15" x14ac:dyDescent="0.35">
      <c r="O243"/>
    </row>
    <row r="244" spans="15:15" x14ac:dyDescent="0.35">
      <c r="O244"/>
    </row>
    <row r="245" spans="15:15" x14ac:dyDescent="0.35">
      <c r="O245"/>
    </row>
    <row r="246" spans="15:15" x14ac:dyDescent="0.35">
      <c r="O246"/>
    </row>
    <row r="247" spans="15:15" x14ac:dyDescent="0.35">
      <c r="O247"/>
    </row>
    <row r="248" spans="15:15" x14ac:dyDescent="0.35">
      <c r="O248"/>
    </row>
    <row r="249" spans="15:15" x14ac:dyDescent="0.35">
      <c r="O249"/>
    </row>
    <row r="250" spans="15:15" x14ac:dyDescent="0.35">
      <c r="O250"/>
    </row>
    <row r="251" spans="15:15" x14ac:dyDescent="0.35">
      <c r="O251"/>
    </row>
    <row r="252" spans="15:15" x14ac:dyDescent="0.35">
      <c r="O252"/>
    </row>
    <row r="253" spans="15:15" x14ac:dyDescent="0.35">
      <c r="O253"/>
    </row>
    <row r="254" spans="15:15" x14ac:dyDescent="0.35">
      <c r="O254"/>
    </row>
    <row r="255" spans="15:15" x14ac:dyDescent="0.35">
      <c r="O255"/>
    </row>
    <row r="256" spans="15:15" x14ac:dyDescent="0.35">
      <c r="O256"/>
    </row>
    <row r="257" spans="15:15" x14ac:dyDescent="0.35">
      <c r="O257"/>
    </row>
    <row r="258" spans="15:15" x14ac:dyDescent="0.35">
      <c r="O258"/>
    </row>
    <row r="259" spans="15:15" x14ac:dyDescent="0.35">
      <c r="O259"/>
    </row>
    <row r="260" spans="15:15" x14ac:dyDescent="0.35">
      <c r="O260"/>
    </row>
    <row r="261" spans="15:15" x14ac:dyDescent="0.35">
      <c r="O261"/>
    </row>
    <row r="262" spans="15:15" x14ac:dyDescent="0.35">
      <c r="O262"/>
    </row>
    <row r="263" spans="15:15" x14ac:dyDescent="0.35">
      <c r="O263"/>
    </row>
    <row r="264" spans="15:15" x14ac:dyDescent="0.35">
      <c r="O264"/>
    </row>
    <row r="265" spans="15:15" x14ac:dyDescent="0.35">
      <c r="O265"/>
    </row>
    <row r="266" spans="15:15" x14ac:dyDescent="0.35">
      <c r="O266"/>
    </row>
    <row r="267" spans="15:15" x14ac:dyDescent="0.35">
      <c r="O267"/>
    </row>
    <row r="268" spans="15:15" x14ac:dyDescent="0.35">
      <c r="O268"/>
    </row>
    <row r="269" spans="15:15" x14ac:dyDescent="0.35">
      <c r="O269"/>
    </row>
    <row r="270" spans="15:15" x14ac:dyDescent="0.35">
      <c r="O270"/>
    </row>
    <row r="271" spans="15:15" x14ac:dyDescent="0.35">
      <c r="O271"/>
    </row>
    <row r="272" spans="15:15" x14ac:dyDescent="0.35">
      <c r="O272"/>
    </row>
    <row r="273" spans="15:15" x14ac:dyDescent="0.35">
      <c r="O273"/>
    </row>
    <row r="274" spans="15:15" x14ac:dyDescent="0.35">
      <c r="O274"/>
    </row>
    <row r="275" spans="15:15" x14ac:dyDescent="0.35">
      <c r="O275"/>
    </row>
    <row r="276" spans="15:15" x14ac:dyDescent="0.35">
      <c r="O276"/>
    </row>
    <row r="277" spans="15:15" x14ac:dyDescent="0.35">
      <c r="O277"/>
    </row>
    <row r="278" spans="15:15" x14ac:dyDescent="0.35">
      <c r="O278"/>
    </row>
    <row r="279" spans="15:15" x14ac:dyDescent="0.35">
      <c r="O279"/>
    </row>
    <row r="280" spans="15:15" x14ac:dyDescent="0.35">
      <c r="O280"/>
    </row>
    <row r="281" spans="15:15" x14ac:dyDescent="0.35">
      <c r="O281"/>
    </row>
    <row r="282" spans="15:15" x14ac:dyDescent="0.35">
      <c r="O282"/>
    </row>
    <row r="283" spans="15:15" x14ac:dyDescent="0.35">
      <c r="O283"/>
    </row>
    <row r="284" spans="15:15" x14ac:dyDescent="0.35">
      <c r="O284"/>
    </row>
    <row r="285" spans="15:15" x14ac:dyDescent="0.35">
      <c r="O285"/>
    </row>
    <row r="286" spans="15:15" x14ac:dyDescent="0.35">
      <c r="O286"/>
    </row>
    <row r="287" spans="15:15" x14ac:dyDescent="0.35">
      <c r="O287"/>
    </row>
    <row r="288" spans="15:15" x14ac:dyDescent="0.35">
      <c r="O288"/>
    </row>
    <row r="289" spans="15:15" x14ac:dyDescent="0.35">
      <c r="O289"/>
    </row>
    <row r="290" spans="15:15" x14ac:dyDescent="0.35">
      <c r="O290"/>
    </row>
    <row r="291" spans="15:15" x14ac:dyDescent="0.35">
      <c r="O291"/>
    </row>
    <row r="292" spans="15:15" x14ac:dyDescent="0.35">
      <c r="O292"/>
    </row>
    <row r="293" spans="15:15" x14ac:dyDescent="0.35">
      <c r="O293"/>
    </row>
    <row r="294" spans="15:15" x14ac:dyDescent="0.35">
      <c r="O294"/>
    </row>
    <row r="295" spans="15:15" x14ac:dyDescent="0.35">
      <c r="O295"/>
    </row>
    <row r="296" spans="15:15" x14ac:dyDescent="0.35">
      <c r="O296"/>
    </row>
    <row r="297" spans="15:15" x14ac:dyDescent="0.35">
      <c r="O297"/>
    </row>
    <row r="298" spans="15:15" x14ac:dyDescent="0.35">
      <c r="O298"/>
    </row>
    <row r="299" spans="15:15" x14ac:dyDescent="0.35">
      <c r="O299"/>
    </row>
    <row r="300" spans="15:15" x14ac:dyDescent="0.35">
      <c r="O300"/>
    </row>
    <row r="301" spans="15:15" x14ac:dyDescent="0.35">
      <c r="O301"/>
    </row>
    <row r="302" spans="15:15" x14ac:dyDescent="0.35">
      <c r="O302"/>
    </row>
    <row r="303" spans="15:15" x14ac:dyDescent="0.35">
      <c r="O303"/>
    </row>
    <row r="304" spans="15:15" x14ac:dyDescent="0.35">
      <c r="O304"/>
    </row>
    <row r="305" spans="15:15" x14ac:dyDescent="0.35">
      <c r="O305"/>
    </row>
    <row r="306" spans="15:15" x14ac:dyDescent="0.35">
      <c r="O306"/>
    </row>
    <row r="307" spans="15:15" x14ac:dyDescent="0.35">
      <c r="O307"/>
    </row>
    <row r="308" spans="15:15" x14ac:dyDescent="0.35">
      <c r="O308"/>
    </row>
    <row r="309" spans="15:15" x14ac:dyDescent="0.35">
      <c r="O309"/>
    </row>
    <row r="310" spans="15:15" x14ac:dyDescent="0.35">
      <c r="O310"/>
    </row>
    <row r="311" spans="15:15" x14ac:dyDescent="0.35">
      <c r="O311"/>
    </row>
    <row r="312" spans="15:15" x14ac:dyDescent="0.35">
      <c r="O312"/>
    </row>
    <row r="313" spans="15:15" x14ac:dyDescent="0.35">
      <c r="O313"/>
    </row>
    <row r="314" spans="15:15" x14ac:dyDescent="0.35">
      <c r="O314"/>
    </row>
    <row r="315" spans="15:15" x14ac:dyDescent="0.35">
      <c r="O315"/>
    </row>
    <row r="316" spans="15:15" x14ac:dyDescent="0.35">
      <c r="O316"/>
    </row>
    <row r="317" spans="15:15" x14ac:dyDescent="0.35">
      <c r="O317"/>
    </row>
    <row r="318" spans="15:15" x14ac:dyDescent="0.35">
      <c r="O318"/>
    </row>
    <row r="319" spans="15:15" x14ac:dyDescent="0.35">
      <c r="O319"/>
    </row>
    <row r="320" spans="15:15" x14ac:dyDescent="0.35">
      <c r="O320"/>
    </row>
    <row r="321" spans="15:15" x14ac:dyDescent="0.35">
      <c r="O321"/>
    </row>
    <row r="322" spans="15:15" x14ac:dyDescent="0.35">
      <c r="O322"/>
    </row>
    <row r="323" spans="15:15" x14ac:dyDescent="0.35">
      <c r="O323"/>
    </row>
    <row r="324" spans="15:15" x14ac:dyDescent="0.35">
      <c r="O324"/>
    </row>
    <row r="325" spans="15:15" x14ac:dyDescent="0.35">
      <c r="O325"/>
    </row>
    <row r="326" spans="15:15" x14ac:dyDescent="0.35">
      <c r="O326"/>
    </row>
    <row r="327" spans="15:15" x14ac:dyDescent="0.35">
      <c r="O327"/>
    </row>
    <row r="328" spans="15:15" x14ac:dyDescent="0.35">
      <c r="O328"/>
    </row>
    <row r="329" spans="15:15" x14ac:dyDescent="0.35">
      <c r="O329"/>
    </row>
    <row r="330" spans="15:15" x14ac:dyDescent="0.35">
      <c r="O330"/>
    </row>
    <row r="331" spans="15:15" x14ac:dyDescent="0.35">
      <c r="O331"/>
    </row>
    <row r="332" spans="15:15" x14ac:dyDescent="0.35">
      <c r="O332"/>
    </row>
    <row r="333" spans="15:15" x14ac:dyDescent="0.35">
      <c r="O333"/>
    </row>
    <row r="334" spans="15:15" x14ac:dyDescent="0.35">
      <c r="O334"/>
    </row>
    <row r="335" spans="15:15" x14ac:dyDescent="0.35">
      <c r="O335"/>
    </row>
    <row r="336" spans="15:15" x14ac:dyDescent="0.35">
      <c r="O336"/>
    </row>
  </sheetData>
  <autoFilter ref="A5:AC102" xr:uid="{00000000-0009-0000-0000-000005000000}">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xr:uid="{00000000-0002-0000-0500-000000000000}">
      <formula1>$E$381:$E$392</formula1>
    </dataValidation>
    <dataValidation type="list" allowBlank="1" showInputMessage="1" showErrorMessage="1" sqref="C87" xr:uid="{00000000-0002-0000-0500-000001000000}">
      <formula1>$C$346:$C$350</formula1>
    </dataValidation>
    <dataValidation type="list" allowBlank="1" showInputMessage="1" showErrorMessage="1" sqref="B87" xr:uid="{00000000-0002-0000-0500-000002000000}">
      <formula1>$B$346:$B$350</formula1>
    </dataValidation>
    <dataValidation type="list" allowBlank="1" showInputMessage="1" showErrorMessage="1" sqref="A87" xr:uid="{00000000-0002-0000-0500-000003000000}">
      <formula1>$A$346:$A$349</formula1>
    </dataValidation>
    <dataValidation type="list" allowBlank="1" showInputMessage="1" showErrorMessage="1" sqref="C63" xr:uid="{00000000-0002-0000-0500-000004000000}">
      <formula1>$C$347:$C$351</formula1>
    </dataValidation>
    <dataValidation type="list" allowBlank="1" showInputMessage="1" showErrorMessage="1" sqref="B63" xr:uid="{00000000-0002-0000-0500-000005000000}">
      <formula1>$B$347:$B$351</formula1>
    </dataValidation>
    <dataValidation type="list" allowBlank="1" showInputMessage="1" showErrorMessage="1" sqref="A63" xr:uid="{00000000-0002-0000-0500-000006000000}">
      <formula1>$A$347:$A$350</formula1>
    </dataValidation>
    <dataValidation type="list" allowBlank="1" showInputMessage="1" showErrorMessage="1" sqref="C44" xr:uid="{00000000-0002-0000-0500-000007000000}">
      <formula1>$C$348:$C$352</formula1>
    </dataValidation>
    <dataValidation type="list" allowBlank="1" showInputMessage="1" showErrorMessage="1" sqref="B44" xr:uid="{00000000-0002-0000-0500-000008000000}">
      <formula1>$B$348:$B$352</formula1>
    </dataValidation>
    <dataValidation type="list" allowBlank="1" showInputMessage="1" showErrorMessage="1" sqref="A44" xr:uid="{00000000-0002-0000-0500-000009000000}">
      <formula1>$A$348:$A$351</formula1>
    </dataValidation>
    <dataValidation type="list" allowBlank="1" showInputMessage="1" showErrorMessage="1" sqref="D84 D90:D93" xr:uid="{00000000-0002-0000-0500-00000A000000}">
      <formula1>$E$365:$E$376</formula1>
    </dataValidation>
    <dataValidation type="list" allowBlank="1" showInputMessage="1" showErrorMessage="1" sqref="D94 D98:D99" xr:uid="{00000000-0002-0000-0500-00000B000000}">
      <formula1>$E$374:$E$385</formula1>
    </dataValidation>
    <dataValidation type="list" allowBlank="1" showInputMessage="1" showErrorMessage="1" sqref="D101 D71:D78 D86 D81:D83 D96:D97 D88:D89" xr:uid="{00000000-0002-0000-0500-00000C000000}">
      <formula1>$E$379:$E$390</formula1>
    </dataValidation>
    <dataValidation showDropDown="1" showInputMessage="1" showErrorMessage="1" sqref="D85" xr:uid="{00000000-0002-0000-0500-00000D000000}"/>
    <dataValidation showInputMessage="1" showErrorMessage="1" sqref="D79:D80" xr:uid="{00000000-0002-0000-0500-00000E000000}"/>
    <dataValidation type="list" allowBlank="1" showInputMessage="1" showErrorMessage="1" sqref="C43 C64:C86 C45:C62 C88:C101" xr:uid="{00000000-0002-0000-0500-00000F000000}">
      <formula1>$C$344:$C$348</formula1>
    </dataValidation>
    <dataValidation type="list" allowBlank="1" showInputMessage="1" showErrorMessage="1" sqref="B43 B64:B86 B45:B62 B88:B101" xr:uid="{00000000-0002-0000-0500-000010000000}">
      <formula1>$B$344:$B$348</formula1>
    </dataValidation>
    <dataValidation type="list" allowBlank="1" showInputMessage="1" showErrorMessage="1" sqref="A43 A64:A86 A45:A62 A88:A101" xr:uid="{00000000-0002-0000-0500-000011000000}">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4296875" defaultRowHeight="14.5" x14ac:dyDescent="0.35"/>
  <cols>
    <col min="1" max="1" width="30.453125" bestFit="1" customWidth="1"/>
    <col min="2" max="2" width="27.7265625" bestFit="1" customWidth="1"/>
    <col min="3" max="3" width="20.7265625" bestFit="1" customWidth="1"/>
    <col min="4" max="4" width="39.1796875" customWidth="1"/>
    <col min="5" max="5" width="44.453125" customWidth="1"/>
    <col min="6" max="6" width="42.1796875" customWidth="1"/>
    <col min="7" max="7" width="24.54296875" hidden="1" customWidth="1"/>
    <col min="8" max="8" width="19.26953125" hidden="1" customWidth="1"/>
    <col min="9" max="9" width="19.7265625" hidden="1" customWidth="1"/>
    <col min="10" max="10" width="20.26953125" hidden="1" customWidth="1"/>
    <col min="11" max="13" width="20.26953125" customWidth="1"/>
    <col min="14" max="14" width="35.54296875" customWidth="1"/>
    <col min="15" max="15" width="33.7265625" style="1" customWidth="1"/>
    <col min="16" max="16" width="42.453125" customWidth="1"/>
    <col min="17" max="19" width="42.453125" hidden="1" customWidth="1"/>
    <col min="20" max="20" width="30.453125" customWidth="1"/>
    <col min="21" max="21" width="21.7265625" customWidth="1"/>
    <col min="22" max="22" width="22.26953125" bestFit="1" customWidth="1"/>
    <col min="23" max="23" width="21.1796875" customWidth="1"/>
    <col min="24" max="24" width="23" style="127" customWidth="1"/>
    <col min="25" max="25" width="27.1796875" style="127" bestFit="1" customWidth="1"/>
    <col min="26" max="26" width="24.1796875" style="129" customWidth="1"/>
    <col min="27" max="27" width="11.54296875" style="128" bestFit="1" customWidth="1"/>
    <col min="28" max="28" width="28" bestFit="1" customWidth="1"/>
    <col min="29" max="29" width="21.453125" style="130" customWidth="1"/>
    <col min="43" max="43" width="19.81640625" bestFit="1" customWidth="1"/>
    <col min="44" max="44" width="18.54296875" bestFit="1" customWidth="1"/>
    <col min="45" max="45" width="11.54296875" bestFit="1" customWidth="1"/>
  </cols>
  <sheetData>
    <row r="1" spans="1:29" s="1" customFormat="1" ht="35.25" customHeight="1" x14ac:dyDescent="0.45">
      <c r="A1" s="305" t="s">
        <v>616</v>
      </c>
      <c r="F1" s="6"/>
      <c r="G1" s="6"/>
      <c r="H1" s="6"/>
      <c r="I1" s="6"/>
      <c r="J1" s="7"/>
      <c r="K1" s="8"/>
      <c r="L1" s="9"/>
      <c r="M1" s="9"/>
      <c r="N1" s="9"/>
      <c r="O1" s="10"/>
      <c r="P1" s="11"/>
      <c r="Q1" s="11"/>
      <c r="R1" s="11"/>
      <c r="S1" s="11"/>
      <c r="T1" s="10"/>
      <c r="X1" s="12"/>
      <c r="Y1" s="12">
        <f>+X1-X2</f>
        <v>0</v>
      </c>
      <c r="Z1" s="12"/>
      <c r="AA1" s="13"/>
    </row>
    <row r="2" spans="1:29" s="1" customFormat="1" ht="27.75" customHeight="1" x14ac:dyDescent="0.35">
      <c r="F2" s="8"/>
      <c r="G2" s="8"/>
      <c r="H2" s="8"/>
      <c r="I2" s="8"/>
      <c r="J2" s="14"/>
      <c r="K2" s="8"/>
      <c r="L2" s="9"/>
      <c r="M2" s="9"/>
      <c r="N2" s="9"/>
      <c r="O2" s="10"/>
      <c r="P2" s="11"/>
      <c r="Q2" s="11"/>
      <c r="R2" s="11"/>
      <c r="S2" s="11"/>
      <c r="T2" s="10"/>
      <c r="X2" s="12"/>
      <c r="Y2" s="12"/>
      <c r="Z2" s="12"/>
      <c r="AA2" s="13"/>
    </row>
    <row r="3" spans="1:29" s="1" customFormat="1" ht="20.25" customHeight="1" x14ac:dyDescent="0.35">
      <c r="F3" s="15"/>
      <c r="G3" s="1446" t="s">
        <v>3</v>
      </c>
      <c r="H3" s="1446"/>
      <c r="I3" s="1446"/>
      <c r="J3" s="16"/>
      <c r="K3" s="16"/>
      <c r="L3" s="1446" t="s">
        <v>4</v>
      </c>
      <c r="M3" s="1446"/>
      <c r="N3" s="1446"/>
      <c r="O3" s="17"/>
      <c r="P3" s="18" t="s">
        <v>5</v>
      </c>
      <c r="Q3" s="548"/>
      <c r="R3" s="548"/>
      <c r="S3" s="548"/>
      <c r="T3" s="19" t="s">
        <v>7</v>
      </c>
      <c r="X3" s="12"/>
      <c r="Y3" s="12"/>
      <c r="Z3" s="12"/>
      <c r="AA3" s="13"/>
    </row>
    <row r="4" spans="1:29" s="1" customFormat="1" x14ac:dyDescent="0.35">
      <c r="F4" s="15"/>
      <c r="G4" s="436"/>
      <c r="H4" s="436"/>
      <c r="I4" s="436"/>
      <c r="J4" s="15"/>
      <c r="K4" s="15"/>
      <c r="L4" s="436"/>
      <c r="M4" s="436"/>
      <c r="N4" s="436"/>
      <c r="O4" s="303"/>
      <c r="P4" s="304"/>
      <c r="Q4" s="548"/>
      <c r="R4" s="548"/>
      <c r="S4" s="548"/>
      <c r="T4" s="19"/>
      <c r="X4" s="12"/>
      <c r="Y4" s="12"/>
      <c r="Z4" s="12"/>
      <c r="AA4" s="13"/>
    </row>
    <row r="5" spans="1:29" s="29" customFormat="1" ht="45" customHeight="1" x14ac:dyDescent="0.35">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x14ac:dyDescent="0.35">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x14ac:dyDescent="0.3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x14ac:dyDescent="0.3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x14ac:dyDescent="0.3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x14ac:dyDescent="0.3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x14ac:dyDescent="0.3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x14ac:dyDescent="0.3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x14ac:dyDescent="0.3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x14ac:dyDescent="0.3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x14ac:dyDescent="0.3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x14ac:dyDescent="0.3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x14ac:dyDescent="0.3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3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x14ac:dyDescent="0.3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3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x14ac:dyDescent="0.35">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x14ac:dyDescent="0.3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x14ac:dyDescent="0.3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x14ac:dyDescent="0.3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x14ac:dyDescent="0.3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400000000000006" customHeight="1" thickBot="1" x14ac:dyDescent="0.4">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400000000000006" customHeight="1" thickBot="1" x14ac:dyDescent="0.4">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400000000000006" customHeight="1" thickBot="1" x14ac:dyDescent="0.4">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400000000000006" customHeight="1" thickBot="1" x14ac:dyDescent="0.4">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400000000000006" customHeight="1" thickBot="1" x14ac:dyDescent="0.4">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400000000000006" customHeight="1" thickBot="1" x14ac:dyDescent="0.4">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x14ac:dyDescent="0.4">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x14ac:dyDescent="0.4">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x14ac:dyDescent="0.4">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x14ac:dyDescent="0.4">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x14ac:dyDescent="0.4">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x14ac:dyDescent="0.4">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400000000000006" customHeight="1" thickBot="1" x14ac:dyDescent="0.4">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400000000000006" customHeight="1" thickBot="1" x14ac:dyDescent="0.4">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400000000000006" customHeight="1" thickBot="1" x14ac:dyDescent="0.4">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x14ac:dyDescent="0.4">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400000000000006" customHeight="1" thickBot="1" x14ac:dyDescent="0.4">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x14ac:dyDescent="0.3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x14ac:dyDescent="0.3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x14ac:dyDescent="0.3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x14ac:dyDescent="0.3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400000000000006" customHeight="1" x14ac:dyDescent="0.3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400000000000006" customHeight="1" x14ac:dyDescent="0.3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400000000000006" customHeight="1" x14ac:dyDescent="0.3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400000000000006" customHeight="1" x14ac:dyDescent="0.3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x14ac:dyDescent="0.3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x14ac:dyDescent="0.3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400000000000006" customHeight="1" x14ac:dyDescent="0.3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08.5" x14ac:dyDescent="0.3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17" x14ac:dyDescent="0.3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08.5" x14ac:dyDescent="0.3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08.5" x14ac:dyDescent="0.3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4" x14ac:dyDescent="0.3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4" x14ac:dyDescent="0.3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400000000000006" customHeight="1" x14ac:dyDescent="0.3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400000000000006" customHeight="1" x14ac:dyDescent="0.3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400000000000006" customHeight="1" x14ac:dyDescent="0.3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400000000000006" customHeight="1" x14ac:dyDescent="0.3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400000000000006" customHeight="1" x14ac:dyDescent="0.3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400000000000006" customHeight="1" x14ac:dyDescent="0.3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x14ac:dyDescent="0.3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x14ac:dyDescent="0.3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400000000000006" customHeight="1" x14ac:dyDescent="0.3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400000000000006" customHeight="1" x14ac:dyDescent="0.3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400000000000006" customHeight="1" x14ac:dyDescent="0.3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400000000000006" customHeight="1" x14ac:dyDescent="0.3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400000000000006" customHeight="1" x14ac:dyDescent="0.3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x14ac:dyDescent="0.3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400000000000006" customHeight="1" x14ac:dyDescent="0.3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400000000000006" customHeight="1" x14ac:dyDescent="0.3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400000000000006" customHeight="1" x14ac:dyDescent="0.3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400000000000006" customHeight="1" x14ac:dyDescent="0.3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400000000000006" customHeight="1" x14ac:dyDescent="0.35">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400000000000006" customHeight="1" x14ac:dyDescent="0.3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400000000000006" customHeight="1" x14ac:dyDescent="0.3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400000000000006" customHeight="1" x14ac:dyDescent="0.3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400000000000006" customHeight="1" x14ac:dyDescent="0.35">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400000000000006" customHeight="1" x14ac:dyDescent="0.3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x14ac:dyDescent="0.3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400000000000006" customHeight="1" x14ac:dyDescent="0.3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400000000000006" customHeight="1" x14ac:dyDescent="0.3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400000000000006" customHeight="1" x14ac:dyDescent="0.3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400000000000006" customHeight="1" x14ac:dyDescent="0.3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400000000000006" customHeight="1" x14ac:dyDescent="0.3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400000000000006" customHeight="1" x14ac:dyDescent="0.3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400000000000006" customHeight="1" x14ac:dyDescent="0.3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400000000000006" customHeight="1" x14ac:dyDescent="0.3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400000000000006" customHeight="1" x14ac:dyDescent="0.3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400000000000006" customHeight="1" x14ac:dyDescent="0.3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400000000000006" customHeight="1" x14ac:dyDescent="0.3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400000000000006" customHeight="1" x14ac:dyDescent="0.3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400000000000006" customHeight="1" x14ac:dyDescent="0.3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35">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400000000000006" customHeight="1" x14ac:dyDescent="0.35">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400000000000006" customHeight="1" x14ac:dyDescent="0.35">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400000000000006" customHeight="1" x14ac:dyDescent="0.3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5" x14ac:dyDescent="0.35">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400000000000006" customHeight="1" x14ac:dyDescent="0.35">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x14ac:dyDescent="0.35">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x14ac:dyDescent="0.35">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x14ac:dyDescent="0.35">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35">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35">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x14ac:dyDescent="0.35">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35">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35">
      <c r="O111"/>
      <c r="X111" s="442"/>
      <c r="Z111" s="443"/>
      <c r="AB111" s="3"/>
    </row>
    <row r="112" spans="1:45" x14ac:dyDescent="0.35">
      <c r="O112"/>
      <c r="X112" s="442"/>
      <c r="Z112" s="443"/>
      <c r="AB112" s="3"/>
    </row>
    <row r="113" spans="1:45" s="127" customFormat="1" x14ac:dyDescent="0.35">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35">
      <c r="O114"/>
      <c r="X114" s="442"/>
      <c r="Z114" s="443"/>
    </row>
    <row r="115" spans="1:45" x14ac:dyDescent="0.35">
      <c r="O115"/>
      <c r="X115" s="442"/>
      <c r="Z115" s="443"/>
    </row>
    <row r="116" spans="1:45" x14ac:dyDescent="0.35">
      <c r="O116"/>
      <c r="X116" s="442"/>
      <c r="Z116" s="443"/>
    </row>
    <row r="117" spans="1:45" x14ac:dyDescent="0.35">
      <c r="O117"/>
      <c r="X117" s="442"/>
      <c r="Z117" s="443"/>
    </row>
    <row r="118" spans="1:45" x14ac:dyDescent="0.35">
      <c r="O118"/>
      <c r="X118" s="442"/>
      <c r="Z118" s="443"/>
    </row>
    <row r="119" spans="1:45" x14ac:dyDescent="0.35">
      <c r="O119"/>
      <c r="X119" s="442"/>
      <c r="Z119" s="443"/>
    </row>
    <row r="120" spans="1:45" x14ac:dyDescent="0.35">
      <c r="O120"/>
      <c r="X120" s="442"/>
      <c r="Z120" s="443"/>
    </row>
    <row r="121" spans="1:45" x14ac:dyDescent="0.35">
      <c r="O121"/>
      <c r="X121" s="442"/>
      <c r="Z121" s="443"/>
    </row>
    <row r="122" spans="1:45" x14ac:dyDescent="0.35">
      <c r="O122"/>
      <c r="X122" s="442"/>
      <c r="Z122" s="443"/>
    </row>
    <row r="123" spans="1:45" x14ac:dyDescent="0.35">
      <c r="O123"/>
      <c r="X123" s="442"/>
      <c r="Z123" s="443"/>
    </row>
    <row r="124" spans="1:45" x14ac:dyDescent="0.35">
      <c r="O124"/>
      <c r="X124" s="442"/>
    </row>
    <row r="125" spans="1:45" x14ac:dyDescent="0.35">
      <c r="O125"/>
      <c r="X125" s="442"/>
    </row>
    <row r="126" spans="1:45" x14ac:dyDescent="0.35">
      <c r="O126"/>
      <c r="X126" s="442"/>
    </row>
    <row r="127" spans="1:45" x14ac:dyDescent="0.35">
      <c r="O127"/>
      <c r="X127" s="442"/>
    </row>
    <row r="128" spans="1:45" x14ac:dyDescent="0.35">
      <c r="O128"/>
      <c r="X128" s="442"/>
    </row>
    <row r="129" spans="15:24" x14ac:dyDescent="0.35">
      <c r="O129"/>
      <c r="X129" s="442"/>
    </row>
    <row r="130" spans="15:24" x14ac:dyDescent="0.35">
      <c r="O130"/>
      <c r="X130" s="442"/>
    </row>
    <row r="131" spans="15:24" x14ac:dyDescent="0.35">
      <c r="O131"/>
      <c r="X131" s="442"/>
    </row>
    <row r="132" spans="15:24" x14ac:dyDescent="0.35">
      <c r="O132"/>
      <c r="X132" s="442"/>
    </row>
    <row r="133" spans="15:24" x14ac:dyDescent="0.35">
      <c r="O133"/>
      <c r="X133" s="442"/>
    </row>
    <row r="134" spans="15:24" x14ac:dyDescent="0.35">
      <c r="O134"/>
      <c r="X134" s="442"/>
    </row>
    <row r="135" spans="15:24" x14ac:dyDescent="0.35">
      <c r="O135"/>
      <c r="X135" s="442"/>
    </row>
    <row r="136" spans="15:24" x14ac:dyDescent="0.35">
      <c r="O136"/>
      <c r="X136" s="442"/>
    </row>
    <row r="137" spans="15:24" x14ac:dyDescent="0.35">
      <c r="O137"/>
      <c r="X137" s="442"/>
    </row>
    <row r="138" spans="15:24" x14ac:dyDescent="0.35">
      <c r="O138"/>
      <c r="X138" s="442"/>
    </row>
    <row r="139" spans="15:24" x14ac:dyDescent="0.35">
      <c r="O139"/>
      <c r="X139" s="442"/>
    </row>
    <row r="140" spans="15:24" x14ac:dyDescent="0.35">
      <c r="O140"/>
      <c r="X140" s="442"/>
    </row>
    <row r="141" spans="15:24" x14ac:dyDescent="0.35">
      <c r="O141"/>
      <c r="X141" s="442"/>
    </row>
    <row r="142" spans="15:24" x14ac:dyDescent="0.35">
      <c r="O142"/>
      <c r="X142" s="442"/>
    </row>
    <row r="143" spans="15:24" x14ac:dyDescent="0.35">
      <c r="O143"/>
      <c r="X143" s="442"/>
    </row>
    <row r="144" spans="15:24" x14ac:dyDescent="0.35">
      <c r="O144"/>
      <c r="X144" s="442"/>
    </row>
    <row r="145" spans="15:24" x14ac:dyDescent="0.35">
      <c r="O145"/>
      <c r="X145" s="442"/>
    </row>
    <row r="146" spans="15:24" x14ac:dyDescent="0.35">
      <c r="O146"/>
      <c r="X146" s="442"/>
    </row>
    <row r="147" spans="15:24" x14ac:dyDescent="0.35">
      <c r="O147"/>
      <c r="X147" s="442"/>
    </row>
    <row r="148" spans="15:24" x14ac:dyDescent="0.35">
      <c r="O148"/>
      <c r="X148" s="442"/>
    </row>
    <row r="149" spans="15:24" x14ac:dyDescent="0.35">
      <c r="O149"/>
    </row>
    <row r="150" spans="15:24" x14ac:dyDescent="0.35">
      <c r="O150"/>
    </row>
    <row r="151" spans="15:24" x14ac:dyDescent="0.35">
      <c r="O151"/>
    </row>
    <row r="152" spans="15:24" x14ac:dyDescent="0.35">
      <c r="O152"/>
    </row>
    <row r="153" spans="15:24" x14ac:dyDescent="0.35">
      <c r="O153"/>
    </row>
    <row r="154" spans="15:24" x14ac:dyDescent="0.35">
      <c r="O154"/>
    </row>
    <row r="155" spans="15:24" x14ac:dyDescent="0.35">
      <c r="O155"/>
    </row>
    <row r="156" spans="15:24" x14ac:dyDescent="0.35">
      <c r="O156"/>
    </row>
    <row r="157" spans="15:24" x14ac:dyDescent="0.35">
      <c r="O157"/>
    </row>
    <row r="158" spans="15:24" x14ac:dyDescent="0.35">
      <c r="O158"/>
    </row>
    <row r="159" spans="15:24" x14ac:dyDescent="0.35">
      <c r="O159"/>
    </row>
    <row r="160" spans="15:24" x14ac:dyDescent="0.35">
      <c r="O160"/>
    </row>
    <row r="161" spans="15:15" x14ac:dyDescent="0.35">
      <c r="O161"/>
    </row>
    <row r="162" spans="15:15" x14ac:dyDescent="0.35">
      <c r="O162"/>
    </row>
    <row r="163" spans="15:15" x14ac:dyDescent="0.35">
      <c r="O163"/>
    </row>
    <row r="164" spans="15:15" x14ac:dyDescent="0.35">
      <c r="O164"/>
    </row>
    <row r="165" spans="15:15" x14ac:dyDescent="0.35">
      <c r="O165"/>
    </row>
    <row r="166" spans="15:15" x14ac:dyDescent="0.35">
      <c r="O166"/>
    </row>
    <row r="167" spans="15:15" x14ac:dyDescent="0.35">
      <c r="O167"/>
    </row>
    <row r="168" spans="15:15" x14ac:dyDescent="0.35">
      <c r="O168"/>
    </row>
    <row r="169" spans="15:15" x14ac:dyDescent="0.35">
      <c r="O169"/>
    </row>
    <row r="170" spans="15:15" x14ac:dyDescent="0.35">
      <c r="O170"/>
    </row>
    <row r="171" spans="15:15" x14ac:dyDescent="0.35">
      <c r="O171"/>
    </row>
    <row r="172" spans="15:15" x14ac:dyDescent="0.35">
      <c r="O172"/>
    </row>
    <row r="173" spans="15:15" x14ac:dyDescent="0.35">
      <c r="O173"/>
    </row>
    <row r="174" spans="15:15" x14ac:dyDescent="0.35">
      <c r="O174"/>
    </row>
    <row r="175" spans="15:15" x14ac:dyDescent="0.35">
      <c r="O175"/>
    </row>
    <row r="176" spans="15:15" x14ac:dyDescent="0.35">
      <c r="O176"/>
    </row>
    <row r="177" spans="15:15" x14ac:dyDescent="0.35">
      <c r="O177"/>
    </row>
    <row r="178" spans="15:15" x14ac:dyDescent="0.35">
      <c r="O178"/>
    </row>
    <row r="179" spans="15:15" x14ac:dyDescent="0.35">
      <c r="O179"/>
    </row>
    <row r="180" spans="15:15" x14ac:dyDescent="0.35">
      <c r="O180"/>
    </row>
    <row r="181" spans="15:15" x14ac:dyDescent="0.35">
      <c r="O181"/>
    </row>
    <row r="182" spans="15:15" x14ac:dyDescent="0.35">
      <c r="O182"/>
    </row>
    <row r="183" spans="15:15" x14ac:dyDescent="0.35">
      <c r="O183"/>
    </row>
    <row r="184" spans="15:15" x14ac:dyDescent="0.35">
      <c r="O184"/>
    </row>
    <row r="185" spans="15:15" x14ac:dyDescent="0.35">
      <c r="O185"/>
    </row>
    <row r="186" spans="15:15" x14ac:dyDescent="0.35">
      <c r="O186"/>
    </row>
    <row r="187" spans="15:15" x14ac:dyDescent="0.35">
      <c r="O187"/>
    </row>
    <row r="188" spans="15:15" x14ac:dyDescent="0.35">
      <c r="O188"/>
    </row>
    <row r="189" spans="15:15" x14ac:dyDescent="0.35">
      <c r="O189"/>
    </row>
    <row r="190" spans="15:15" x14ac:dyDescent="0.35">
      <c r="O190"/>
    </row>
    <row r="191" spans="15:15" x14ac:dyDescent="0.35">
      <c r="O191"/>
    </row>
    <row r="192" spans="15:15" x14ac:dyDescent="0.35">
      <c r="O192"/>
    </row>
    <row r="193" spans="15:15" x14ac:dyDescent="0.35">
      <c r="O193"/>
    </row>
    <row r="194" spans="15:15" x14ac:dyDescent="0.35">
      <c r="O194"/>
    </row>
    <row r="195" spans="15:15" x14ac:dyDescent="0.35">
      <c r="O195"/>
    </row>
    <row r="196" spans="15:15" x14ac:dyDescent="0.35">
      <c r="O196"/>
    </row>
    <row r="197" spans="15:15" x14ac:dyDescent="0.35">
      <c r="O197"/>
    </row>
    <row r="198" spans="15:15" x14ac:dyDescent="0.35">
      <c r="O198"/>
    </row>
    <row r="199" spans="15:15" x14ac:dyDescent="0.35">
      <c r="O199"/>
    </row>
    <row r="200" spans="15:15" x14ac:dyDescent="0.35">
      <c r="O200"/>
    </row>
    <row r="201" spans="15:15" x14ac:dyDescent="0.35">
      <c r="O201"/>
    </row>
    <row r="202" spans="15:15" x14ac:dyDescent="0.35">
      <c r="O202"/>
    </row>
    <row r="203" spans="15:15" x14ac:dyDescent="0.35">
      <c r="O203"/>
    </row>
    <row r="204" spans="15:15" x14ac:dyDescent="0.35">
      <c r="O204"/>
    </row>
    <row r="205" spans="15:15" x14ac:dyDescent="0.35">
      <c r="O205"/>
    </row>
    <row r="206" spans="15:15" x14ac:dyDescent="0.35">
      <c r="O206"/>
    </row>
    <row r="207" spans="15:15" x14ac:dyDescent="0.35">
      <c r="O207"/>
    </row>
    <row r="208" spans="15:15" x14ac:dyDescent="0.35">
      <c r="O208"/>
    </row>
    <row r="209" spans="15:15" x14ac:dyDescent="0.35">
      <c r="O209"/>
    </row>
    <row r="210" spans="15:15" x14ac:dyDescent="0.35">
      <c r="O210"/>
    </row>
    <row r="211" spans="15:15" x14ac:dyDescent="0.35">
      <c r="O211"/>
    </row>
    <row r="212" spans="15:15" x14ac:dyDescent="0.35">
      <c r="O212"/>
    </row>
    <row r="213" spans="15:15" x14ac:dyDescent="0.35">
      <c r="O213"/>
    </row>
    <row r="214" spans="15:15" x14ac:dyDescent="0.35">
      <c r="O214"/>
    </row>
    <row r="215" spans="15:15" x14ac:dyDescent="0.35">
      <c r="O215"/>
    </row>
    <row r="216" spans="15:15" x14ac:dyDescent="0.35">
      <c r="O216"/>
    </row>
    <row r="217" spans="15:15" x14ac:dyDescent="0.35">
      <c r="O217"/>
    </row>
    <row r="218" spans="15:15" x14ac:dyDescent="0.35">
      <c r="O218"/>
    </row>
    <row r="219" spans="15:15" x14ac:dyDescent="0.35">
      <c r="O219"/>
    </row>
    <row r="220" spans="15:15" x14ac:dyDescent="0.35">
      <c r="O220"/>
    </row>
    <row r="221" spans="15:15" x14ac:dyDescent="0.35">
      <c r="O221"/>
    </row>
    <row r="222" spans="15:15" x14ac:dyDescent="0.35">
      <c r="O222"/>
    </row>
    <row r="223" spans="15:15" x14ac:dyDescent="0.35">
      <c r="O223"/>
    </row>
    <row r="224" spans="15:15" x14ac:dyDescent="0.35">
      <c r="O224"/>
    </row>
    <row r="225" spans="15:15" x14ac:dyDescent="0.35">
      <c r="O225"/>
    </row>
    <row r="226" spans="15:15" x14ac:dyDescent="0.35">
      <c r="O226"/>
    </row>
    <row r="227" spans="15:15" x14ac:dyDescent="0.35">
      <c r="O227"/>
    </row>
    <row r="228" spans="15:15" x14ac:dyDescent="0.35">
      <c r="O228"/>
    </row>
    <row r="229" spans="15:15" x14ac:dyDescent="0.35">
      <c r="O229"/>
    </row>
    <row r="230" spans="15:15" x14ac:dyDescent="0.35">
      <c r="O230"/>
    </row>
    <row r="231" spans="15:15" x14ac:dyDescent="0.35">
      <c r="O231"/>
    </row>
    <row r="232" spans="15:15" x14ac:dyDescent="0.35">
      <c r="O232"/>
    </row>
    <row r="233" spans="15:15" x14ac:dyDescent="0.35">
      <c r="O233"/>
    </row>
    <row r="234" spans="15:15" x14ac:dyDescent="0.35">
      <c r="O234"/>
    </row>
    <row r="235" spans="15:15" x14ac:dyDescent="0.35">
      <c r="O235"/>
    </row>
    <row r="236" spans="15:15" x14ac:dyDescent="0.35">
      <c r="O236"/>
    </row>
    <row r="237" spans="15:15" x14ac:dyDescent="0.35">
      <c r="O237"/>
    </row>
    <row r="238" spans="15:15" x14ac:dyDescent="0.35">
      <c r="O238"/>
    </row>
    <row r="239" spans="15:15" x14ac:dyDescent="0.35">
      <c r="O239"/>
    </row>
    <row r="240" spans="15:15" x14ac:dyDescent="0.35">
      <c r="O240"/>
    </row>
    <row r="241" spans="15:15" x14ac:dyDescent="0.35">
      <c r="O241"/>
    </row>
    <row r="242" spans="15:15" x14ac:dyDescent="0.35">
      <c r="O242"/>
    </row>
    <row r="243" spans="15:15" x14ac:dyDescent="0.35">
      <c r="O243"/>
    </row>
    <row r="244" spans="15:15" x14ac:dyDescent="0.35">
      <c r="O244"/>
    </row>
    <row r="245" spans="15:15" x14ac:dyDescent="0.35">
      <c r="O245"/>
    </row>
    <row r="246" spans="15:15" x14ac:dyDescent="0.35">
      <c r="O246"/>
    </row>
    <row r="247" spans="15:15" x14ac:dyDescent="0.35">
      <c r="O247"/>
    </row>
    <row r="248" spans="15:15" x14ac:dyDescent="0.35">
      <c r="O248"/>
    </row>
    <row r="249" spans="15:15" x14ac:dyDescent="0.35">
      <c r="O249"/>
    </row>
    <row r="250" spans="15:15" x14ac:dyDescent="0.35">
      <c r="O250"/>
    </row>
    <row r="251" spans="15:15" x14ac:dyDescent="0.35">
      <c r="O251"/>
    </row>
    <row r="252" spans="15:15" x14ac:dyDescent="0.35">
      <c r="O252"/>
    </row>
    <row r="253" spans="15:15" x14ac:dyDescent="0.35">
      <c r="O253"/>
    </row>
    <row r="254" spans="15:15" x14ac:dyDescent="0.35">
      <c r="O254"/>
    </row>
    <row r="255" spans="15:15" x14ac:dyDescent="0.35">
      <c r="O255"/>
    </row>
    <row r="256" spans="15:15" x14ac:dyDescent="0.35">
      <c r="O256"/>
    </row>
    <row r="257" spans="15:15" x14ac:dyDescent="0.35">
      <c r="O257"/>
    </row>
    <row r="258" spans="15:15" x14ac:dyDescent="0.35">
      <c r="O258"/>
    </row>
    <row r="259" spans="15:15" x14ac:dyDescent="0.35">
      <c r="O259"/>
    </row>
    <row r="260" spans="15:15" x14ac:dyDescent="0.35">
      <c r="O260"/>
    </row>
    <row r="261" spans="15:15" x14ac:dyDescent="0.35">
      <c r="O261"/>
    </row>
    <row r="262" spans="15:15" x14ac:dyDescent="0.35">
      <c r="O262"/>
    </row>
    <row r="263" spans="15:15" x14ac:dyDescent="0.35">
      <c r="O263"/>
    </row>
    <row r="264" spans="15:15" x14ac:dyDescent="0.35">
      <c r="O264"/>
    </row>
    <row r="265" spans="15:15" x14ac:dyDescent="0.35">
      <c r="O265"/>
    </row>
    <row r="266" spans="15:15" x14ac:dyDescent="0.35">
      <c r="O266"/>
    </row>
    <row r="267" spans="15:15" x14ac:dyDescent="0.35">
      <c r="O267"/>
    </row>
    <row r="268" spans="15:15" x14ac:dyDescent="0.35">
      <c r="O268"/>
    </row>
    <row r="269" spans="15:15" x14ac:dyDescent="0.35">
      <c r="O269"/>
    </row>
    <row r="270" spans="15:15" x14ac:dyDescent="0.35">
      <c r="O270"/>
    </row>
    <row r="271" spans="15:15" x14ac:dyDescent="0.35">
      <c r="O271"/>
    </row>
    <row r="272" spans="15:15" x14ac:dyDescent="0.35">
      <c r="O272"/>
    </row>
    <row r="273" spans="15:15" x14ac:dyDescent="0.35">
      <c r="O273"/>
    </row>
    <row r="274" spans="15:15" x14ac:dyDescent="0.35">
      <c r="O274"/>
    </row>
    <row r="275" spans="15:15" x14ac:dyDescent="0.35">
      <c r="O275"/>
    </row>
    <row r="276" spans="15:15" x14ac:dyDescent="0.35">
      <c r="O276"/>
    </row>
    <row r="277" spans="15:15" x14ac:dyDescent="0.35">
      <c r="O277"/>
    </row>
    <row r="278" spans="15:15" x14ac:dyDescent="0.35">
      <c r="O278"/>
    </row>
    <row r="279" spans="15:15" x14ac:dyDescent="0.35">
      <c r="O279"/>
    </row>
    <row r="280" spans="15:15" x14ac:dyDescent="0.35">
      <c r="O280"/>
    </row>
    <row r="281" spans="15:15" x14ac:dyDescent="0.35">
      <c r="O281"/>
    </row>
    <row r="282" spans="15:15" x14ac:dyDescent="0.35">
      <c r="O282"/>
    </row>
    <row r="283" spans="15:15" x14ac:dyDescent="0.35">
      <c r="O283"/>
    </row>
    <row r="284" spans="15:15" x14ac:dyDescent="0.35">
      <c r="O284"/>
    </row>
    <row r="285" spans="15:15" x14ac:dyDescent="0.35">
      <c r="O285"/>
    </row>
    <row r="286" spans="15:15" x14ac:dyDescent="0.35">
      <c r="O286"/>
    </row>
    <row r="287" spans="15:15" x14ac:dyDescent="0.35">
      <c r="O287"/>
    </row>
    <row r="288" spans="15:15" x14ac:dyDescent="0.35">
      <c r="O288"/>
    </row>
    <row r="289" spans="15:15" x14ac:dyDescent="0.35">
      <c r="O289"/>
    </row>
    <row r="290" spans="15:15" x14ac:dyDescent="0.35">
      <c r="O290"/>
    </row>
    <row r="291" spans="15:15" x14ac:dyDescent="0.35">
      <c r="O291"/>
    </row>
    <row r="292" spans="15:15" x14ac:dyDescent="0.35">
      <c r="O292"/>
    </row>
    <row r="293" spans="15:15" x14ac:dyDescent="0.35">
      <c r="O293"/>
    </row>
    <row r="294" spans="15:15" x14ac:dyDescent="0.35">
      <c r="O294"/>
    </row>
    <row r="295" spans="15:15" x14ac:dyDescent="0.35">
      <c r="O295"/>
    </row>
    <row r="296" spans="15:15" x14ac:dyDescent="0.35">
      <c r="O296"/>
    </row>
    <row r="297" spans="15:15" x14ac:dyDescent="0.35">
      <c r="O297"/>
    </row>
    <row r="298" spans="15:15" x14ac:dyDescent="0.35">
      <c r="O298"/>
    </row>
    <row r="299" spans="15:15" x14ac:dyDescent="0.35">
      <c r="O299"/>
    </row>
    <row r="300" spans="15:15" x14ac:dyDescent="0.35">
      <c r="O300"/>
    </row>
    <row r="301" spans="15:15" x14ac:dyDescent="0.35">
      <c r="O301"/>
    </row>
    <row r="302" spans="15:15" x14ac:dyDescent="0.35">
      <c r="O302"/>
    </row>
    <row r="303" spans="15:15" x14ac:dyDescent="0.35">
      <c r="O303"/>
    </row>
    <row r="304" spans="15:15" x14ac:dyDescent="0.35">
      <c r="O304"/>
    </row>
    <row r="305" spans="15:15" x14ac:dyDescent="0.35">
      <c r="O305"/>
    </row>
    <row r="306" spans="15:15" x14ac:dyDescent="0.35">
      <c r="O306"/>
    </row>
    <row r="307" spans="15:15" x14ac:dyDescent="0.35">
      <c r="O307"/>
    </row>
    <row r="308" spans="15:15" x14ac:dyDescent="0.35">
      <c r="O308"/>
    </row>
    <row r="309" spans="15:15" x14ac:dyDescent="0.35">
      <c r="O309"/>
    </row>
    <row r="310" spans="15:15" x14ac:dyDescent="0.35">
      <c r="O310"/>
    </row>
    <row r="311" spans="15:15" x14ac:dyDescent="0.35">
      <c r="O311"/>
    </row>
    <row r="312" spans="15:15" x14ac:dyDescent="0.35">
      <c r="O312"/>
    </row>
    <row r="313" spans="15:15" x14ac:dyDescent="0.35">
      <c r="O313"/>
    </row>
    <row r="314" spans="15:15" x14ac:dyDescent="0.35">
      <c r="O314"/>
    </row>
    <row r="315" spans="15:15" x14ac:dyDescent="0.35">
      <c r="O315"/>
    </row>
    <row r="316" spans="15:15" x14ac:dyDescent="0.35">
      <c r="O316"/>
    </row>
    <row r="317" spans="15:15" x14ac:dyDescent="0.35">
      <c r="O317"/>
    </row>
    <row r="318" spans="15:15" x14ac:dyDescent="0.35">
      <c r="O318"/>
    </row>
    <row r="319" spans="15:15" x14ac:dyDescent="0.35">
      <c r="O319"/>
    </row>
    <row r="320" spans="15:15" x14ac:dyDescent="0.35">
      <c r="O320"/>
    </row>
    <row r="321" spans="15:15" x14ac:dyDescent="0.35">
      <c r="O321"/>
    </row>
    <row r="322" spans="15:15" x14ac:dyDescent="0.35">
      <c r="O322"/>
    </row>
    <row r="323" spans="15:15" x14ac:dyDescent="0.35">
      <c r="O323"/>
    </row>
    <row r="324" spans="15:15" x14ac:dyDescent="0.35">
      <c r="O324"/>
    </row>
    <row r="325" spans="15:15" x14ac:dyDescent="0.35">
      <c r="O325"/>
    </row>
    <row r="326" spans="15:15" x14ac:dyDescent="0.35">
      <c r="O326"/>
    </row>
    <row r="327" spans="15:15" x14ac:dyDescent="0.35">
      <c r="O327"/>
    </row>
    <row r="328" spans="15:15" x14ac:dyDescent="0.35">
      <c r="O328"/>
    </row>
    <row r="329" spans="15:15" x14ac:dyDescent="0.35">
      <c r="O329"/>
    </row>
    <row r="330" spans="15:15" x14ac:dyDescent="0.35">
      <c r="O330"/>
    </row>
    <row r="331" spans="15:15" x14ac:dyDescent="0.35">
      <c r="O331"/>
    </row>
    <row r="332" spans="15:15" x14ac:dyDescent="0.35">
      <c r="O332"/>
    </row>
    <row r="333" spans="15:15" x14ac:dyDescent="0.35">
      <c r="O333"/>
    </row>
    <row r="334" spans="15:15" x14ac:dyDescent="0.35">
      <c r="O334"/>
    </row>
    <row r="335" spans="15:15" x14ac:dyDescent="0.35">
      <c r="O335"/>
    </row>
    <row r="336" spans="15:15" x14ac:dyDescent="0.35">
      <c r="O336"/>
    </row>
  </sheetData>
  <autoFilter ref="A5:AC106" xr:uid="{00000000-0009-0000-0000-000006000000}"/>
  <mergeCells count="2">
    <mergeCell ref="G3:I3"/>
    <mergeCell ref="L3:N3"/>
  </mergeCells>
  <dataValidations count="18">
    <dataValidation type="list" allowBlank="1" showInputMessage="1" showErrorMessage="1" sqref="A43 A64:A86 A45:A62 A88:A101" xr:uid="{00000000-0002-0000-0600-000000000000}">
      <formula1>$A$344:$A$347</formula1>
    </dataValidation>
    <dataValidation type="list" allowBlank="1" showInputMessage="1" showErrorMessage="1" sqref="B43 B64:B86 B45:B62 B88:B101" xr:uid="{00000000-0002-0000-0600-000001000000}">
      <formula1>$B$344:$B$348</formula1>
    </dataValidation>
    <dataValidation type="list" allowBlank="1" showInputMessage="1" showErrorMessage="1" sqref="C43 C64:C86 C45:C62 C88:C101" xr:uid="{00000000-0002-0000-0600-000002000000}">
      <formula1>$C$344:$C$348</formula1>
    </dataValidation>
    <dataValidation showInputMessage="1" showErrorMessage="1" sqref="D79:D80" xr:uid="{00000000-0002-0000-0600-000003000000}"/>
    <dataValidation showDropDown="1" showInputMessage="1" showErrorMessage="1" sqref="D85" xr:uid="{00000000-0002-0000-0600-000004000000}"/>
    <dataValidation type="list" allowBlank="1" showInputMessage="1" showErrorMessage="1" sqref="D101 D71:D78 D86 D81:D83 D96:D97 D88:D89" xr:uid="{00000000-0002-0000-0600-000005000000}">
      <formula1>$E$379:$E$390</formula1>
    </dataValidation>
    <dataValidation type="list" allowBlank="1" showInputMessage="1" showErrorMessage="1" sqref="D94 D98:D99" xr:uid="{00000000-0002-0000-0600-000006000000}">
      <formula1>$E$374:$E$385</formula1>
    </dataValidation>
    <dataValidation type="list" allowBlank="1" showInputMessage="1" showErrorMessage="1" sqref="D84 D90:D93" xr:uid="{00000000-0002-0000-0600-000007000000}">
      <formula1>$E$365:$E$376</formula1>
    </dataValidation>
    <dataValidation type="list" allowBlank="1" showInputMessage="1" showErrorMessage="1" sqref="A44" xr:uid="{00000000-0002-0000-0600-000008000000}">
      <formula1>$A$348:$A$351</formula1>
    </dataValidation>
    <dataValidation type="list" allowBlank="1" showInputMessage="1" showErrorMessage="1" sqref="B44" xr:uid="{00000000-0002-0000-0600-000009000000}">
      <formula1>$B$348:$B$352</formula1>
    </dataValidation>
    <dataValidation type="list" allowBlank="1" showInputMessage="1" showErrorMessage="1" sqref="C44" xr:uid="{00000000-0002-0000-0600-00000A000000}">
      <formula1>$C$348:$C$352</formula1>
    </dataValidation>
    <dataValidation type="list" allowBlank="1" showInputMessage="1" showErrorMessage="1" sqref="A63" xr:uid="{00000000-0002-0000-0600-00000B000000}">
      <formula1>$A$347:$A$350</formula1>
    </dataValidation>
    <dataValidation type="list" allowBlank="1" showInputMessage="1" showErrorMessage="1" sqref="B63" xr:uid="{00000000-0002-0000-0600-00000C000000}">
      <formula1>$B$347:$B$351</formula1>
    </dataValidation>
    <dataValidation type="list" allowBlank="1" showInputMessage="1" showErrorMessage="1" sqref="C63" xr:uid="{00000000-0002-0000-0600-00000D000000}">
      <formula1>$C$347:$C$351</formula1>
    </dataValidation>
    <dataValidation type="list" allowBlank="1" showInputMessage="1" showErrorMessage="1" sqref="A87" xr:uid="{00000000-0002-0000-0600-00000E000000}">
      <formula1>$A$346:$A$349</formula1>
    </dataValidation>
    <dataValidation type="list" allowBlank="1" showInputMessage="1" showErrorMessage="1" sqref="B87" xr:uid="{00000000-0002-0000-0600-00000F000000}">
      <formula1>$B$346:$B$350</formula1>
    </dataValidation>
    <dataValidation type="list" allowBlank="1" showInputMessage="1" showErrorMessage="1" sqref="C87" xr:uid="{00000000-0002-0000-0600-000010000000}">
      <formula1>$C$346:$C$350</formula1>
    </dataValidation>
    <dataValidation type="list" allowBlank="1" showInputMessage="1" showErrorMessage="1" sqref="D87" xr:uid="{00000000-0002-0000-0600-000011000000}">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EX1137"/>
  <sheetViews>
    <sheetView tabSelected="1" zoomScale="70" zoomScaleNormal="70" workbookViewId="0">
      <selection activeCell="A3" sqref="A3:O3"/>
    </sheetView>
  </sheetViews>
  <sheetFormatPr baseColWidth="10" defaultColWidth="11.453125" defaultRowHeight="45" customHeight="1" x14ac:dyDescent="0.3"/>
  <cols>
    <col min="1" max="1" width="11.26953125" style="1318" bestFit="1" customWidth="1"/>
    <col min="2" max="2" width="22.54296875" style="1299" customWidth="1"/>
    <col min="3" max="3" width="28.81640625" style="1319" customWidth="1"/>
    <col min="4" max="4" width="20.26953125" style="1207" customWidth="1"/>
    <col min="5" max="5" width="22.453125" style="1300" customWidth="1"/>
    <col min="6" max="6" width="36.453125" style="1298" customWidth="1"/>
    <col min="7" max="7" width="23.7265625" style="1320" customWidth="1"/>
    <col min="8" max="8" width="26" style="1320" customWidth="1"/>
    <col min="9" max="9" width="22.7265625" style="1321" customWidth="1"/>
    <col min="10" max="10" width="25.7265625" style="1207" customWidth="1"/>
    <col min="11" max="11" width="18.1796875" style="1207" customWidth="1"/>
    <col min="12" max="12" width="30.81640625" style="1300" customWidth="1"/>
    <col min="13" max="13" width="28" style="1207" customWidth="1"/>
    <col min="14" max="14" width="42.7265625" style="1207" customWidth="1"/>
    <col min="15" max="15" width="30.7265625" style="1207" customWidth="1"/>
    <col min="16" max="16" width="19.26953125" style="1317" bestFit="1" customWidth="1"/>
    <col min="17" max="17" width="32.7265625" style="1317" hidden="1" customWidth="1"/>
    <col min="18" max="18" width="22.81640625" style="1317" hidden="1" customWidth="1"/>
    <col min="19" max="20" width="20.1796875" style="1317" hidden="1" customWidth="1"/>
    <col min="21" max="21" width="20.1796875" style="1350" hidden="1" customWidth="1"/>
    <col min="22" max="22" width="18.1796875" style="1350" hidden="1" customWidth="1"/>
    <col min="23" max="23" width="19.54296875" style="1317" hidden="1" customWidth="1"/>
    <col min="24" max="24" width="20.26953125" style="1317" hidden="1" customWidth="1"/>
    <col min="25" max="35" width="0" style="1317" hidden="1" customWidth="1"/>
    <col min="36" max="36" width="27.453125" style="1317" hidden="1" customWidth="1"/>
    <col min="37" max="37" width="78.7265625" style="1317" hidden="1" customWidth="1"/>
    <col min="38" max="38" width="36.1796875" style="1317" hidden="1" customWidth="1"/>
    <col min="39" max="39" width="57.81640625" style="1317" hidden="1" customWidth="1"/>
    <col min="40" max="40" width="70" style="1317" hidden="1" customWidth="1"/>
    <col min="41" max="41" width="103.54296875" style="1317" hidden="1" customWidth="1"/>
    <col min="42" max="42" width="230.453125" style="1317" hidden="1" customWidth="1"/>
    <col min="43" max="51" width="0" style="1317" hidden="1" customWidth="1"/>
    <col min="52" max="84" width="11.453125" style="1317"/>
    <col min="85" max="16384" width="11.453125" style="1207"/>
  </cols>
  <sheetData>
    <row r="1" spans="1:84" s="1159" customFormat="1" ht="15" customHeight="1" x14ac:dyDescent="0.35">
      <c r="A1" s="1448" t="s">
        <v>641</v>
      </c>
      <c r="B1" s="1448"/>
      <c r="C1" s="1448"/>
      <c r="D1" s="1448"/>
      <c r="E1" s="1448"/>
      <c r="F1" s="1448"/>
      <c r="G1" s="1448"/>
      <c r="H1" s="1448"/>
      <c r="I1" s="1448"/>
      <c r="J1" s="1448"/>
      <c r="K1" s="1448"/>
      <c r="L1" s="1448"/>
      <c r="M1" s="1158"/>
      <c r="N1" s="1158"/>
      <c r="O1" s="1158"/>
      <c r="P1" s="1314"/>
      <c r="Q1" s="1314"/>
      <c r="R1" s="1314"/>
      <c r="S1" s="1314"/>
      <c r="T1" s="1314"/>
      <c r="U1" s="1349"/>
      <c r="V1" s="1349"/>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row>
    <row r="2" spans="1:84" s="1159" customFormat="1" ht="15" customHeight="1" x14ac:dyDescent="0.35">
      <c r="A2" s="1448"/>
      <c r="B2" s="1448"/>
      <c r="C2" s="1448"/>
      <c r="D2" s="1448"/>
      <c r="E2" s="1448"/>
      <c r="F2" s="1448"/>
      <c r="G2" s="1448"/>
      <c r="H2" s="1448"/>
      <c r="I2" s="1448"/>
      <c r="J2" s="1448"/>
      <c r="K2" s="1448"/>
      <c r="L2" s="1448"/>
      <c r="M2" s="1158"/>
      <c r="N2" s="1158"/>
      <c r="O2" s="1158"/>
      <c r="P2" s="1314"/>
      <c r="Q2" s="1314"/>
      <c r="R2" s="1314"/>
      <c r="S2" s="1314"/>
      <c r="T2" s="1314"/>
      <c r="U2" s="1349"/>
      <c r="V2" s="1349"/>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row>
    <row r="3" spans="1:84" s="1159" customFormat="1" ht="15" customHeight="1" x14ac:dyDescent="0.35">
      <c r="A3" s="1158" t="s">
        <v>4678</v>
      </c>
      <c r="B3" s="1158"/>
      <c r="C3" s="1158"/>
      <c r="D3" s="1158"/>
      <c r="E3" s="1158"/>
      <c r="F3" s="1158"/>
      <c r="G3" s="1158"/>
      <c r="H3" s="1158"/>
      <c r="I3" s="1158"/>
      <c r="J3" s="1158"/>
      <c r="K3" s="1158"/>
      <c r="L3" s="1158"/>
      <c r="M3" s="1158"/>
      <c r="N3" s="1158"/>
      <c r="O3" s="1158"/>
      <c r="P3" s="1314"/>
      <c r="Q3" s="1314"/>
      <c r="R3" s="1314"/>
      <c r="S3" s="1314"/>
      <c r="T3" s="1314"/>
      <c r="U3" s="1349"/>
      <c r="V3" s="1349"/>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row>
    <row r="4" spans="1:84" s="1159" customFormat="1" ht="15" customHeight="1" x14ac:dyDescent="0.3">
      <c r="A4" s="1314"/>
      <c r="B4" s="1160"/>
      <c r="C4" s="1200"/>
      <c r="D4" s="1161"/>
      <c r="E4" s="1160"/>
      <c r="G4" s="1315"/>
      <c r="H4" s="1315"/>
      <c r="I4" s="1162"/>
      <c r="J4" s="1161"/>
      <c r="K4" s="1161"/>
      <c r="L4" s="1162"/>
      <c r="M4" s="1449" t="s">
        <v>4679</v>
      </c>
      <c r="N4" s="1449"/>
      <c r="P4" s="1314"/>
      <c r="Q4" s="1314"/>
      <c r="R4" s="1314"/>
      <c r="S4" s="1314"/>
      <c r="T4" s="1314"/>
      <c r="U4" s="1349"/>
      <c r="V4" s="1349"/>
      <c r="W4" s="1314"/>
      <c r="X4" s="1314"/>
      <c r="Y4" s="1314"/>
      <c r="Z4" s="1314"/>
      <c r="AA4" s="1314"/>
      <c r="AB4" s="1314"/>
      <c r="AC4" s="1314"/>
      <c r="AD4" s="1314"/>
      <c r="AE4" s="1314"/>
      <c r="AF4" s="1314"/>
      <c r="AG4" s="1314"/>
      <c r="AH4" s="1314"/>
      <c r="AI4" s="1314"/>
      <c r="AJ4" s="1317" t="s">
        <v>642</v>
      </c>
      <c r="AK4" s="1317"/>
      <c r="AL4" s="1317"/>
      <c r="AM4" s="1317"/>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row>
    <row r="5" spans="1:84" s="1159" customFormat="1" ht="15" customHeight="1" x14ac:dyDescent="0.3">
      <c r="A5" s="1316"/>
      <c r="B5" s="1164"/>
      <c r="C5" s="1200"/>
      <c r="D5" s="1163"/>
      <c r="E5" s="1160"/>
      <c r="G5" s="1315"/>
      <c r="H5" s="1315"/>
      <c r="I5" s="1160"/>
      <c r="K5" s="1353"/>
      <c r="L5" s="1166"/>
      <c r="M5" s="1343">
        <f>+SUBTOTAL(9,M7:M1132)</f>
        <v>7264088317</v>
      </c>
      <c r="N5" s="1168"/>
      <c r="O5" s="1168"/>
      <c r="P5" s="1354"/>
      <c r="Q5" s="1314"/>
      <c r="R5" s="1343"/>
      <c r="S5" s="1343">
        <f>+SUBTOTAL(9,S7:S1132)</f>
        <v>1549101355</v>
      </c>
      <c r="T5" s="1343"/>
      <c r="U5" s="1343">
        <f>+SUBTOTAL(9,U7:U1132)</f>
        <v>918905118</v>
      </c>
      <c r="V5" s="1343">
        <f>+SUBTOTAL(9,V7:V1132)</f>
        <v>455615117</v>
      </c>
      <c r="W5" s="1314"/>
      <c r="X5" s="1314"/>
      <c r="Y5" s="1314"/>
      <c r="Z5" s="1314"/>
      <c r="AA5" s="1314"/>
      <c r="AB5" s="1314"/>
      <c r="AC5" s="1314"/>
      <c r="AD5" s="1314"/>
      <c r="AE5" s="1314"/>
      <c r="AF5" s="1314"/>
      <c r="AG5" s="1314"/>
      <c r="AH5" s="1314"/>
      <c r="AI5" s="1314"/>
      <c r="AJ5" s="1317">
        <v>7637</v>
      </c>
      <c r="AK5" s="1317" t="s">
        <v>643</v>
      </c>
      <c r="AL5" s="1317" t="s">
        <v>644</v>
      </c>
      <c r="AM5" s="1317" t="s">
        <v>645</v>
      </c>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row>
    <row r="6" spans="1:84" s="1159" customFormat="1" ht="60" x14ac:dyDescent="0.3">
      <c r="A6" s="1169" t="s">
        <v>646</v>
      </c>
      <c r="B6" s="1169" t="s">
        <v>642</v>
      </c>
      <c r="C6" s="1169" t="s">
        <v>647</v>
      </c>
      <c r="D6" s="1169" t="s">
        <v>648</v>
      </c>
      <c r="E6" s="1169" t="s">
        <v>649</v>
      </c>
      <c r="F6" s="1169" t="s">
        <v>650</v>
      </c>
      <c r="G6" s="1169" t="s">
        <v>651</v>
      </c>
      <c r="H6" s="1169" t="s">
        <v>652</v>
      </c>
      <c r="I6" s="1169" t="s">
        <v>653</v>
      </c>
      <c r="J6" s="1169" t="s">
        <v>654</v>
      </c>
      <c r="K6" s="1169" t="s">
        <v>655</v>
      </c>
      <c r="L6" s="1171" t="s">
        <v>656</v>
      </c>
      <c r="M6" s="1169" t="s">
        <v>657</v>
      </c>
      <c r="N6" s="1169" t="s">
        <v>658</v>
      </c>
      <c r="O6" s="1169" t="s">
        <v>659</v>
      </c>
      <c r="P6" s="1169" t="s">
        <v>660</v>
      </c>
      <c r="Q6" s="1337" t="s">
        <v>661</v>
      </c>
      <c r="R6" s="1337" t="s">
        <v>662</v>
      </c>
      <c r="S6" s="1337" t="s">
        <v>663</v>
      </c>
      <c r="T6" s="1337" t="s">
        <v>664</v>
      </c>
      <c r="U6" s="1351" t="s">
        <v>665</v>
      </c>
      <c r="V6" s="1351" t="s">
        <v>666</v>
      </c>
      <c r="W6" s="1337" t="s">
        <v>667</v>
      </c>
      <c r="X6" s="1354">
        <f>+X5-V5</f>
        <v>-455615117</v>
      </c>
      <c r="Y6" s="1314"/>
      <c r="Z6" s="1314"/>
      <c r="AA6" s="1314"/>
      <c r="AB6" s="1314"/>
      <c r="AC6" s="1314"/>
      <c r="AD6" s="1314"/>
      <c r="AE6" s="1314"/>
      <c r="AF6" s="1314"/>
      <c r="AG6" s="1314"/>
      <c r="AH6" s="1314"/>
      <c r="AI6" s="1314"/>
      <c r="AJ6" s="1317">
        <v>7655</v>
      </c>
      <c r="AK6" s="1317" t="s">
        <v>668</v>
      </c>
      <c r="AL6" s="1317" t="s">
        <v>669</v>
      </c>
      <c r="AM6" s="1317" t="s">
        <v>670</v>
      </c>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row>
    <row r="7" spans="1:84" s="1159" customFormat="1" ht="45" customHeight="1" x14ac:dyDescent="0.3">
      <c r="A7" s="1398">
        <v>2022001</v>
      </c>
      <c r="B7" s="1399">
        <v>7637</v>
      </c>
      <c r="C7" s="1400" t="s">
        <v>643</v>
      </c>
      <c r="D7" s="1423" t="s">
        <v>671</v>
      </c>
      <c r="E7" s="1402">
        <v>80111600</v>
      </c>
      <c r="F7" s="1424" t="s">
        <v>672</v>
      </c>
      <c r="G7" s="1425">
        <v>44562</v>
      </c>
      <c r="H7" s="1425">
        <v>44592</v>
      </c>
      <c r="I7" s="1405">
        <v>11</v>
      </c>
      <c r="J7" s="1405" t="s">
        <v>673</v>
      </c>
      <c r="K7" s="1406" t="s">
        <v>674</v>
      </c>
      <c r="L7" s="1407" t="s">
        <v>675</v>
      </c>
      <c r="M7" s="1408">
        <f>70100000-43032640-20000000-7067360</f>
        <v>0</v>
      </c>
      <c r="N7" s="1419" t="s">
        <v>676</v>
      </c>
      <c r="O7" s="1402" t="s">
        <v>677</v>
      </c>
      <c r="P7" s="1432" t="s">
        <v>678</v>
      </c>
      <c r="R7" s="1269">
        <v>0</v>
      </c>
      <c r="S7" s="1269"/>
      <c r="T7" s="1269">
        <f>+Tabla16[[#This Row],[CDPS A 31 JULIO 2022]]-Tabla16[[#This Row],[CDP]]</f>
        <v>0</v>
      </c>
      <c r="U7" s="1269"/>
      <c r="V7" s="1269"/>
      <c r="W7" s="1375"/>
      <c r="AJ7" s="1207">
        <v>7658</v>
      </c>
      <c r="AK7" s="1207" t="s">
        <v>679</v>
      </c>
      <c r="AL7" s="1207" t="s">
        <v>671</v>
      </c>
      <c r="AM7" s="1207" t="s">
        <v>680</v>
      </c>
    </row>
    <row r="8" spans="1:84" ht="45" customHeight="1" x14ac:dyDescent="0.3">
      <c r="A8" s="1398">
        <v>2022002</v>
      </c>
      <c r="B8" s="1399">
        <v>7637</v>
      </c>
      <c r="C8" s="1400" t="s">
        <v>643</v>
      </c>
      <c r="D8" s="1423" t="s">
        <v>671</v>
      </c>
      <c r="E8" s="1402">
        <v>80111600</v>
      </c>
      <c r="F8" s="1424" t="s">
        <v>681</v>
      </c>
      <c r="G8" s="1425">
        <v>44562</v>
      </c>
      <c r="H8" s="1425">
        <v>44592</v>
      </c>
      <c r="I8" s="1405">
        <v>11</v>
      </c>
      <c r="J8" s="1405" t="s">
        <v>673</v>
      </c>
      <c r="K8" s="1406" t="s">
        <v>674</v>
      </c>
      <c r="L8" s="1407" t="s">
        <v>675</v>
      </c>
      <c r="M8" s="1408">
        <f>77000000-2200000</f>
        <v>74800000</v>
      </c>
      <c r="N8" s="1419" t="s">
        <v>676</v>
      </c>
      <c r="O8" s="1402" t="s">
        <v>677</v>
      </c>
      <c r="P8" s="1432" t="s">
        <v>678</v>
      </c>
      <c r="Q8" s="1207"/>
      <c r="R8" s="1269">
        <v>74800000</v>
      </c>
      <c r="S8" s="1357">
        <v>74800000</v>
      </c>
      <c r="T8" s="1357">
        <f>+Tabla16[[#This Row],[CDPS A 31 JULIO 2022]]-Tabla16[[#This Row],[CDP]]</f>
        <v>0</v>
      </c>
      <c r="U8" s="1357">
        <v>74800000</v>
      </c>
      <c r="V8" s="1357">
        <v>29240000</v>
      </c>
      <c r="W8" s="1357"/>
      <c r="X8" s="1207"/>
      <c r="Y8" s="1207"/>
      <c r="Z8" s="1207"/>
      <c r="AA8" s="1207"/>
      <c r="AB8" s="1207"/>
      <c r="AC8" s="1207"/>
      <c r="AD8" s="1207"/>
      <c r="AE8" s="1207"/>
      <c r="AF8" s="1207"/>
      <c r="AG8" s="1207"/>
      <c r="AH8" s="1207"/>
      <c r="AI8" s="1207"/>
      <c r="AJ8" s="1207" t="s">
        <v>459</v>
      </c>
      <c r="AK8" s="1207"/>
      <c r="AL8" s="1207" t="s">
        <v>682</v>
      </c>
      <c r="AM8" s="1207" t="s">
        <v>683</v>
      </c>
      <c r="AN8" s="1207"/>
      <c r="AO8" s="1207"/>
      <c r="AP8" s="1207"/>
      <c r="AQ8" s="1207"/>
      <c r="AR8" s="1207"/>
      <c r="AS8" s="1207"/>
      <c r="AT8" s="1207"/>
      <c r="AU8" s="1207"/>
      <c r="AV8" s="1207"/>
      <c r="AW8" s="1207"/>
      <c r="AX8" s="1207"/>
      <c r="AY8" s="1207"/>
      <c r="AZ8" s="1207"/>
      <c r="BA8" s="1207"/>
      <c r="BB8" s="1207"/>
      <c r="BC8" s="1207"/>
      <c r="BD8" s="1207"/>
      <c r="BE8" s="1207"/>
      <c r="BF8" s="1207"/>
      <c r="BG8" s="1207"/>
      <c r="BH8" s="1207"/>
      <c r="BI8" s="1207"/>
      <c r="BJ8" s="1207"/>
      <c r="BK8" s="1207"/>
      <c r="BL8" s="1207"/>
      <c r="BM8" s="1207"/>
      <c r="BN8" s="1207"/>
      <c r="BO8" s="1207"/>
      <c r="BP8" s="1207"/>
      <c r="BQ8" s="1207"/>
      <c r="BR8" s="1207"/>
      <c r="BS8" s="1207"/>
      <c r="BT8" s="1207"/>
      <c r="BU8" s="1207"/>
      <c r="BV8" s="1207"/>
      <c r="BW8" s="1207"/>
      <c r="BX8" s="1207"/>
      <c r="BY8" s="1207"/>
      <c r="BZ8" s="1207"/>
      <c r="CA8" s="1207"/>
      <c r="CB8" s="1207"/>
      <c r="CC8" s="1207"/>
      <c r="CD8" s="1207"/>
      <c r="CE8" s="1207"/>
      <c r="CF8" s="1207"/>
    </row>
    <row r="9" spans="1:84" ht="45" hidden="1" customHeight="1" x14ac:dyDescent="0.3">
      <c r="A9" s="1355">
        <v>2022003</v>
      </c>
      <c r="B9" s="1172">
        <v>7637</v>
      </c>
      <c r="C9" s="1356" t="s">
        <v>643</v>
      </c>
      <c r="D9" s="1173" t="s">
        <v>671</v>
      </c>
      <c r="E9" s="1174">
        <v>80111600</v>
      </c>
      <c r="F9" s="1175" t="s">
        <v>684</v>
      </c>
      <c r="G9" s="1231">
        <v>44562</v>
      </c>
      <c r="H9" s="1231">
        <v>44592</v>
      </c>
      <c r="I9" s="1176">
        <v>11</v>
      </c>
      <c r="J9" s="1176" t="s">
        <v>673</v>
      </c>
      <c r="K9" s="1177" t="s">
        <v>674</v>
      </c>
      <c r="L9" s="1178" t="s">
        <v>675</v>
      </c>
      <c r="M9" s="1179">
        <f>77000000-8800000-18600000</f>
        <v>49600000</v>
      </c>
      <c r="N9" s="1376" t="s">
        <v>685</v>
      </c>
      <c r="O9" s="1174" t="s">
        <v>677</v>
      </c>
      <c r="P9" s="1159" t="s">
        <v>678</v>
      </c>
      <c r="Q9" s="1207"/>
      <c r="R9" s="1269">
        <v>49600000</v>
      </c>
      <c r="S9" s="1357">
        <v>49600000</v>
      </c>
      <c r="T9" s="1357">
        <f>+Tabla16[[#This Row],[CDPS A 31 JULIO 2022]]-Tabla16[[#This Row],[CDP]]</f>
        <v>0</v>
      </c>
      <c r="U9" s="1357">
        <v>49600000</v>
      </c>
      <c r="V9" s="1357">
        <v>24800000</v>
      </c>
      <c r="W9" s="1357"/>
      <c r="X9" s="1207"/>
      <c r="Y9" s="1207"/>
      <c r="Z9" s="1207"/>
      <c r="AA9" s="1207"/>
      <c r="AB9" s="1207"/>
      <c r="AC9" s="1207"/>
      <c r="AD9" s="1207"/>
      <c r="AE9" s="1207"/>
      <c r="AF9" s="1207"/>
      <c r="AG9" s="1207"/>
      <c r="AH9" s="1207"/>
      <c r="AI9" s="1207"/>
      <c r="AJ9" s="1207"/>
      <c r="AK9" s="1207"/>
      <c r="AL9" s="1207" t="s">
        <v>686</v>
      </c>
      <c r="AM9" s="1207" t="s">
        <v>687</v>
      </c>
      <c r="AN9" s="1207"/>
      <c r="AO9" s="1207"/>
      <c r="AP9" s="1207"/>
      <c r="AQ9" s="1207"/>
      <c r="AR9" s="1207"/>
      <c r="AS9" s="1207"/>
      <c r="AT9" s="1207"/>
      <c r="AU9" s="1207"/>
      <c r="AV9" s="1207"/>
      <c r="AW9" s="1207"/>
      <c r="AX9" s="1207"/>
      <c r="AY9" s="1207"/>
      <c r="AZ9" s="1207"/>
      <c r="BA9" s="1207"/>
      <c r="BB9" s="1207"/>
      <c r="BC9" s="1207"/>
      <c r="BD9" s="1207"/>
      <c r="BE9" s="1207"/>
      <c r="BF9" s="1207"/>
      <c r="BG9" s="1207"/>
      <c r="BH9" s="1207"/>
      <c r="BI9" s="1207"/>
      <c r="BJ9" s="1207"/>
      <c r="BK9" s="1207"/>
      <c r="BL9" s="1207"/>
      <c r="BM9" s="1207"/>
      <c r="BN9" s="1207"/>
      <c r="BO9" s="1207"/>
      <c r="BP9" s="1207"/>
      <c r="BQ9" s="1207"/>
      <c r="BR9" s="1207"/>
      <c r="BS9" s="1207"/>
      <c r="BT9" s="1207"/>
      <c r="BU9" s="1207"/>
      <c r="BV9" s="1207"/>
      <c r="BW9" s="1207"/>
      <c r="BX9" s="1207"/>
      <c r="BY9" s="1207"/>
      <c r="BZ9" s="1207"/>
      <c r="CA9" s="1207"/>
      <c r="CB9" s="1207"/>
      <c r="CC9" s="1207"/>
      <c r="CD9" s="1207"/>
      <c r="CE9" s="1207"/>
      <c r="CF9" s="1207"/>
    </row>
    <row r="10" spans="1:84" ht="45" customHeight="1" x14ac:dyDescent="0.3">
      <c r="A10" s="1398">
        <v>2022004</v>
      </c>
      <c r="B10" s="1399">
        <v>7637</v>
      </c>
      <c r="C10" s="1400" t="s">
        <v>643</v>
      </c>
      <c r="D10" s="1423" t="s">
        <v>671</v>
      </c>
      <c r="E10" s="1402">
        <v>80111600</v>
      </c>
      <c r="F10" s="1424" t="s">
        <v>688</v>
      </c>
      <c r="G10" s="1425">
        <v>44562</v>
      </c>
      <c r="H10" s="1425">
        <v>44592</v>
      </c>
      <c r="I10" s="1405">
        <v>11</v>
      </c>
      <c r="J10" s="1405" t="s">
        <v>673</v>
      </c>
      <c r="K10" s="1406" t="s">
        <v>674</v>
      </c>
      <c r="L10" s="1407" t="s">
        <v>675</v>
      </c>
      <c r="M10" s="1408">
        <f>77000000-2200000</f>
        <v>74800000</v>
      </c>
      <c r="N10" s="1419" t="s">
        <v>676</v>
      </c>
      <c r="O10" s="1402" t="s">
        <v>677</v>
      </c>
      <c r="P10" s="1432" t="s">
        <v>678</v>
      </c>
      <c r="Q10" s="1207"/>
      <c r="R10" s="1269">
        <v>74800000</v>
      </c>
      <c r="S10" s="1357">
        <v>74800000</v>
      </c>
      <c r="T10" s="1357">
        <f>+Tabla16[[#This Row],[CDPS A 31 JULIO 2022]]-Tabla16[[#This Row],[CDP]]</f>
        <v>0</v>
      </c>
      <c r="U10" s="1357">
        <v>74800000</v>
      </c>
      <c r="V10" s="1357">
        <v>28560000</v>
      </c>
      <c r="W10" s="1357"/>
      <c r="X10" s="1207"/>
      <c r="Y10" s="1207"/>
      <c r="Z10" s="1207"/>
      <c r="AA10" s="1207"/>
      <c r="AB10" s="1207"/>
      <c r="AC10" s="1207"/>
      <c r="AD10" s="1207"/>
      <c r="AE10" s="1207"/>
      <c r="AF10" s="1207"/>
      <c r="AG10" s="1207"/>
      <c r="AH10" s="1207"/>
      <c r="AI10" s="1207"/>
      <c r="AJ10" s="1207"/>
      <c r="AK10" s="1207"/>
      <c r="AL10" s="1207" t="s">
        <v>689</v>
      </c>
      <c r="AM10" s="1207" t="s">
        <v>690</v>
      </c>
      <c r="AN10" s="1207"/>
      <c r="AO10" s="1207"/>
      <c r="AP10" s="1207"/>
      <c r="AQ10" s="1207"/>
      <c r="AR10" s="1207"/>
      <c r="AS10" s="1207"/>
      <c r="AT10" s="1207"/>
      <c r="AU10" s="1207"/>
      <c r="AV10" s="1207"/>
      <c r="AW10" s="1207"/>
      <c r="AX10" s="1207"/>
      <c r="AY10" s="1207"/>
      <c r="AZ10" s="1207"/>
      <c r="BA10" s="1207"/>
      <c r="BB10" s="1207"/>
      <c r="BC10" s="1207"/>
      <c r="BD10" s="1207"/>
      <c r="BE10" s="1207"/>
      <c r="BF10" s="1207"/>
      <c r="BG10" s="1207"/>
      <c r="BH10" s="1207"/>
      <c r="BI10" s="1207"/>
      <c r="BJ10" s="1207"/>
      <c r="BK10" s="1207"/>
      <c r="BL10" s="1207"/>
      <c r="BM10" s="1207"/>
      <c r="BN10" s="1207"/>
      <c r="BO10" s="1207"/>
      <c r="BP10" s="1207"/>
      <c r="BQ10" s="1207"/>
      <c r="BR10" s="1207"/>
      <c r="BS10" s="1207"/>
      <c r="BT10" s="1207"/>
      <c r="BU10" s="1207"/>
      <c r="BV10" s="1207"/>
      <c r="BW10" s="1207"/>
      <c r="BX10" s="1207"/>
      <c r="BY10" s="1207"/>
      <c r="BZ10" s="1207"/>
      <c r="CA10" s="1207"/>
      <c r="CB10" s="1207"/>
      <c r="CC10" s="1207"/>
      <c r="CD10" s="1207"/>
      <c r="CE10" s="1207"/>
      <c r="CF10" s="1207"/>
    </row>
    <row r="11" spans="1:84" ht="45" customHeight="1" x14ac:dyDescent="0.3">
      <c r="A11" s="1398">
        <v>2022005</v>
      </c>
      <c r="B11" s="1399">
        <v>7637</v>
      </c>
      <c r="C11" s="1400" t="s">
        <v>643</v>
      </c>
      <c r="D11" s="1423" t="s">
        <v>671</v>
      </c>
      <c r="E11" s="1402">
        <v>80111600</v>
      </c>
      <c r="F11" s="1424" t="s">
        <v>691</v>
      </c>
      <c r="G11" s="1425">
        <v>44562</v>
      </c>
      <c r="H11" s="1425">
        <v>44592</v>
      </c>
      <c r="I11" s="1405">
        <v>6</v>
      </c>
      <c r="J11" s="1405" t="s">
        <v>673</v>
      </c>
      <c r="K11" s="1406" t="s">
        <v>674</v>
      </c>
      <c r="L11" s="1407" t="s">
        <v>675</v>
      </c>
      <c r="M11" s="1408">
        <f>77000000-20400000-1100000</f>
        <v>55500000</v>
      </c>
      <c r="N11" s="1419" t="s">
        <v>676</v>
      </c>
      <c r="O11" s="1402" t="s">
        <v>677</v>
      </c>
      <c r="P11" s="1432" t="s">
        <v>678</v>
      </c>
      <c r="Q11" s="1207"/>
      <c r="R11" s="1269">
        <v>40800000</v>
      </c>
      <c r="S11" s="1357">
        <v>40800000</v>
      </c>
      <c r="T11" s="1357">
        <f>+Tabla16[[#This Row],[CDPS A 31 JULIO 2022]]-Tabla16[[#This Row],[CDP]]</f>
        <v>0</v>
      </c>
      <c r="U11" s="1357">
        <v>40800000</v>
      </c>
      <c r="V11" s="1357">
        <v>27200000</v>
      </c>
      <c r="W11" s="1357"/>
      <c r="X11" s="1207"/>
      <c r="Y11" s="1207"/>
      <c r="Z11" s="1207"/>
      <c r="AA11" s="1207"/>
      <c r="AB11" s="1207"/>
      <c r="AC11" s="1207"/>
      <c r="AD11" s="1207"/>
      <c r="AE11" s="1207"/>
      <c r="AF11" s="1207"/>
      <c r="AG11" s="1207"/>
      <c r="AH11" s="1207"/>
      <c r="AI11" s="1207"/>
      <c r="AJ11" s="1207"/>
      <c r="AK11" s="1207"/>
      <c r="AL11" s="1207" t="s">
        <v>692</v>
      </c>
      <c r="AM11" s="1207" t="s">
        <v>693</v>
      </c>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7"/>
      <c r="BN11" s="1207"/>
      <c r="BO11" s="1207"/>
      <c r="BP11" s="1207"/>
      <c r="BQ11" s="1207"/>
      <c r="BR11" s="1207"/>
      <c r="BS11" s="1207"/>
      <c r="BT11" s="1207"/>
      <c r="BU11" s="1207"/>
      <c r="BV11" s="1207"/>
      <c r="BW11" s="1207"/>
      <c r="BX11" s="1207"/>
      <c r="BY11" s="1207"/>
      <c r="BZ11" s="1207"/>
      <c r="CA11" s="1207"/>
      <c r="CB11" s="1207"/>
      <c r="CC11" s="1207"/>
      <c r="CD11" s="1207"/>
      <c r="CE11" s="1207"/>
      <c r="CF11" s="1207"/>
    </row>
    <row r="12" spans="1:84" ht="45" hidden="1" customHeight="1" x14ac:dyDescent="0.3">
      <c r="A12" s="1355">
        <v>2022006</v>
      </c>
      <c r="B12" s="1172">
        <v>7637</v>
      </c>
      <c r="C12" s="1356" t="s">
        <v>643</v>
      </c>
      <c r="D12" s="1173" t="s">
        <v>671</v>
      </c>
      <c r="E12" s="1174">
        <v>80111600</v>
      </c>
      <c r="F12" s="1175" t="s">
        <v>694</v>
      </c>
      <c r="G12" s="1231">
        <v>44562</v>
      </c>
      <c r="H12" s="1231">
        <v>44592</v>
      </c>
      <c r="I12" s="1176">
        <v>11</v>
      </c>
      <c r="J12" s="1176" t="s">
        <v>673</v>
      </c>
      <c r="K12" s="1177" t="s">
        <v>674</v>
      </c>
      <c r="L12" s="1178" t="s">
        <v>675</v>
      </c>
      <c r="M12" s="1179">
        <f>66000000-18000000</f>
        <v>48000000</v>
      </c>
      <c r="N12" s="1189" t="s">
        <v>676</v>
      </c>
      <c r="O12" s="1174" t="s">
        <v>677</v>
      </c>
      <c r="P12" s="1159" t="s">
        <v>678</v>
      </c>
      <c r="Q12" s="1207"/>
      <c r="R12" s="1269">
        <v>48000000</v>
      </c>
      <c r="S12" s="1357">
        <v>48000000</v>
      </c>
      <c r="T12" s="1357">
        <f>+Tabla16[[#This Row],[CDPS A 31 JULIO 2022]]-Tabla16[[#This Row],[CDP]]</f>
        <v>0</v>
      </c>
      <c r="U12" s="1357">
        <v>48000000</v>
      </c>
      <c r="V12" s="1357">
        <v>24000000</v>
      </c>
      <c r="W12" s="1357"/>
      <c r="X12" s="1207"/>
      <c r="Y12" s="1207"/>
      <c r="Z12" s="1207"/>
      <c r="AA12" s="1207"/>
      <c r="AB12" s="1207"/>
      <c r="AC12" s="1207"/>
      <c r="AD12" s="1207"/>
      <c r="AE12" s="1207"/>
      <c r="AF12" s="1207"/>
      <c r="AG12" s="1207"/>
      <c r="AH12" s="1207"/>
      <c r="AI12" s="1207"/>
      <c r="AJ12" s="1207"/>
      <c r="AK12" s="1207"/>
      <c r="AL12" s="1207" t="s">
        <v>695</v>
      </c>
      <c r="AM12" s="1207" t="s">
        <v>696</v>
      </c>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row>
    <row r="13" spans="1:84" ht="45" hidden="1" customHeight="1" x14ac:dyDescent="0.3">
      <c r="A13" s="1355">
        <v>2022007</v>
      </c>
      <c r="B13" s="1172">
        <v>7637</v>
      </c>
      <c r="C13" s="1356" t="s">
        <v>643</v>
      </c>
      <c r="D13" s="1173" t="s">
        <v>671</v>
      </c>
      <c r="E13" s="1174">
        <v>80111600</v>
      </c>
      <c r="F13" s="1175" t="s">
        <v>697</v>
      </c>
      <c r="G13" s="1231">
        <v>44562</v>
      </c>
      <c r="H13" s="1231">
        <v>44592</v>
      </c>
      <c r="I13" s="1176">
        <v>11</v>
      </c>
      <c r="J13" s="1176" t="s">
        <v>673</v>
      </c>
      <c r="K13" s="1177" t="s">
        <v>674</v>
      </c>
      <c r="L13" s="1178" t="s">
        <v>675</v>
      </c>
      <c r="M13" s="1179">
        <v>77000000</v>
      </c>
      <c r="N13" s="1189" t="s">
        <v>676</v>
      </c>
      <c r="O13" s="1174" t="s">
        <v>677</v>
      </c>
      <c r="P13" s="1159" t="s">
        <v>678</v>
      </c>
      <c r="Q13" s="1207"/>
      <c r="R13" s="1269">
        <v>74800000</v>
      </c>
      <c r="S13" s="1357">
        <v>74800000</v>
      </c>
      <c r="T13" s="1357">
        <f>+Tabla16[[#This Row],[CDPS A 31 JULIO 2022]]-Tabla16[[#This Row],[CDP]]</f>
        <v>0</v>
      </c>
      <c r="U13" s="1357">
        <v>74800000</v>
      </c>
      <c r="V13" s="1357">
        <v>29240000</v>
      </c>
      <c r="W13" s="1357"/>
      <c r="X13" s="1207"/>
      <c r="Y13" s="1207"/>
      <c r="Z13" s="1207"/>
      <c r="AA13" s="1207"/>
      <c r="AB13" s="1207"/>
      <c r="AC13" s="1207"/>
      <c r="AD13" s="1207"/>
      <c r="AE13" s="1207"/>
      <c r="AF13" s="1207"/>
      <c r="AG13" s="1207"/>
      <c r="AH13" s="1207"/>
      <c r="AI13" s="1207"/>
      <c r="AJ13" s="1207"/>
      <c r="AK13" s="1207"/>
      <c r="AL13" s="1207" t="s">
        <v>698</v>
      </c>
      <c r="AM13" s="1207" t="s">
        <v>699</v>
      </c>
      <c r="AN13" s="1207"/>
      <c r="AO13" s="1207"/>
      <c r="AP13" s="1207"/>
      <c r="AQ13" s="1207"/>
      <c r="AR13" s="1207"/>
      <c r="AS13" s="1207"/>
      <c r="AT13" s="1207"/>
      <c r="AU13" s="1207"/>
      <c r="AV13" s="1207"/>
      <c r="AW13" s="1207"/>
      <c r="AX13" s="1207"/>
      <c r="AY13" s="1207"/>
      <c r="AZ13" s="1207"/>
      <c r="BA13" s="1207"/>
      <c r="BB13" s="1207"/>
      <c r="BC13" s="1207"/>
      <c r="BD13" s="1207"/>
      <c r="BE13" s="1207"/>
      <c r="BF13" s="1207"/>
      <c r="BG13" s="1207"/>
      <c r="BH13" s="1207"/>
      <c r="BI13" s="1207"/>
      <c r="BJ13" s="1207"/>
      <c r="BK13" s="1207"/>
      <c r="BL13" s="1207"/>
      <c r="BM13" s="1207"/>
      <c r="BN13" s="1207"/>
      <c r="BO13" s="1207"/>
      <c r="BP13" s="1207"/>
      <c r="BQ13" s="1207"/>
      <c r="BR13" s="1207"/>
      <c r="BS13" s="1207"/>
      <c r="BT13" s="1207"/>
      <c r="BU13" s="1207"/>
      <c r="BV13" s="1207"/>
      <c r="BW13" s="1207"/>
      <c r="BX13" s="1207"/>
      <c r="BY13" s="1207"/>
      <c r="BZ13" s="1207"/>
      <c r="CA13" s="1207"/>
      <c r="CB13" s="1207"/>
      <c r="CC13" s="1207"/>
      <c r="CD13" s="1207"/>
      <c r="CE13" s="1207"/>
      <c r="CF13" s="1207"/>
    </row>
    <row r="14" spans="1:84" ht="45" customHeight="1" x14ac:dyDescent="0.3">
      <c r="A14" s="1398">
        <v>2022008</v>
      </c>
      <c r="B14" s="1399">
        <v>7637</v>
      </c>
      <c r="C14" s="1400" t="s">
        <v>643</v>
      </c>
      <c r="D14" s="1423" t="s">
        <v>671</v>
      </c>
      <c r="E14" s="1402">
        <v>80111600</v>
      </c>
      <c r="F14" s="1424" t="s">
        <v>700</v>
      </c>
      <c r="G14" s="1425">
        <v>44562</v>
      </c>
      <c r="H14" s="1425">
        <v>44592</v>
      </c>
      <c r="I14" s="1405">
        <v>11</v>
      </c>
      <c r="J14" s="1405" t="s">
        <v>673</v>
      </c>
      <c r="K14" s="1406" t="s">
        <v>674</v>
      </c>
      <c r="L14" s="1407" t="s">
        <v>675</v>
      </c>
      <c r="M14" s="1408">
        <f>77000000-2200000</f>
        <v>74800000</v>
      </c>
      <c r="N14" s="1419" t="s">
        <v>676</v>
      </c>
      <c r="O14" s="1402" t="s">
        <v>677</v>
      </c>
      <c r="P14" s="1432" t="s">
        <v>678</v>
      </c>
      <c r="Q14" s="1207"/>
      <c r="R14" s="1269">
        <v>74800000</v>
      </c>
      <c r="S14" s="1357">
        <v>74800000</v>
      </c>
      <c r="T14" s="1357">
        <f>+Tabla16[[#This Row],[CDPS A 31 JULIO 2022]]-Tabla16[[#This Row],[CDP]]</f>
        <v>0</v>
      </c>
      <c r="U14" s="1357">
        <v>74800000</v>
      </c>
      <c r="V14" s="1357">
        <v>27880000</v>
      </c>
      <c r="W14" s="1357"/>
      <c r="X14" s="1207"/>
      <c r="Y14" s="1207"/>
      <c r="Z14" s="1207"/>
      <c r="AA14" s="1207"/>
      <c r="AB14" s="1207"/>
      <c r="AC14" s="1207"/>
      <c r="AD14" s="1207"/>
      <c r="AE14" s="1207"/>
      <c r="AF14" s="1207"/>
      <c r="AG14" s="1207"/>
      <c r="AH14" s="1207"/>
      <c r="AI14" s="1207"/>
      <c r="AJ14" s="1207"/>
      <c r="AK14" s="1207"/>
      <c r="AL14" s="1207" t="s">
        <v>701</v>
      </c>
      <c r="AM14" s="1207" t="s">
        <v>702</v>
      </c>
      <c r="AN14" s="1207"/>
      <c r="AO14" s="1207"/>
      <c r="AP14" s="1207"/>
      <c r="AQ14" s="1207"/>
      <c r="AR14" s="1207"/>
      <c r="AS14" s="1207"/>
      <c r="AT14" s="1207"/>
      <c r="AU14" s="1207"/>
      <c r="AV14" s="1207"/>
      <c r="AW14" s="1207"/>
      <c r="AX14" s="1207"/>
      <c r="AY14" s="1207"/>
      <c r="AZ14" s="1207"/>
      <c r="BA14" s="1207"/>
      <c r="BB14" s="1207"/>
      <c r="BC14" s="1207"/>
      <c r="BD14" s="1207"/>
      <c r="BE14" s="1207"/>
      <c r="BF14" s="1207"/>
      <c r="BG14" s="1207"/>
      <c r="BH14" s="1207"/>
      <c r="BI14" s="1207"/>
      <c r="BJ14" s="1207"/>
      <c r="BK14" s="1207"/>
      <c r="BL14" s="1207"/>
      <c r="BM14" s="1207"/>
      <c r="BN14" s="1207"/>
      <c r="BO14" s="1207"/>
      <c r="BP14" s="1207"/>
      <c r="BQ14" s="1207"/>
      <c r="BR14" s="1207"/>
      <c r="BS14" s="1207"/>
      <c r="BT14" s="1207"/>
      <c r="BU14" s="1207"/>
      <c r="BV14" s="1207"/>
      <c r="BW14" s="1207"/>
      <c r="BX14" s="1207"/>
      <c r="BY14" s="1207"/>
      <c r="BZ14" s="1207"/>
      <c r="CA14" s="1207"/>
      <c r="CB14" s="1207"/>
      <c r="CC14" s="1207"/>
      <c r="CD14" s="1207"/>
      <c r="CE14" s="1207"/>
      <c r="CF14" s="1207"/>
    </row>
    <row r="15" spans="1:84" ht="45" hidden="1" customHeight="1" x14ac:dyDescent="0.3">
      <c r="A15" s="1355">
        <v>2022009</v>
      </c>
      <c r="B15" s="1172">
        <v>7637</v>
      </c>
      <c r="C15" s="1356" t="s">
        <v>643</v>
      </c>
      <c r="D15" s="1173" t="s">
        <v>671</v>
      </c>
      <c r="E15" s="1174">
        <v>80111600</v>
      </c>
      <c r="F15" s="1175" t="s">
        <v>703</v>
      </c>
      <c r="G15" s="1231">
        <v>44562</v>
      </c>
      <c r="H15" s="1231">
        <v>44592</v>
      </c>
      <c r="I15" s="1176">
        <v>11</v>
      </c>
      <c r="J15" s="1176" t="s">
        <v>673</v>
      </c>
      <c r="K15" s="1177" t="s">
        <v>674</v>
      </c>
      <c r="L15" s="1178" t="s">
        <v>675</v>
      </c>
      <c r="M15" s="1179">
        <f>77000000-8800000-18600000</f>
        <v>49600000</v>
      </c>
      <c r="N15" s="1376" t="s">
        <v>704</v>
      </c>
      <c r="O15" s="1174" t="s">
        <v>677</v>
      </c>
      <c r="P15" s="1159" t="s">
        <v>678</v>
      </c>
      <c r="Q15" s="1207"/>
      <c r="R15" s="1269">
        <v>49600000</v>
      </c>
      <c r="S15" s="1357">
        <v>49600000</v>
      </c>
      <c r="T15" s="1357">
        <f>+Tabla16[[#This Row],[CDPS A 31 JULIO 2022]]-Tabla16[[#This Row],[CDP]]</f>
        <v>0</v>
      </c>
      <c r="U15" s="1357">
        <v>49600000</v>
      </c>
      <c r="V15" s="1357">
        <v>24800000</v>
      </c>
      <c r="W15" s="1357"/>
      <c r="X15" s="1207"/>
      <c r="Y15" s="1207"/>
      <c r="Z15" s="1207"/>
      <c r="AA15" s="1207"/>
      <c r="AB15" s="1207"/>
      <c r="AC15" s="1207"/>
      <c r="AD15" s="1207"/>
      <c r="AE15" s="1207"/>
      <c r="AF15" s="1207"/>
      <c r="AG15" s="1207"/>
      <c r="AH15" s="1207"/>
      <c r="AI15" s="1207"/>
      <c r="AJ15" s="1207"/>
      <c r="AK15" s="1207"/>
      <c r="AL15" s="1207"/>
      <c r="AM15" s="1207" t="s">
        <v>705</v>
      </c>
      <c r="AN15" s="1207"/>
      <c r="AO15" s="1207"/>
      <c r="AP15" s="1207"/>
      <c r="AQ15" s="1207"/>
      <c r="AR15" s="1207"/>
      <c r="AS15" s="1207"/>
      <c r="AT15" s="1207"/>
      <c r="AU15" s="1207"/>
      <c r="AV15" s="1207"/>
      <c r="AW15" s="1207"/>
      <c r="AX15" s="1207"/>
      <c r="AY15" s="1207"/>
      <c r="AZ15" s="1207"/>
      <c r="BA15" s="1207"/>
      <c r="BB15" s="1207"/>
      <c r="BC15" s="1207"/>
      <c r="BD15" s="1207"/>
      <c r="BE15" s="1207"/>
      <c r="BF15" s="1207"/>
      <c r="BG15" s="1207"/>
      <c r="BH15" s="1207"/>
      <c r="BI15" s="1207"/>
      <c r="BJ15" s="1207"/>
      <c r="BK15" s="1207"/>
      <c r="BL15" s="1207"/>
      <c r="BM15" s="1207"/>
      <c r="BN15" s="1207"/>
      <c r="BO15" s="1207"/>
      <c r="BP15" s="1207"/>
      <c r="BQ15" s="1207"/>
      <c r="BR15" s="1207"/>
      <c r="BS15" s="1207"/>
      <c r="BT15" s="1207"/>
      <c r="BU15" s="1207"/>
      <c r="BV15" s="1207"/>
      <c r="BW15" s="1207"/>
      <c r="BX15" s="1207"/>
      <c r="BY15" s="1207"/>
      <c r="BZ15" s="1207"/>
      <c r="CA15" s="1207"/>
      <c r="CB15" s="1207"/>
      <c r="CC15" s="1207"/>
      <c r="CD15" s="1207"/>
      <c r="CE15" s="1207"/>
      <c r="CF15" s="1207"/>
    </row>
    <row r="16" spans="1:84" ht="45" hidden="1" customHeight="1" x14ac:dyDescent="0.3">
      <c r="A16" s="1355">
        <v>2022010</v>
      </c>
      <c r="B16" s="1172">
        <v>7637</v>
      </c>
      <c r="C16" s="1356" t="s">
        <v>643</v>
      </c>
      <c r="D16" s="1173" t="s">
        <v>671</v>
      </c>
      <c r="E16" s="1174">
        <v>80111600</v>
      </c>
      <c r="F16" s="1175" t="s">
        <v>706</v>
      </c>
      <c r="G16" s="1231">
        <v>44562</v>
      </c>
      <c r="H16" s="1231">
        <v>44592</v>
      </c>
      <c r="I16" s="1176">
        <v>11</v>
      </c>
      <c r="J16" s="1176" t="s">
        <v>673</v>
      </c>
      <c r="K16" s="1177" t="s">
        <v>674</v>
      </c>
      <c r="L16" s="1178" t="s">
        <v>675</v>
      </c>
      <c r="M16" s="1179">
        <f>66000000-16400000</f>
        <v>49600000</v>
      </c>
      <c r="N16" s="1189" t="s">
        <v>676</v>
      </c>
      <c r="O16" s="1174" t="s">
        <v>677</v>
      </c>
      <c r="P16" s="1159" t="s">
        <v>678</v>
      </c>
      <c r="Q16" s="1207"/>
      <c r="R16" s="1269">
        <v>49600000</v>
      </c>
      <c r="S16" s="1357">
        <v>49600000</v>
      </c>
      <c r="T16" s="1357">
        <f>+Tabla16[[#This Row],[CDPS A 31 JULIO 2022]]-Tabla16[[#This Row],[CDP]]</f>
        <v>0</v>
      </c>
      <c r="U16" s="1357">
        <v>49600000</v>
      </c>
      <c r="V16" s="1357">
        <v>24800000</v>
      </c>
      <c r="W16" s="1357"/>
      <c r="X16" s="1207"/>
      <c r="Y16" s="1207"/>
      <c r="Z16" s="1207"/>
      <c r="AA16" s="1207"/>
      <c r="AB16" s="1207"/>
      <c r="AC16" s="1207"/>
      <c r="AD16" s="1207"/>
      <c r="AE16" s="1207"/>
      <c r="AF16" s="1207"/>
      <c r="AG16" s="1207"/>
      <c r="AH16" s="1207"/>
      <c r="AI16" s="1207"/>
      <c r="AJ16" s="1207"/>
      <c r="AK16" s="1207"/>
      <c r="AL16" s="1207"/>
      <c r="AM16" s="1207" t="s">
        <v>707</v>
      </c>
      <c r="AN16" s="1207"/>
      <c r="AO16" s="1207"/>
      <c r="AP16" s="1207"/>
      <c r="AQ16" s="1207"/>
      <c r="AR16" s="1207"/>
      <c r="AS16" s="1207"/>
      <c r="AT16" s="1207"/>
      <c r="AU16" s="1207"/>
      <c r="AV16" s="1207"/>
      <c r="AW16" s="1207"/>
      <c r="AX16" s="1207"/>
      <c r="AY16" s="1207"/>
      <c r="AZ16" s="1207"/>
      <c r="BA16" s="1207"/>
      <c r="BB16" s="1207"/>
      <c r="BC16" s="1207"/>
      <c r="BD16" s="1207"/>
      <c r="BE16" s="1207"/>
      <c r="BF16" s="1207"/>
      <c r="BG16" s="1207"/>
      <c r="BH16" s="1207"/>
      <c r="BI16" s="1207"/>
      <c r="BJ16" s="1207"/>
      <c r="BK16" s="1207"/>
      <c r="BL16" s="1207"/>
      <c r="BM16" s="1207"/>
      <c r="BN16" s="1207"/>
      <c r="BO16" s="1207"/>
      <c r="BP16" s="1207"/>
      <c r="BQ16" s="1207"/>
      <c r="BR16" s="1207"/>
      <c r="BS16" s="1207"/>
      <c r="BT16" s="1207"/>
      <c r="BU16" s="1207"/>
      <c r="BV16" s="1207"/>
      <c r="BW16" s="1207"/>
      <c r="BX16" s="1207"/>
      <c r="BY16" s="1207"/>
      <c r="BZ16" s="1207"/>
      <c r="CA16" s="1207"/>
      <c r="CB16" s="1207"/>
      <c r="CC16" s="1207"/>
      <c r="CD16" s="1207"/>
      <c r="CE16" s="1207"/>
      <c r="CF16" s="1207"/>
    </row>
    <row r="17" spans="1:39" s="1207" customFormat="1" ht="45" hidden="1" customHeight="1" x14ac:dyDescent="0.3">
      <c r="A17" s="1355">
        <v>2022011</v>
      </c>
      <c r="B17" s="1172">
        <v>7637</v>
      </c>
      <c r="C17" s="1356" t="s">
        <v>643</v>
      </c>
      <c r="D17" s="1173" t="s">
        <v>671</v>
      </c>
      <c r="E17" s="1174">
        <v>80111600</v>
      </c>
      <c r="F17" s="1175" t="s">
        <v>708</v>
      </c>
      <c r="G17" s="1231">
        <v>44562</v>
      </c>
      <c r="H17" s="1231">
        <v>44592</v>
      </c>
      <c r="I17" s="1176">
        <v>11</v>
      </c>
      <c r="J17" s="1176" t="s">
        <v>673</v>
      </c>
      <c r="K17" s="1177" t="s">
        <v>674</v>
      </c>
      <c r="L17" s="1178" t="s">
        <v>675</v>
      </c>
      <c r="M17" s="1179">
        <f>33000000-9000000</f>
        <v>24000000</v>
      </c>
      <c r="N17" s="1189" t="s">
        <v>676</v>
      </c>
      <c r="O17" s="1174" t="s">
        <v>677</v>
      </c>
      <c r="P17" s="1159" t="s">
        <v>678</v>
      </c>
      <c r="R17" s="1269">
        <v>24000000</v>
      </c>
      <c r="S17" s="1357">
        <v>24000000</v>
      </c>
      <c r="T17" s="1357">
        <f>+Tabla16[[#This Row],[CDPS A 31 JULIO 2022]]-Tabla16[[#This Row],[CDP]]</f>
        <v>0</v>
      </c>
      <c r="U17" s="1357">
        <v>24000000</v>
      </c>
      <c r="V17" s="1357">
        <v>12300000</v>
      </c>
      <c r="W17" s="1357"/>
      <c r="AM17" s="1207" t="s">
        <v>709</v>
      </c>
    </row>
    <row r="18" spans="1:39" s="1207" customFormat="1" ht="45" hidden="1" customHeight="1" x14ac:dyDescent="0.3">
      <c r="A18" s="1355">
        <v>2022012</v>
      </c>
      <c r="B18" s="1172">
        <v>7637</v>
      </c>
      <c r="C18" s="1356" t="s">
        <v>643</v>
      </c>
      <c r="D18" s="1173" t="s">
        <v>671</v>
      </c>
      <c r="E18" s="1174">
        <v>80111600</v>
      </c>
      <c r="F18" s="1175" t="s">
        <v>710</v>
      </c>
      <c r="G18" s="1231">
        <v>44562</v>
      </c>
      <c r="H18" s="1231">
        <v>44592</v>
      </c>
      <c r="I18" s="1176">
        <v>11</v>
      </c>
      <c r="J18" s="1176" t="s">
        <v>673</v>
      </c>
      <c r="K18" s="1177" t="s">
        <v>674</v>
      </c>
      <c r="L18" s="1178" t="s">
        <v>675</v>
      </c>
      <c r="M18" s="1179">
        <v>49500000</v>
      </c>
      <c r="N18" s="1189" t="s">
        <v>676</v>
      </c>
      <c r="O18" s="1174" t="s">
        <v>677</v>
      </c>
      <c r="P18" s="1159" t="s">
        <v>678</v>
      </c>
      <c r="R18" s="1269">
        <v>49500000</v>
      </c>
      <c r="S18" s="1357">
        <v>49500000</v>
      </c>
      <c r="T18" s="1357">
        <f>+Tabla16[[#This Row],[CDPS A 31 JULIO 2022]]-Tabla16[[#This Row],[CDP]]</f>
        <v>0</v>
      </c>
      <c r="U18" s="1357">
        <v>49500000</v>
      </c>
      <c r="V18" s="1357">
        <v>19650000</v>
      </c>
      <c r="W18" s="1357"/>
      <c r="AM18" s="1207" t="s">
        <v>711</v>
      </c>
    </row>
    <row r="19" spans="1:39" s="1207" customFormat="1" ht="45" hidden="1" customHeight="1" x14ac:dyDescent="0.3">
      <c r="A19" s="1355">
        <v>2022013</v>
      </c>
      <c r="B19" s="1172">
        <v>7637</v>
      </c>
      <c r="C19" s="1356" t="s">
        <v>643</v>
      </c>
      <c r="D19" s="1173" t="s">
        <v>671</v>
      </c>
      <c r="E19" s="1174">
        <v>80111600</v>
      </c>
      <c r="F19" s="1175" t="s">
        <v>712</v>
      </c>
      <c r="G19" s="1231">
        <v>44562</v>
      </c>
      <c r="H19" s="1231">
        <v>44592</v>
      </c>
      <c r="I19" s="1176">
        <v>11</v>
      </c>
      <c r="J19" s="1176" t="s">
        <v>673</v>
      </c>
      <c r="K19" s="1177" t="s">
        <v>674</v>
      </c>
      <c r="L19" s="1178" t="s">
        <v>675</v>
      </c>
      <c r="M19" s="1179">
        <v>49500000</v>
      </c>
      <c r="N19" s="1189" t="s">
        <v>676</v>
      </c>
      <c r="O19" s="1174" t="s">
        <v>677</v>
      </c>
      <c r="P19" s="1159" t="s">
        <v>678</v>
      </c>
      <c r="R19" s="1269">
        <v>49500000</v>
      </c>
      <c r="S19" s="1357">
        <v>49500000</v>
      </c>
      <c r="T19" s="1357">
        <f>+Tabla16[[#This Row],[CDPS A 31 JULIO 2022]]-Tabla16[[#This Row],[CDP]]</f>
        <v>0</v>
      </c>
      <c r="U19" s="1357">
        <v>49500000</v>
      </c>
      <c r="V19" s="1357">
        <v>18000000</v>
      </c>
      <c r="W19" s="1357"/>
      <c r="AM19" s="1207" t="s">
        <v>713</v>
      </c>
    </row>
    <row r="20" spans="1:39" s="1207" customFormat="1" ht="45" customHeight="1" x14ac:dyDescent="0.3">
      <c r="A20" s="1398">
        <v>2022014</v>
      </c>
      <c r="B20" s="1399">
        <v>7637</v>
      </c>
      <c r="C20" s="1400" t="s">
        <v>643</v>
      </c>
      <c r="D20" s="1423" t="s">
        <v>671</v>
      </c>
      <c r="E20" s="1402">
        <v>80111600</v>
      </c>
      <c r="F20" s="1424" t="s">
        <v>714</v>
      </c>
      <c r="G20" s="1425">
        <v>44562</v>
      </c>
      <c r="H20" s="1425">
        <v>44592</v>
      </c>
      <c r="I20" s="1405">
        <v>11</v>
      </c>
      <c r="J20" s="1405" t="s">
        <v>673</v>
      </c>
      <c r="K20" s="1406" t="s">
        <v>674</v>
      </c>
      <c r="L20" s="1407" t="s">
        <v>675</v>
      </c>
      <c r="M20" s="1408">
        <f>77000000-20400000-2200000</f>
        <v>54400000</v>
      </c>
      <c r="N20" s="1409" t="s">
        <v>704</v>
      </c>
      <c r="O20" s="1402" t="s">
        <v>677</v>
      </c>
      <c r="P20" s="1432" t="s">
        <v>678</v>
      </c>
      <c r="R20" s="1269">
        <v>54400000</v>
      </c>
      <c r="S20" s="1357">
        <v>54400000</v>
      </c>
      <c r="T20" s="1357">
        <f>+Tabla16[[#This Row],[CDPS A 31 JULIO 2022]]-Tabla16[[#This Row],[CDP]]</f>
        <v>0</v>
      </c>
      <c r="U20" s="1357">
        <v>54400000</v>
      </c>
      <c r="V20" s="1357">
        <v>29466666</v>
      </c>
      <c r="W20" s="1357"/>
      <c r="AM20" s="1207" t="s">
        <v>715</v>
      </c>
    </row>
    <row r="21" spans="1:39" s="1207" customFormat="1" ht="45" hidden="1" customHeight="1" x14ac:dyDescent="0.3">
      <c r="A21" s="1355">
        <v>2022015</v>
      </c>
      <c r="B21" s="1172">
        <v>7637</v>
      </c>
      <c r="C21" s="1356" t="s">
        <v>643</v>
      </c>
      <c r="D21" s="1173" t="s">
        <v>671</v>
      </c>
      <c r="E21" s="1174">
        <v>80111600</v>
      </c>
      <c r="F21" s="1175" t="s">
        <v>716</v>
      </c>
      <c r="G21" s="1231">
        <v>44562</v>
      </c>
      <c r="H21" s="1231">
        <v>44592</v>
      </c>
      <c r="I21" s="1176">
        <v>11</v>
      </c>
      <c r="J21" s="1176" t="s">
        <v>673</v>
      </c>
      <c r="K21" s="1177" t="s">
        <v>674</v>
      </c>
      <c r="L21" s="1178" t="s">
        <v>675</v>
      </c>
      <c r="M21" s="1179">
        <f>77000000-20400000-2200000</f>
        <v>54400000</v>
      </c>
      <c r="N21" s="1189" t="s">
        <v>676</v>
      </c>
      <c r="O21" s="1174" t="s">
        <v>677</v>
      </c>
      <c r="P21" s="1159" t="s">
        <v>678</v>
      </c>
      <c r="R21" s="1269">
        <v>54400000</v>
      </c>
      <c r="S21" s="1357">
        <v>54400000</v>
      </c>
      <c r="T21" s="1357">
        <f>+Tabla16[[#This Row],[CDPS A 31 JULIO 2022]]-Tabla16[[#This Row],[CDP]]</f>
        <v>0</v>
      </c>
      <c r="U21" s="1357">
        <v>54400000</v>
      </c>
      <c r="V21" s="1357">
        <v>27880000</v>
      </c>
      <c r="W21" s="1357"/>
      <c r="AM21" s="1207" t="s">
        <v>717</v>
      </c>
    </row>
    <row r="22" spans="1:39" s="1207" customFormat="1" ht="45" customHeight="1" x14ac:dyDescent="0.3">
      <c r="A22" s="1398">
        <v>2022016</v>
      </c>
      <c r="B22" s="1399">
        <v>7637</v>
      </c>
      <c r="C22" s="1400" t="s">
        <v>643</v>
      </c>
      <c r="D22" s="1423" t="s">
        <v>671</v>
      </c>
      <c r="E22" s="1402">
        <v>80111600</v>
      </c>
      <c r="F22" s="1424" t="s">
        <v>718</v>
      </c>
      <c r="G22" s="1425">
        <v>44562</v>
      </c>
      <c r="H22" s="1425">
        <v>44592</v>
      </c>
      <c r="I22" s="1405">
        <v>6</v>
      </c>
      <c r="J22" s="1405" t="s">
        <v>673</v>
      </c>
      <c r="K22" s="1406" t="s">
        <v>674</v>
      </c>
      <c r="L22" s="1407" t="s">
        <v>675</v>
      </c>
      <c r="M22" s="1408">
        <f>49500000-15000000-4500000</f>
        <v>30000000</v>
      </c>
      <c r="N22" s="1409" t="s">
        <v>704</v>
      </c>
      <c r="O22" s="1402" t="s">
        <v>677</v>
      </c>
      <c r="P22" s="1432" t="s">
        <v>678</v>
      </c>
      <c r="R22" s="1269">
        <v>30000000</v>
      </c>
      <c r="S22" s="1357">
        <v>30000000</v>
      </c>
      <c r="T22" s="1357">
        <f>+Tabla16[[#This Row],[CDPS A 31 JULIO 2022]]-Tabla16[[#This Row],[CDP]]</f>
        <v>0</v>
      </c>
      <c r="U22" s="1357">
        <v>30000000</v>
      </c>
      <c r="V22" s="1357">
        <v>20000000</v>
      </c>
      <c r="W22" s="1357"/>
      <c r="AM22" s="1207" t="s">
        <v>673</v>
      </c>
    </row>
    <row r="23" spans="1:39" s="1207" customFormat="1" ht="45" customHeight="1" x14ac:dyDescent="0.3">
      <c r="A23" s="1398">
        <v>2022017</v>
      </c>
      <c r="B23" s="1399">
        <v>7637</v>
      </c>
      <c r="C23" s="1400" t="s">
        <v>643</v>
      </c>
      <c r="D23" s="1423" t="s">
        <v>671</v>
      </c>
      <c r="E23" s="1402">
        <v>80111600</v>
      </c>
      <c r="F23" s="1424" t="s">
        <v>719</v>
      </c>
      <c r="G23" s="1425">
        <v>44562</v>
      </c>
      <c r="H23" s="1425">
        <v>44592</v>
      </c>
      <c r="I23" s="1405">
        <v>11</v>
      </c>
      <c r="J23" s="1405" t="s">
        <v>673</v>
      </c>
      <c r="K23" s="1406" t="s">
        <v>674</v>
      </c>
      <c r="L23" s="1407" t="s">
        <v>675</v>
      </c>
      <c r="M23" s="1408">
        <f>33000000-15600000-532640</f>
        <v>16867360</v>
      </c>
      <c r="N23" s="1419" t="s">
        <v>676</v>
      </c>
      <c r="O23" s="1402" t="s">
        <v>677</v>
      </c>
      <c r="P23" s="1432" t="s">
        <v>678</v>
      </c>
      <c r="R23" s="1269">
        <v>16800000</v>
      </c>
      <c r="S23" s="1357">
        <v>16800000</v>
      </c>
      <c r="T23" s="1357">
        <f>+Tabla16[[#This Row],[CDPS A 31 JULIO 2022]]-Tabla16[[#This Row],[CDP]]</f>
        <v>0</v>
      </c>
      <c r="U23" s="1357">
        <v>16800000</v>
      </c>
      <c r="V23" s="1357">
        <v>11666667</v>
      </c>
      <c r="W23" s="1357"/>
      <c r="AM23" s="1207" t="s">
        <v>720</v>
      </c>
    </row>
    <row r="24" spans="1:39" s="1207" customFormat="1" ht="45" hidden="1" customHeight="1" x14ac:dyDescent="0.3">
      <c r="A24" s="1355">
        <v>2022018</v>
      </c>
      <c r="B24" s="1172">
        <v>7637</v>
      </c>
      <c r="C24" s="1356" t="s">
        <v>643</v>
      </c>
      <c r="D24" s="1173" t="s">
        <v>671</v>
      </c>
      <c r="E24" s="1174">
        <v>80111600</v>
      </c>
      <c r="F24" s="1175" t="s">
        <v>721</v>
      </c>
      <c r="G24" s="1231">
        <v>44562</v>
      </c>
      <c r="H24" s="1231">
        <v>44592</v>
      </c>
      <c r="I24" s="1176">
        <v>11</v>
      </c>
      <c r="J24" s="1176" t="s">
        <v>673</v>
      </c>
      <c r="K24" s="1177" t="s">
        <v>674</v>
      </c>
      <c r="L24" s="1178" t="s">
        <v>675</v>
      </c>
      <c r="M24" s="1179">
        <f>29500000-9000000</f>
        <v>20500000</v>
      </c>
      <c r="N24" s="1189" t="s">
        <v>676</v>
      </c>
      <c r="O24" s="1174" t="s">
        <v>677</v>
      </c>
      <c r="P24" s="1159" t="s">
        <v>678</v>
      </c>
      <c r="R24" s="1269">
        <v>24000000</v>
      </c>
      <c r="S24" s="1357">
        <v>24000000</v>
      </c>
      <c r="T24" s="1357">
        <f>+Tabla16[[#This Row],[CDPS A 31 JULIO 2022]]-Tabla16[[#This Row],[CDP]]</f>
        <v>0</v>
      </c>
      <c r="U24" s="1357">
        <v>24000000</v>
      </c>
      <c r="V24" s="1357">
        <v>12000000</v>
      </c>
      <c r="W24" s="1357"/>
      <c r="AK24" s="1207" t="s">
        <v>722</v>
      </c>
    </row>
    <row r="25" spans="1:39" s="1207" customFormat="1" ht="45" hidden="1" customHeight="1" x14ac:dyDescent="0.3">
      <c r="A25" s="1355">
        <v>2022019</v>
      </c>
      <c r="B25" s="1172">
        <v>7637</v>
      </c>
      <c r="C25" s="1356" t="s">
        <v>643</v>
      </c>
      <c r="D25" s="1173" t="s">
        <v>671</v>
      </c>
      <c r="E25" s="1174">
        <v>80111600</v>
      </c>
      <c r="F25" s="1175" t="s">
        <v>723</v>
      </c>
      <c r="G25" s="1231">
        <v>44562</v>
      </c>
      <c r="H25" s="1231">
        <v>44592</v>
      </c>
      <c r="I25" s="1176">
        <v>11</v>
      </c>
      <c r="J25" s="1176" t="s">
        <v>673</v>
      </c>
      <c r="K25" s="1177" t="s">
        <v>674</v>
      </c>
      <c r="L25" s="1178" t="s">
        <v>675</v>
      </c>
      <c r="M25" s="1179">
        <f>68200000-16450000-10350000</f>
        <v>41400000</v>
      </c>
      <c r="N25" s="1189" t="s">
        <v>676</v>
      </c>
      <c r="O25" s="1174" t="s">
        <v>677</v>
      </c>
      <c r="P25" s="1159" t="s">
        <v>678</v>
      </c>
      <c r="R25" s="1269">
        <v>41400000</v>
      </c>
      <c r="S25" s="1357">
        <v>41400000</v>
      </c>
      <c r="T25" s="1357">
        <f>+Tabla16[[#This Row],[CDPS A 31 JULIO 2022]]-Tabla16[[#This Row],[CDP]]</f>
        <v>0</v>
      </c>
      <c r="U25" s="1357">
        <v>41400000</v>
      </c>
      <c r="V25" s="1357">
        <v>17250000</v>
      </c>
      <c r="W25" s="1357"/>
      <c r="AK25" s="1207" t="s">
        <v>724</v>
      </c>
    </row>
    <row r="26" spans="1:39" s="1207" customFormat="1" ht="45" hidden="1" customHeight="1" x14ac:dyDescent="0.3">
      <c r="A26" s="1355">
        <v>2022020</v>
      </c>
      <c r="B26" s="1172">
        <v>7637</v>
      </c>
      <c r="C26" s="1356" t="s">
        <v>643</v>
      </c>
      <c r="D26" s="1173" t="s">
        <v>671</v>
      </c>
      <c r="E26" s="1174">
        <v>80111600</v>
      </c>
      <c r="F26" s="1175" t="s">
        <v>725</v>
      </c>
      <c r="G26" s="1231">
        <v>44562</v>
      </c>
      <c r="H26" s="1231">
        <v>44592</v>
      </c>
      <c r="I26" s="1176">
        <v>11</v>
      </c>
      <c r="J26" s="1176" t="s">
        <v>673</v>
      </c>
      <c r="K26" s="1177" t="s">
        <v>674</v>
      </c>
      <c r="L26" s="1178" t="s">
        <v>675</v>
      </c>
      <c r="M26" s="1179">
        <f>49500000-13500000</f>
        <v>36000000</v>
      </c>
      <c r="N26" s="1189" t="s">
        <v>676</v>
      </c>
      <c r="O26" s="1174" t="s">
        <v>677</v>
      </c>
      <c r="P26" s="1159" t="s">
        <v>678</v>
      </c>
      <c r="R26" s="1269">
        <v>36000000</v>
      </c>
      <c r="S26" s="1357">
        <v>36000000</v>
      </c>
      <c r="T26" s="1357">
        <f>+Tabla16[[#This Row],[CDPS A 31 JULIO 2022]]-Tabla16[[#This Row],[CDP]]</f>
        <v>0</v>
      </c>
      <c r="U26" s="1357">
        <v>36000000</v>
      </c>
      <c r="V26" s="1357">
        <v>18900000</v>
      </c>
      <c r="W26" s="1357"/>
      <c r="AK26" s="1207" t="s">
        <v>726</v>
      </c>
    </row>
    <row r="27" spans="1:39" s="1207" customFormat="1" ht="45" hidden="1" customHeight="1" x14ac:dyDescent="0.3">
      <c r="A27" s="1355">
        <v>2022022</v>
      </c>
      <c r="B27" s="1172">
        <v>7637</v>
      </c>
      <c r="C27" s="1356" t="s">
        <v>643</v>
      </c>
      <c r="D27" s="1173" t="s">
        <v>671</v>
      </c>
      <c r="E27" s="1176" t="s">
        <v>727</v>
      </c>
      <c r="F27" s="1175" t="s">
        <v>728</v>
      </c>
      <c r="G27" s="1231">
        <v>44621</v>
      </c>
      <c r="H27" s="1231">
        <v>44681</v>
      </c>
      <c r="I27" s="1176">
        <v>1</v>
      </c>
      <c r="J27" s="1176" t="s">
        <v>720</v>
      </c>
      <c r="K27" s="1177" t="s">
        <v>674</v>
      </c>
      <c r="L27" s="1178" t="s">
        <v>729</v>
      </c>
      <c r="M27" s="1179">
        <f>600000000-13361620-945888-1281233-5000000-12095659</f>
        <v>567315600</v>
      </c>
      <c r="N27" s="1189" t="s">
        <v>676</v>
      </c>
      <c r="O27" s="1174" t="s">
        <v>677</v>
      </c>
      <c r="P27" s="1163" t="s">
        <v>678</v>
      </c>
      <c r="R27" s="1269">
        <v>567315600</v>
      </c>
      <c r="S27" s="1357">
        <v>567315600</v>
      </c>
      <c r="T27" s="1357">
        <f>+Tabla16[[#This Row],[CDPS A 31 JULIO 2022]]-Tabla16[[#This Row],[CDP]]</f>
        <v>0</v>
      </c>
      <c r="U27" s="1357">
        <v>567315600</v>
      </c>
      <c r="V27" s="1357"/>
      <c r="W27" s="1357"/>
      <c r="AK27" s="1207" t="s">
        <v>730</v>
      </c>
    </row>
    <row r="28" spans="1:39" s="1207" customFormat="1" ht="45" customHeight="1" x14ac:dyDescent="0.3">
      <c r="A28" s="1398">
        <v>2022023</v>
      </c>
      <c r="B28" s="1399">
        <v>7637</v>
      </c>
      <c r="C28" s="1400" t="s">
        <v>643</v>
      </c>
      <c r="D28" s="1423" t="s">
        <v>671</v>
      </c>
      <c r="E28" s="1405">
        <v>81112401</v>
      </c>
      <c r="F28" s="1424" t="s">
        <v>731</v>
      </c>
      <c r="G28" s="1425">
        <v>44714</v>
      </c>
      <c r="H28" s="1425">
        <v>44746</v>
      </c>
      <c r="I28" s="1405">
        <v>10</v>
      </c>
      <c r="J28" s="1405" t="s">
        <v>720</v>
      </c>
      <c r="K28" s="1406" t="s">
        <v>674</v>
      </c>
      <c r="L28" s="1407" t="s">
        <v>729</v>
      </c>
      <c r="M28" s="1408">
        <f>195700000-26723240-1891777-118550434</f>
        <v>48534549</v>
      </c>
      <c r="N28" s="1419" t="s">
        <v>676</v>
      </c>
      <c r="O28" s="1402" t="s">
        <v>677</v>
      </c>
      <c r="P28" s="1410" t="s">
        <v>678</v>
      </c>
      <c r="R28" s="1269">
        <v>167084983</v>
      </c>
      <c r="S28" s="1357">
        <v>167084983</v>
      </c>
      <c r="T28" s="1357">
        <f>+Tabla16[[#This Row],[CDPS A 31 JULIO 2022]]-Tabla16[[#This Row],[CDP]]</f>
        <v>0</v>
      </c>
      <c r="U28" s="1357"/>
      <c r="V28" s="1357"/>
      <c r="W28" s="1357"/>
      <c r="AK28" s="1207" t="s">
        <v>732</v>
      </c>
    </row>
    <row r="29" spans="1:39" s="1207" customFormat="1" ht="45" hidden="1" customHeight="1" x14ac:dyDescent="0.3">
      <c r="A29" s="1355">
        <v>2022024</v>
      </c>
      <c r="B29" s="1172">
        <v>7637</v>
      </c>
      <c r="C29" s="1356" t="s">
        <v>643</v>
      </c>
      <c r="D29" s="1173" t="s">
        <v>671</v>
      </c>
      <c r="E29" s="1176" t="s">
        <v>733</v>
      </c>
      <c r="F29" s="1175" t="s">
        <v>734</v>
      </c>
      <c r="G29" s="1231">
        <v>44713</v>
      </c>
      <c r="H29" s="1231">
        <v>44737</v>
      </c>
      <c r="I29" s="1176">
        <v>6</v>
      </c>
      <c r="J29" s="1176" t="s">
        <v>696</v>
      </c>
      <c r="K29" s="1177" t="s">
        <v>674</v>
      </c>
      <c r="L29" s="1178" t="s">
        <v>735</v>
      </c>
      <c r="M29" s="1179">
        <v>114000000</v>
      </c>
      <c r="N29" s="1189" t="s">
        <v>676</v>
      </c>
      <c r="O29" s="1174" t="s">
        <v>677</v>
      </c>
      <c r="P29" s="1207" t="s">
        <v>678</v>
      </c>
      <c r="Q29" s="1163"/>
      <c r="R29" s="1269">
        <v>114000000</v>
      </c>
      <c r="S29" s="1357">
        <v>114000000</v>
      </c>
      <c r="T29" s="1357">
        <f>+Tabla16[[#This Row],[CDPS A 31 JULIO 2022]]-Tabla16[[#This Row],[CDP]]</f>
        <v>0</v>
      </c>
      <c r="U29" s="1357"/>
      <c r="V29" s="1357"/>
      <c r="W29" s="1357"/>
      <c r="AK29" s="1207" t="s">
        <v>736</v>
      </c>
    </row>
    <row r="30" spans="1:39" s="1207" customFormat="1" ht="45" customHeight="1" x14ac:dyDescent="0.3">
      <c r="A30" s="1398">
        <v>2022025</v>
      </c>
      <c r="B30" s="1399">
        <v>7637</v>
      </c>
      <c r="C30" s="1400" t="s">
        <v>643</v>
      </c>
      <c r="D30" s="1423" t="s">
        <v>671</v>
      </c>
      <c r="E30" s="1405">
        <v>81112217</v>
      </c>
      <c r="F30" s="1424" t="s">
        <v>737</v>
      </c>
      <c r="G30" s="1425">
        <v>44713</v>
      </c>
      <c r="H30" s="1425">
        <v>44773</v>
      </c>
      <c r="I30" s="1405">
        <v>12</v>
      </c>
      <c r="J30" s="1405" t="s">
        <v>720</v>
      </c>
      <c r="K30" s="1406" t="s">
        <v>674</v>
      </c>
      <c r="L30" s="1407" t="s">
        <v>735</v>
      </c>
      <c r="M30" s="1408">
        <f>50000000+18000000</f>
        <v>68000000</v>
      </c>
      <c r="N30" s="1409" t="s">
        <v>685</v>
      </c>
      <c r="O30" s="1402" t="s">
        <v>677</v>
      </c>
      <c r="P30" s="1410" t="s">
        <v>678</v>
      </c>
      <c r="Q30" s="1163"/>
      <c r="R30" s="1269">
        <v>50000000</v>
      </c>
      <c r="S30" s="1357"/>
      <c r="T30" s="1357">
        <f>+Tabla16[[#This Row],[CDPS A 31 JULIO 2022]]-Tabla16[[#This Row],[CDP]]</f>
        <v>50000000</v>
      </c>
      <c r="U30" s="1357"/>
      <c r="V30" s="1357"/>
      <c r="W30" s="1357"/>
      <c r="AK30" s="1207" t="s">
        <v>738</v>
      </c>
    </row>
    <row r="31" spans="1:39" s="1207" customFormat="1" ht="45" hidden="1" customHeight="1" x14ac:dyDescent="0.3">
      <c r="A31" s="1355">
        <v>2022026</v>
      </c>
      <c r="B31" s="1172">
        <v>7637</v>
      </c>
      <c r="C31" s="1356" t="s">
        <v>643</v>
      </c>
      <c r="D31" s="1173" t="s">
        <v>671</v>
      </c>
      <c r="E31" s="1176" t="s">
        <v>739</v>
      </c>
      <c r="F31" s="1175" t="s">
        <v>740</v>
      </c>
      <c r="G31" s="1231">
        <v>44713</v>
      </c>
      <c r="H31" s="1231">
        <v>44773</v>
      </c>
      <c r="I31" s="1176">
        <v>12</v>
      </c>
      <c r="J31" s="1176" t="s">
        <v>720</v>
      </c>
      <c r="K31" s="1177" t="s">
        <v>674</v>
      </c>
      <c r="L31" s="1178" t="s">
        <v>735</v>
      </c>
      <c r="M31" s="1179">
        <f>150000000-7332250</f>
        <v>142667750</v>
      </c>
      <c r="N31" s="1189" t="s">
        <v>676</v>
      </c>
      <c r="O31" s="1174" t="s">
        <v>677</v>
      </c>
      <c r="P31" s="1207" t="s">
        <v>678</v>
      </c>
      <c r="Q31" s="1163"/>
      <c r="R31" s="1269">
        <v>142667750</v>
      </c>
      <c r="S31" s="1357">
        <v>142667750</v>
      </c>
      <c r="T31" s="1357">
        <f>+Tabla16[[#This Row],[CDPS A 31 JULIO 2022]]-Tabla16[[#This Row],[CDP]]</f>
        <v>0</v>
      </c>
      <c r="U31" s="1357">
        <v>142667750</v>
      </c>
      <c r="V31" s="1357"/>
      <c r="W31" s="1357"/>
      <c r="AK31" s="1207" t="s">
        <v>741</v>
      </c>
    </row>
    <row r="32" spans="1:39" s="1207" customFormat="1" ht="45" hidden="1" customHeight="1" x14ac:dyDescent="0.3">
      <c r="A32" s="1355">
        <v>2022027</v>
      </c>
      <c r="B32" s="1172">
        <v>7637</v>
      </c>
      <c r="C32" s="1356" t="s">
        <v>643</v>
      </c>
      <c r="D32" s="1173" t="s">
        <v>671</v>
      </c>
      <c r="E32" s="1176">
        <v>81161712</v>
      </c>
      <c r="F32" s="1175" t="s">
        <v>742</v>
      </c>
      <c r="G32" s="1231">
        <v>44682</v>
      </c>
      <c r="H32" s="1231">
        <v>44742</v>
      </c>
      <c r="I32" s="1176">
        <v>1</v>
      </c>
      <c r="J32" s="1176" t="s">
        <v>699</v>
      </c>
      <c r="K32" s="1177" t="s">
        <v>674</v>
      </c>
      <c r="L32" s="1178" t="s">
        <v>743</v>
      </c>
      <c r="M32" s="1179">
        <v>10000000</v>
      </c>
      <c r="N32" s="1189" t="s">
        <v>676</v>
      </c>
      <c r="O32" s="1174" t="s">
        <v>677</v>
      </c>
      <c r="P32" s="1207" t="s">
        <v>678</v>
      </c>
      <c r="Q32" s="1163"/>
      <c r="R32" s="1269">
        <v>0</v>
      </c>
      <c r="S32" s="1357"/>
      <c r="T32" s="1357">
        <f>+Tabla16[[#This Row],[CDPS A 31 JULIO 2022]]-Tabla16[[#This Row],[CDP]]</f>
        <v>0</v>
      </c>
      <c r="U32" s="1357"/>
      <c r="V32" s="1357"/>
      <c r="W32" s="1357"/>
      <c r="AK32" s="1207" t="s">
        <v>744</v>
      </c>
    </row>
    <row r="33" spans="1:38" s="1207" customFormat="1" ht="45" hidden="1" customHeight="1" x14ac:dyDescent="0.3">
      <c r="A33" s="1355">
        <v>2022028</v>
      </c>
      <c r="B33" s="1172">
        <v>7637</v>
      </c>
      <c r="C33" s="1356" t="s">
        <v>643</v>
      </c>
      <c r="D33" s="1173" t="s">
        <v>671</v>
      </c>
      <c r="E33" s="1176" t="s">
        <v>745</v>
      </c>
      <c r="F33" s="1175" t="s">
        <v>746</v>
      </c>
      <c r="G33" s="1231">
        <v>44621</v>
      </c>
      <c r="H33" s="1231">
        <v>44651</v>
      </c>
      <c r="I33" s="1176">
        <v>5</v>
      </c>
      <c r="J33" s="1268" t="s">
        <v>97</v>
      </c>
      <c r="K33" s="1177" t="s">
        <v>674</v>
      </c>
      <c r="L33" s="1178" t="s">
        <v>747</v>
      </c>
      <c r="M33" s="1179">
        <f>81000000-1433712-31595960</f>
        <v>47970328</v>
      </c>
      <c r="N33" s="1189" t="s">
        <v>676</v>
      </c>
      <c r="O33" s="1174" t="s">
        <v>677</v>
      </c>
      <c r="P33" s="1163" t="s">
        <v>748</v>
      </c>
      <c r="Q33" s="1163"/>
      <c r="R33" s="1269">
        <v>47970328</v>
      </c>
      <c r="S33" s="1357">
        <v>47970328</v>
      </c>
      <c r="T33" s="1357">
        <f>+Tabla16[[#This Row],[CDPS A 31 JULIO 2022]]-Tabla16[[#This Row],[CDP]]</f>
        <v>0</v>
      </c>
      <c r="U33" s="1357">
        <v>47970328</v>
      </c>
      <c r="V33" s="1357">
        <v>9708972</v>
      </c>
      <c r="W33" s="1357"/>
      <c r="AK33" s="1207" t="s">
        <v>749</v>
      </c>
    </row>
    <row r="34" spans="1:38" s="1207" customFormat="1" ht="45" hidden="1" customHeight="1" x14ac:dyDescent="0.3">
      <c r="A34" s="1355">
        <v>2022029</v>
      </c>
      <c r="B34" s="1172">
        <v>7637</v>
      </c>
      <c r="C34" s="1356" t="s">
        <v>643</v>
      </c>
      <c r="D34" s="1173" t="s">
        <v>671</v>
      </c>
      <c r="E34" s="1176" t="s">
        <v>750</v>
      </c>
      <c r="F34" s="1175" t="s">
        <v>751</v>
      </c>
      <c r="G34" s="1231">
        <v>44743</v>
      </c>
      <c r="H34" s="1231">
        <v>44834</v>
      </c>
      <c r="I34" s="1176">
        <v>4</v>
      </c>
      <c r="J34" s="1268" t="s">
        <v>683</v>
      </c>
      <c r="K34" s="1177" t="s">
        <v>674</v>
      </c>
      <c r="L34" s="1178" t="s">
        <v>747</v>
      </c>
      <c r="M34" s="1179">
        <f>80000000+31595960+43032640</f>
        <v>154628600</v>
      </c>
      <c r="N34" s="1189" t="s">
        <v>676</v>
      </c>
      <c r="O34" s="1174" t="s">
        <v>677</v>
      </c>
      <c r="P34" s="1163" t="s">
        <v>678</v>
      </c>
      <c r="Q34" s="1163"/>
      <c r="R34" s="1269">
        <v>154628600</v>
      </c>
      <c r="S34" s="1357"/>
      <c r="T34" s="1357">
        <f>+Tabla16[[#This Row],[CDPS A 31 JULIO 2022]]-Tabla16[[#This Row],[CDP]]</f>
        <v>154628600</v>
      </c>
      <c r="U34" s="1357"/>
      <c r="V34" s="1357"/>
      <c r="W34" s="1357"/>
      <c r="AK34" s="1207" t="s">
        <v>752</v>
      </c>
    </row>
    <row r="35" spans="1:38" s="1207" customFormat="1" ht="45" hidden="1" customHeight="1" x14ac:dyDescent="0.3">
      <c r="A35" s="1355">
        <v>2022031</v>
      </c>
      <c r="B35" s="1172">
        <v>7637</v>
      </c>
      <c r="C35" s="1356" t="s">
        <v>643</v>
      </c>
      <c r="D35" s="1173" t="s">
        <v>671</v>
      </c>
      <c r="E35" s="1176" t="s">
        <v>753</v>
      </c>
      <c r="F35" s="1175" t="s">
        <v>754</v>
      </c>
      <c r="G35" s="1377">
        <v>44669</v>
      </c>
      <c r="H35" s="1377">
        <v>44699</v>
      </c>
      <c r="I35" s="1176">
        <v>2</v>
      </c>
      <c r="J35" s="1176" t="s">
        <v>696</v>
      </c>
      <c r="K35" s="1177" t="s">
        <v>674</v>
      </c>
      <c r="L35" s="1178" t="s">
        <v>735</v>
      </c>
      <c r="M35" s="1179">
        <f>72100000+60000000+43900000</f>
        <v>176000000</v>
      </c>
      <c r="N35" s="1376" t="s">
        <v>704</v>
      </c>
      <c r="O35" s="1174" t="s">
        <v>677</v>
      </c>
      <c r="P35" s="1207" t="s">
        <v>678</v>
      </c>
      <c r="Q35" s="1163"/>
      <c r="R35" s="1269">
        <v>176000000</v>
      </c>
      <c r="S35" s="1357">
        <v>176000000</v>
      </c>
      <c r="T35" s="1357">
        <f>+Tabla16[[#This Row],[CDPS A 31 JULIO 2022]]-Tabla16[[#This Row],[CDP]]</f>
        <v>0</v>
      </c>
      <c r="U35" s="1357"/>
      <c r="V35" s="1357"/>
      <c r="W35" s="1357"/>
      <c r="AK35" s="1207" t="s">
        <v>732</v>
      </c>
    </row>
    <row r="36" spans="1:38" s="1207" customFormat="1" ht="45" hidden="1" customHeight="1" x14ac:dyDescent="0.3">
      <c r="A36" s="1355">
        <v>2022033</v>
      </c>
      <c r="B36" s="1172">
        <v>7637</v>
      </c>
      <c r="C36" s="1356" t="s">
        <v>643</v>
      </c>
      <c r="D36" s="1173" t="s">
        <v>671</v>
      </c>
      <c r="E36" s="1176" t="s">
        <v>755</v>
      </c>
      <c r="F36" s="1175" t="s">
        <v>756</v>
      </c>
      <c r="G36" s="1231">
        <v>44713</v>
      </c>
      <c r="H36" s="1231">
        <v>44773</v>
      </c>
      <c r="I36" s="1176">
        <v>3</v>
      </c>
      <c r="J36" s="1176" t="s">
        <v>683</v>
      </c>
      <c r="K36" s="1177" t="s">
        <v>674</v>
      </c>
      <c r="L36" s="1178" t="s">
        <v>735</v>
      </c>
      <c r="M36" s="1179">
        <v>50000000</v>
      </c>
      <c r="N36" s="1189" t="s">
        <v>676</v>
      </c>
      <c r="O36" s="1174" t="s">
        <v>677</v>
      </c>
      <c r="P36" s="1207" t="s">
        <v>757</v>
      </c>
      <c r="Q36" s="1163"/>
      <c r="R36" s="1269">
        <v>50000000</v>
      </c>
      <c r="S36" s="1357">
        <v>50000000</v>
      </c>
      <c r="T36" s="1357">
        <f>+Tabla16[[#This Row],[CDPS A 31 JULIO 2022]]-Tabla16[[#This Row],[CDP]]</f>
        <v>0</v>
      </c>
      <c r="U36" s="1357"/>
      <c r="V36" s="1357"/>
      <c r="W36" s="1357"/>
      <c r="AK36" s="1207" t="s">
        <v>736</v>
      </c>
    </row>
    <row r="37" spans="1:38" s="1207" customFormat="1" ht="45" hidden="1" customHeight="1" x14ac:dyDescent="0.3">
      <c r="A37" s="1355">
        <v>2022034</v>
      </c>
      <c r="B37" s="1172">
        <v>7637</v>
      </c>
      <c r="C37" s="1356" t="s">
        <v>643</v>
      </c>
      <c r="D37" s="1173" t="s">
        <v>671</v>
      </c>
      <c r="E37" s="1176">
        <v>81112217</v>
      </c>
      <c r="F37" s="1175" t="s">
        <v>758</v>
      </c>
      <c r="G37" s="1231">
        <v>44696</v>
      </c>
      <c r="H37" s="1231">
        <v>44727</v>
      </c>
      <c r="I37" s="1176">
        <v>12</v>
      </c>
      <c r="J37" s="1176" t="s">
        <v>696</v>
      </c>
      <c r="K37" s="1177" t="s">
        <v>674</v>
      </c>
      <c r="L37" s="1178" t="s">
        <v>735</v>
      </c>
      <c r="M37" s="1179">
        <f>35077000+20000000</f>
        <v>55077000</v>
      </c>
      <c r="N37" s="1376" t="s">
        <v>704</v>
      </c>
      <c r="O37" s="1174" t="s">
        <v>677</v>
      </c>
      <c r="P37" s="1207" t="s">
        <v>678</v>
      </c>
      <c r="Q37" s="1163"/>
      <c r="R37" s="1269">
        <v>0</v>
      </c>
      <c r="S37" s="1357"/>
      <c r="T37" s="1357">
        <f>+Tabla16[[#This Row],[CDPS A 31 JULIO 2022]]-Tabla16[[#This Row],[CDP]]</f>
        <v>0</v>
      </c>
      <c r="U37" s="1357"/>
      <c r="V37" s="1357"/>
      <c r="W37" s="1357"/>
      <c r="AK37" s="1207" t="s">
        <v>759</v>
      </c>
    </row>
    <row r="38" spans="1:38" s="1207" customFormat="1" ht="45" hidden="1" customHeight="1" x14ac:dyDescent="0.3">
      <c r="A38" s="1355">
        <v>2022036</v>
      </c>
      <c r="B38" s="1172">
        <v>7637</v>
      </c>
      <c r="C38" s="1356" t="s">
        <v>643</v>
      </c>
      <c r="D38" s="1173" t="s">
        <v>671</v>
      </c>
      <c r="E38" s="1176" t="s">
        <v>760</v>
      </c>
      <c r="F38" s="1178" t="s">
        <v>761</v>
      </c>
      <c r="G38" s="1231">
        <v>44562</v>
      </c>
      <c r="H38" s="1231">
        <v>44592</v>
      </c>
      <c r="I38" s="1176">
        <v>11</v>
      </c>
      <c r="J38" s="1176" t="s">
        <v>683</v>
      </c>
      <c r="K38" s="1177" t="s">
        <v>674</v>
      </c>
      <c r="L38" s="1178" t="s">
        <v>735</v>
      </c>
      <c r="M38" s="1179">
        <f>423904551-43900000-1500000-146454551</f>
        <v>232050000</v>
      </c>
      <c r="N38" s="1189" t="s">
        <v>676</v>
      </c>
      <c r="O38" s="1174" t="s">
        <v>677</v>
      </c>
      <c r="P38" s="1207" t="s">
        <v>678</v>
      </c>
      <c r="Q38" s="1163"/>
      <c r="R38" s="1269">
        <v>232050000</v>
      </c>
      <c r="S38" s="1357">
        <v>232050000</v>
      </c>
      <c r="T38" s="1357">
        <f>+Tabla16[[#This Row],[CDPS A 31 JULIO 2022]]-Tabla16[[#This Row],[CDP]]</f>
        <v>0</v>
      </c>
      <c r="U38" s="1357">
        <v>232050000</v>
      </c>
      <c r="V38" s="1357">
        <v>58012500</v>
      </c>
      <c r="W38" s="1357"/>
    </row>
    <row r="39" spans="1:38" s="1207" customFormat="1" ht="45" hidden="1" customHeight="1" x14ac:dyDescent="0.3">
      <c r="A39" s="1355">
        <v>2022037</v>
      </c>
      <c r="B39" s="1172">
        <v>7637</v>
      </c>
      <c r="C39" s="1356" t="s">
        <v>643</v>
      </c>
      <c r="D39" s="1173" t="s">
        <v>671</v>
      </c>
      <c r="E39" s="1176" t="s">
        <v>762</v>
      </c>
      <c r="F39" s="1175" t="s">
        <v>763</v>
      </c>
      <c r="G39" s="1231">
        <v>44621</v>
      </c>
      <c r="H39" s="1231">
        <v>44712</v>
      </c>
      <c r="I39" s="1176">
        <v>12</v>
      </c>
      <c r="J39" s="1176" t="s">
        <v>687</v>
      </c>
      <c r="K39" s="1177" t="s">
        <v>674</v>
      </c>
      <c r="L39" s="1178" t="s">
        <v>729</v>
      </c>
      <c r="M39" s="1179">
        <v>104794000</v>
      </c>
      <c r="N39" s="1189" t="s">
        <v>676</v>
      </c>
      <c r="O39" s="1174" t="s">
        <v>677</v>
      </c>
      <c r="P39" s="1207" t="s">
        <v>678</v>
      </c>
      <c r="Q39" s="1163"/>
      <c r="R39" s="1269">
        <v>104794000</v>
      </c>
      <c r="S39" s="1357">
        <v>104794000</v>
      </c>
      <c r="T39" s="1357">
        <f>+Tabla16[[#This Row],[CDPS A 31 JULIO 2022]]-Tabla16[[#This Row],[CDP]]</f>
        <v>0</v>
      </c>
      <c r="U39" s="1357">
        <v>104794000</v>
      </c>
      <c r="V39" s="1357"/>
      <c r="W39" s="1357"/>
      <c r="AK39" s="1207" t="s">
        <v>764</v>
      </c>
      <c r="AL39" s="1207" t="s">
        <v>765</v>
      </c>
    </row>
    <row r="40" spans="1:38" s="1207" customFormat="1" ht="45" hidden="1" customHeight="1" x14ac:dyDescent="0.3">
      <c r="A40" s="1355">
        <v>2022038</v>
      </c>
      <c r="B40" s="1172">
        <v>7637</v>
      </c>
      <c r="C40" s="1356" t="s">
        <v>643</v>
      </c>
      <c r="D40" s="1173" t="s">
        <v>671</v>
      </c>
      <c r="E40" s="1174">
        <v>43221500</v>
      </c>
      <c r="F40" s="1175" t="s">
        <v>766</v>
      </c>
      <c r="G40" s="1231">
        <v>44713</v>
      </c>
      <c r="H40" s="1231">
        <v>44742</v>
      </c>
      <c r="I40" s="1176">
        <v>6</v>
      </c>
      <c r="J40" s="1176" t="s">
        <v>699</v>
      </c>
      <c r="K40" s="1177" t="s">
        <v>674</v>
      </c>
      <c r="L40" s="1178" t="s">
        <v>735</v>
      </c>
      <c r="M40" s="1179">
        <v>38500000</v>
      </c>
      <c r="N40" s="1189" t="s">
        <v>676</v>
      </c>
      <c r="O40" s="1174" t="s">
        <v>677</v>
      </c>
      <c r="P40" s="1207" t="s">
        <v>678</v>
      </c>
      <c r="Q40" s="1163"/>
      <c r="R40" s="1269">
        <v>38500000</v>
      </c>
      <c r="S40" s="1357">
        <v>34500000</v>
      </c>
      <c r="T40" s="1357">
        <f>+Tabla16[[#This Row],[CDPS A 31 JULIO 2022]]-Tabla16[[#This Row],[CDP]]</f>
        <v>4000000</v>
      </c>
      <c r="U40" s="1357"/>
      <c r="V40" s="1357"/>
      <c r="W40" s="1357"/>
      <c r="AK40" s="1207" t="s">
        <v>767</v>
      </c>
      <c r="AL40" s="1207" t="s">
        <v>768</v>
      </c>
    </row>
    <row r="41" spans="1:38" s="1207" customFormat="1" ht="45" hidden="1" customHeight="1" x14ac:dyDescent="0.3">
      <c r="A41" s="1355">
        <v>2022039</v>
      </c>
      <c r="B41" s="1172">
        <v>7637</v>
      </c>
      <c r="C41" s="1356" t="s">
        <v>643</v>
      </c>
      <c r="D41" s="1173" t="s">
        <v>671</v>
      </c>
      <c r="E41" s="1202">
        <v>43233200</v>
      </c>
      <c r="F41" s="1378" t="s">
        <v>769</v>
      </c>
      <c r="G41" s="1377">
        <v>44713</v>
      </c>
      <c r="H41" s="1377">
        <v>44772</v>
      </c>
      <c r="I41" s="1176">
        <v>3</v>
      </c>
      <c r="J41" s="1176" t="s">
        <v>696</v>
      </c>
      <c r="K41" s="1177" t="s">
        <v>770</v>
      </c>
      <c r="L41" s="1178" t="s">
        <v>735</v>
      </c>
      <c r="M41" s="1179">
        <f>170000000+150000000+105400077</f>
        <v>425400077</v>
      </c>
      <c r="N41" s="1376" t="s">
        <v>704</v>
      </c>
      <c r="O41" s="1174" t="s">
        <v>677</v>
      </c>
      <c r="P41" s="1207" t="s">
        <v>678</v>
      </c>
      <c r="Q41" s="1163"/>
      <c r="R41" s="1269">
        <v>425400077</v>
      </c>
      <c r="S41" s="1357"/>
      <c r="T41" s="1357">
        <f>+Tabla16[[#This Row],[CDPS A 31 JULIO 2022]]-Tabla16[[#This Row],[CDP]]</f>
        <v>425400077</v>
      </c>
      <c r="U41" s="1357"/>
      <c r="V41" s="1357"/>
      <c r="W41" s="1357"/>
      <c r="AK41" s="1207" t="s">
        <v>771</v>
      </c>
      <c r="AL41" s="1207" t="s">
        <v>772</v>
      </c>
    </row>
    <row r="42" spans="1:38" s="1207" customFormat="1" ht="45" customHeight="1" x14ac:dyDescent="0.3">
      <c r="A42" s="1398">
        <v>2022041</v>
      </c>
      <c r="B42" s="1399">
        <v>7637</v>
      </c>
      <c r="C42" s="1400" t="s">
        <v>643</v>
      </c>
      <c r="D42" s="1423" t="s">
        <v>671</v>
      </c>
      <c r="E42" s="1422" t="s">
        <v>773</v>
      </c>
      <c r="F42" s="1426" t="s">
        <v>774</v>
      </c>
      <c r="G42" s="1421">
        <v>44762</v>
      </c>
      <c r="H42" s="1421">
        <v>44803</v>
      </c>
      <c r="I42" s="1405">
        <v>5</v>
      </c>
      <c r="J42" s="1405" t="s">
        <v>696</v>
      </c>
      <c r="K42" s="1406" t="s">
        <v>770</v>
      </c>
      <c r="L42" s="1407" t="s">
        <v>735</v>
      </c>
      <c r="M42" s="1408">
        <f>600000000-150000000+50000000</f>
        <v>500000000</v>
      </c>
      <c r="N42" s="1419" t="s">
        <v>676</v>
      </c>
      <c r="O42" s="1402" t="s">
        <v>677</v>
      </c>
      <c r="P42" s="1410" t="s">
        <v>678</v>
      </c>
      <c r="Q42" s="1163"/>
      <c r="R42" s="1269">
        <v>0</v>
      </c>
      <c r="S42" s="1357"/>
      <c r="T42" s="1357">
        <f>+Tabla16[[#This Row],[CDPS A 31 JULIO 2022]]-Tabla16[[#This Row],[CDP]]</f>
        <v>0</v>
      </c>
      <c r="U42" s="1357"/>
      <c r="V42" s="1357"/>
      <c r="W42" s="1357"/>
      <c r="AK42" s="1207" t="s">
        <v>775</v>
      </c>
      <c r="AL42" s="1207" t="s">
        <v>776</v>
      </c>
    </row>
    <row r="43" spans="1:38" s="1207" customFormat="1" ht="45" hidden="1" customHeight="1" x14ac:dyDescent="0.3">
      <c r="A43" s="1355">
        <v>2022042</v>
      </c>
      <c r="B43" s="1172">
        <v>7637</v>
      </c>
      <c r="C43" s="1356" t="s">
        <v>643</v>
      </c>
      <c r="D43" s="1173" t="s">
        <v>671</v>
      </c>
      <c r="E43" s="1174"/>
      <c r="F43" s="1175" t="s">
        <v>777</v>
      </c>
      <c r="G43" s="1176"/>
      <c r="H43" s="1176"/>
      <c r="I43" s="1176"/>
      <c r="J43" s="1176" t="s">
        <v>97</v>
      </c>
      <c r="K43" s="1177" t="s">
        <v>674</v>
      </c>
      <c r="L43" s="1178" t="s">
        <v>675</v>
      </c>
      <c r="M43" s="1179">
        <v>22500000</v>
      </c>
      <c r="N43" s="1189" t="s">
        <v>676</v>
      </c>
      <c r="O43" s="1174" t="s">
        <v>677</v>
      </c>
      <c r="P43" s="1207" t="s">
        <v>757</v>
      </c>
      <c r="Q43" s="1163"/>
      <c r="R43" s="1269">
        <v>53195750</v>
      </c>
      <c r="S43" s="1357">
        <v>53195750</v>
      </c>
      <c r="T43" s="1357">
        <f>+Tabla16[[#This Row],[CDPS A 31 JULIO 2022]]-Tabla16[[#This Row],[CDP]]</f>
        <v>0</v>
      </c>
      <c r="U43" s="1357">
        <v>53195750</v>
      </c>
      <c r="V43" s="1357">
        <v>53195750</v>
      </c>
      <c r="W43" s="1357"/>
      <c r="AK43" s="1207" t="s">
        <v>778</v>
      </c>
      <c r="AL43" s="1207" t="s">
        <v>779</v>
      </c>
    </row>
    <row r="44" spans="1:38" s="1207" customFormat="1" ht="45" hidden="1" customHeight="1" x14ac:dyDescent="0.3">
      <c r="A44" s="1355">
        <v>2022043</v>
      </c>
      <c r="B44" s="1172">
        <v>7655</v>
      </c>
      <c r="C44" s="1356" t="s">
        <v>668</v>
      </c>
      <c r="D44" s="1190" t="s">
        <v>689</v>
      </c>
      <c r="E44" s="1174" t="s">
        <v>780</v>
      </c>
      <c r="F44" s="1379" t="s">
        <v>781</v>
      </c>
      <c r="G44" s="1380">
        <v>44575</v>
      </c>
      <c r="H44" s="1380">
        <v>44575</v>
      </c>
      <c r="I44" s="1176">
        <v>11.5</v>
      </c>
      <c r="J44" s="1176" t="s">
        <v>673</v>
      </c>
      <c r="K44" s="1177" t="s">
        <v>674</v>
      </c>
      <c r="L44" s="1178" t="s">
        <v>782</v>
      </c>
      <c r="M44" s="1179">
        <v>92000000</v>
      </c>
      <c r="N44" s="1376" t="s">
        <v>783</v>
      </c>
      <c r="O44" s="1174" t="s">
        <v>778</v>
      </c>
      <c r="P44" s="1207" t="s">
        <v>678</v>
      </c>
      <c r="Q44" s="1163"/>
      <c r="R44" s="1269">
        <v>92000000</v>
      </c>
      <c r="S44" s="1357">
        <v>92000000</v>
      </c>
      <c r="T44" s="1357">
        <f>+Tabla16[[#This Row],[CDPS A 31 JULIO 2022]]-Tabla16[[#This Row],[CDP]]</f>
        <v>0</v>
      </c>
      <c r="U44" s="1357">
        <v>92000000</v>
      </c>
      <c r="V44" s="1357">
        <v>35466667</v>
      </c>
      <c r="W44" s="1357"/>
      <c r="AK44" s="1207" t="s">
        <v>677</v>
      </c>
      <c r="AL44" s="1207" t="s">
        <v>784</v>
      </c>
    </row>
    <row r="45" spans="1:38" s="1207" customFormat="1" ht="45" hidden="1" customHeight="1" x14ac:dyDescent="0.3">
      <c r="A45" s="1355">
        <v>2022044</v>
      </c>
      <c r="B45" s="1172">
        <v>7655</v>
      </c>
      <c r="C45" s="1356" t="s">
        <v>668</v>
      </c>
      <c r="D45" s="1190" t="s">
        <v>689</v>
      </c>
      <c r="E45" s="1174" t="s">
        <v>780</v>
      </c>
      <c r="F45" s="1379" t="s">
        <v>785</v>
      </c>
      <c r="G45" s="1380">
        <v>44575</v>
      </c>
      <c r="H45" s="1380">
        <v>44575</v>
      </c>
      <c r="I45" s="1176">
        <v>11.5</v>
      </c>
      <c r="J45" s="1176" t="s">
        <v>673</v>
      </c>
      <c r="K45" s="1177" t="s">
        <v>674</v>
      </c>
      <c r="L45" s="1178" t="s">
        <v>782</v>
      </c>
      <c r="M45" s="1179">
        <v>103500000</v>
      </c>
      <c r="N45" s="1376" t="s">
        <v>783</v>
      </c>
      <c r="O45" s="1174" t="s">
        <v>778</v>
      </c>
      <c r="P45" s="1207" t="s">
        <v>678</v>
      </c>
      <c r="Q45" s="1163"/>
      <c r="R45" s="1269">
        <v>103500000</v>
      </c>
      <c r="S45" s="1357">
        <v>103500000</v>
      </c>
      <c r="T45" s="1357">
        <f>+Tabla16[[#This Row],[CDPS A 31 JULIO 2022]]-Tabla16[[#This Row],[CDP]]</f>
        <v>0</v>
      </c>
      <c r="U45" s="1357">
        <v>103500000</v>
      </c>
      <c r="V45" s="1357">
        <v>41400000</v>
      </c>
      <c r="W45" s="1357"/>
      <c r="AL45" s="1207" t="s">
        <v>786</v>
      </c>
    </row>
    <row r="46" spans="1:38" s="1207" customFormat="1" ht="45" hidden="1" customHeight="1" x14ac:dyDescent="0.3">
      <c r="A46" s="1355">
        <v>2022045</v>
      </c>
      <c r="B46" s="1172">
        <v>7655</v>
      </c>
      <c r="C46" s="1356" t="s">
        <v>668</v>
      </c>
      <c r="D46" s="1190" t="s">
        <v>689</v>
      </c>
      <c r="E46" s="1174" t="s">
        <v>780</v>
      </c>
      <c r="F46" s="1379" t="s">
        <v>787</v>
      </c>
      <c r="G46" s="1380">
        <v>44575</v>
      </c>
      <c r="H46" s="1380">
        <v>44575</v>
      </c>
      <c r="I46" s="1176">
        <v>11.5</v>
      </c>
      <c r="J46" s="1176" t="s">
        <v>673</v>
      </c>
      <c r="K46" s="1177" t="s">
        <v>674</v>
      </c>
      <c r="L46" s="1178" t="s">
        <v>675</v>
      </c>
      <c r="M46" s="1179">
        <v>57500000</v>
      </c>
      <c r="N46" s="1376" t="s">
        <v>783</v>
      </c>
      <c r="O46" s="1174" t="s">
        <v>778</v>
      </c>
      <c r="P46" s="1207" t="s">
        <v>678</v>
      </c>
      <c r="Q46" s="1163"/>
      <c r="R46" s="1269">
        <v>57500000</v>
      </c>
      <c r="S46" s="1357">
        <v>57500000</v>
      </c>
      <c r="T46" s="1357">
        <f>+Tabla16[[#This Row],[CDPS A 31 JULIO 2022]]-Tabla16[[#This Row],[CDP]]</f>
        <v>0</v>
      </c>
      <c r="U46" s="1357">
        <v>57500000</v>
      </c>
      <c r="V46" s="1357">
        <v>22166667</v>
      </c>
      <c r="W46" s="1357"/>
      <c r="AL46" s="1207" t="s">
        <v>788</v>
      </c>
    </row>
    <row r="47" spans="1:38" s="1207" customFormat="1" ht="45" hidden="1" customHeight="1" x14ac:dyDescent="0.3">
      <c r="A47" s="1355">
        <v>2022046</v>
      </c>
      <c r="B47" s="1172">
        <v>7655</v>
      </c>
      <c r="C47" s="1356" t="s">
        <v>668</v>
      </c>
      <c r="D47" s="1190" t="s">
        <v>689</v>
      </c>
      <c r="E47" s="1174" t="s">
        <v>780</v>
      </c>
      <c r="F47" s="1379" t="s">
        <v>789</v>
      </c>
      <c r="G47" s="1380">
        <v>44575</v>
      </c>
      <c r="H47" s="1380">
        <v>44575</v>
      </c>
      <c r="I47" s="1176">
        <v>11.5</v>
      </c>
      <c r="J47" s="1176" t="s">
        <v>673</v>
      </c>
      <c r="K47" s="1177" t="s">
        <v>674</v>
      </c>
      <c r="L47" s="1178" t="s">
        <v>675</v>
      </c>
      <c r="M47" s="1179">
        <v>78200000</v>
      </c>
      <c r="N47" s="1376" t="s">
        <v>783</v>
      </c>
      <c r="O47" s="1174" t="s">
        <v>778</v>
      </c>
      <c r="P47" s="1207" t="s">
        <v>678</v>
      </c>
      <c r="Q47" s="1163"/>
      <c r="R47" s="1269">
        <v>78200000</v>
      </c>
      <c r="S47" s="1357">
        <v>78200000</v>
      </c>
      <c r="T47" s="1357">
        <f>+Tabla16[[#This Row],[CDPS A 31 JULIO 2022]]-Tabla16[[#This Row],[CDP]]</f>
        <v>0</v>
      </c>
      <c r="U47" s="1357">
        <v>78200000</v>
      </c>
      <c r="V47" s="1357">
        <v>30146667</v>
      </c>
      <c r="W47" s="1357"/>
      <c r="AL47" s="1207" t="s">
        <v>790</v>
      </c>
    </row>
    <row r="48" spans="1:38" s="1207" customFormat="1" ht="45" hidden="1" customHeight="1" x14ac:dyDescent="0.3">
      <c r="A48" s="1355">
        <v>2022047</v>
      </c>
      <c r="B48" s="1172">
        <v>7655</v>
      </c>
      <c r="C48" s="1356" t="s">
        <v>668</v>
      </c>
      <c r="D48" s="1190" t="s">
        <v>689</v>
      </c>
      <c r="E48" s="1174" t="s">
        <v>780</v>
      </c>
      <c r="F48" s="1379" t="s">
        <v>791</v>
      </c>
      <c r="G48" s="1380">
        <v>44575</v>
      </c>
      <c r="H48" s="1380">
        <v>44575</v>
      </c>
      <c r="I48" s="1176">
        <v>11.5</v>
      </c>
      <c r="J48" s="1176" t="s">
        <v>673</v>
      </c>
      <c r="K48" s="1177" t="s">
        <v>674</v>
      </c>
      <c r="L48" s="1178" t="s">
        <v>675</v>
      </c>
      <c r="M48" s="1179">
        <v>38525000</v>
      </c>
      <c r="N48" s="1376" t="s">
        <v>783</v>
      </c>
      <c r="O48" s="1174" t="s">
        <v>778</v>
      </c>
      <c r="P48" s="1207" t="s">
        <v>678</v>
      </c>
      <c r="Q48" s="1163"/>
      <c r="R48" s="1269">
        <v>38525000</v>
      </c>
      <c r="S48" s="1357">
        <v>38525000</v>
      </c>
      <c r="T48" s="1357">
        <f>+Tabla16[[#This Row],[CDPS A 31 JULIO 2022]]-Tabla16[[#This Row],[CDP]]</f>
        <v>0</v>
      </c>
      <c r="U48" s="1357">
        <v>38525000</v>
      </c>
      <c r="V48" s="1357">
        <v>15410000</v>
      </c>
      <c r="W48" s="1357"/>
      <c r="AL48" s="1207" t="s">
        <v>783</v>
      </c>
    </row>
    <row r="49" spans="1:38" s="1207" customFormat="1" ht="45" hidden="1" customHeight="1" x14ac:dyDescent="0.3">
      <c r="A49" s="1355">
        <v>2022048</v>
      </c>
      <c r="B49" s="1172">
        <v>7655</v>
      </c>
      <c r="C49" s="1356" t="s">
        <v>668</v>
      </c>
      <c r="D49" s="1190" t="s">
        <v>689</v>
      </c>
      <c r="E49" s="1174" t="s">
        <v>780</v>
      </c>
      <c r="F49" s="1379" t="s">
        <v>792</v>
      </c>
      <c r="G49" s="1380">
        <v>44575</v>
      </c>
      <c r="H49" s="1380">
        <v>44575</v>
      </c>
      <c r="I49" s="1176">
        <v>11.5</v>
      </c>
      <c r="J49" s="1176" t="s">
        <v>673</v>
      </c>
      <c r="K49" s="1177" t="s">
        <v>674</v>
      </c>
      <c r="L49" s="1178" t="s">
        <v>782</v>
      </c>
      <c r="M49" s="1179">
        <v>92000000</v>
      </c>
      <c r="N49" s="1376" t="s">
        <v>783</v>
      </c>
      <c r="O49" s="1174" t="s">
        <v>778</v>
      </c>
      <c r="P49" s="1207" t="s">
        <v>678</v>
      </c>
      <c r="Q49" s="1163"/>
      <c r="R49" s="1269">
        <v>92000000</v>
      </c>
      <c r="S49" s="1357">
        <v>92000000</v>
      </c>
      <c r="T49" s="1357">
        <f>+Tabla16[[#This Row],[CDPS A 31 JULIO 2022]]-Tabla16[[#This Row],[CDP]]</f>
        <v>0</v>
      </c>
      <c r="U49" s="1357">
        <v>92000000</v>
      </c>
      <c r="V49" s="1357">
        <v>36800000</v>
      </c>
      <c r="W49" s="1357"/>
      <c r="AL49" s="1207" t="s">
        <v>704</v>
      </c>
    </row>
    <row r="50" spans="1:38" s="1207" customFormat="1" ht="45" hidden="1" customHeight="1" x14ac:dyDescent="0.3">
      <c r="A50" s="1355">
        <v>2022050</v>
      </c>
      <c r="B50" s="1172">
        <v>7655</v>
      </c>
      <c r="C50" s="1356" t="s">
        <v>668</v>
      </c>
      <c r="D50" s="1190" t="s">
        <v>689</v>
      </c>
      <c r="E50" s="1174" t="s">
        <v>780</v>
      </c>
      <c r="F50" s="1379" t="s">
        <v>793</v>
      </c>
      <c r="G50" s="1380">
        <v>44575</v>
      </c>
      <c r="H50" s="1380">
        <v>44575</v>
      </c>
      <c r="I50" s="1176">
        <v>7</v>
      </c>
      <c r="J50" s="1176" t="s">
        <v>673</v>
      </c>
      <c r="K50" s="1177" t="s">
        <v>674</v>
      </c>
      <c r="L50" s="1178" t="s">
        <v>675</v>
      </c>
      <c r="M50" s="1179">
        <v>38500000</v>
      </c>
      <c r="N50" s="1376" t="s">
        <v>783</v>
      </c>
      <c r="O50" s="1174" t="s">
        <v>778</v>
      </c>
      <c r="P50" s="1207" t="s">
        <v>678</v>
      </c>
      <c r="Q50" s="1163"/>
      <c r="R50" s="1269">
        <v>38500000</v>
      </c>
      <c r="S50" s="1357">
        <v>38500000</v>
      </c>
      <c r="T50" s="1357">
        <f>+Tabla16[[#This Row],[CDPS A 31 JULIO 2022]]-Tabla16[[#This Row],[CDP]]</f>
        <v>0</v>
      </c>
      <c r="U50" s="1357">
        <v>38500000</v>
      </c>
      <c r="V50" s="1357">
        <v>20900000</v>
      </c>
      <c r="W50" s="1357"/>
      <c r="AL50" s="1207" t="s">
        <v>685</v>
      </c>
    </row>
    <row r="51" spans="1:38" s="1207" customFormat="1" ht="45" hidden="1" customHeight="1" x14ac:dyDescent="0.3">
      <c r="A51" s="1355">
        <v>2022051</v>
      </c>
      <c r="B51" s="1172">
        <v>7655</v>
      </c>
      <c r="C51" s="1356" t="s">
        <v>668</v>
      </c>
      <c r="D51" s="1190" t="s">
        <v>689</v>
      </c>
      <c r="E51" s="1174" t="s">
        <v>780</v>
      </c>
      <c r="F51" s="1379" t="s">
        <v>794</v>
      </c>
      <c r="G51" s="1380">
        <v>44575</v>
      </c>
      <c r="H51" s="1380">
        <v>44575</v>
      </c>
      <c r="I51" s="1176">
        <v>11.5</v>
      </c>
      <c r="J51" s="1176" t="s">
        <v>673</v>
      </c>
      <c r="K51" s="1177" t="s">
        <v>674</v>
      </c>
      <c r="L51" s="1178" t="s">
        <v>675</v>
      </c>
      <c r="M51" s="1179">
        <v>20700000</v>
      </c>
      <c r="N51" s="1376" t="s">
        <v>783</v>
      </c>
      <c r="O51" s="1174" t="s">
        <v>778</v>
      </c>
      <c r="P51" s="1207" t="s">
        <v>678</v>
      </c>
      <c r="Q51" s="1163"/>
      <c r="R51" s="1269">
        <v>20700000</v>
      </c>
      <c r="S51" s="1357">
        <v>20700000</v>
      </c>
      <c r="T51" s="1357">
        <f>+Tabla16[[#This Row],[CDPS A 31 JULIO 2022]]-Tabla16[[#This Row],[CDP]]</f>
        <v>0</v>
      </c>
      <c r="U51" s="1357">
        <v>20700000</v>
      </c>
      <c r="V51" s="1357">
        <v>7980000</v>
      </c>
      <c r="W51" s="1357"/>
    </row>
    <row r="52" spans="1:38" s="1207" customFormat="1" ht="45" hidden="1" customHeight="1" x14ac:dyDescent="0.3">
      <c r="A52" s="1355">
        <v>2022052</v>
      </c>
      <c r="B52" s="1172">
        <v>7655</v>
      </c>
      <c r="C52" s="1356" t="s">
        <v>668</v>
      </c>
      <c r="D52" s="1190" t="s">
        <v>689</v>
      </c>
      <c r="E52" s="1174" t="s">
        <v>780</v>
      </c>
      <c r="F52" s="1379" t="s">
        <v>795</v>
      </c>
      <c r="G52" s="1380">
        <v>44575</v>
      </c>
      <c r="H52" s="1380">
        <v>44575</v>
      </c>
      <c r="I52" s="1176">
        <v>11.5</v>
      </c>
      <c r="J52" s="1176" t="s">
        <v>673</v>
      </c>
      <c r="K52" s="1177" t="s">
        <v>674</v>
      </c>
      <c r="L52" s="1178" t="s">
        <v>675</v>
      </c>
      <c r="M52" s="1179">
        <v>83950000</v>
      </c>
      <c r="N52" s="1376" t="s">
        <v>783</v>
      </c>
      <c r="O52" s="1174" t="s">
        <v>778</v>
      </c>
      <c r="P52" s="1207" t="s">
        <v>678</v>
      </c>
      <c r="Q52" s="1163"/>
      <c r="R52" s="1269">
        <v>83950000</v>
      </c>
      <c r="S52" s="1357">
        <v>83950000</v>
      </c>
      <c r="T52" s="1357">
        <f>+Tabla16[[#This Row],[CDPS A 31 JULIO 2022]]-Tabla16[[#This Row],[CDP]]</f>
        <v>0</v>
      </c>
      <c r="U52" s="1357">
        <v>83950000</v>
      </c>
      <c r="V52" s="1357">
        <v>32363333</v>
      </c>
      <c r="W52" s="1357"/>
    </row>
    <row r="53" spans="1:38" s="1207" customFormat="1" ht="45" hidden="1" customHeight="1" x14ac:dyDescent="0.3">
      <c r="A53" s="1355">
        <v>2022053</v>
      </c>
      <c r="B53" s="1172">
        <v>7655</v>
      </c>
      <c r="C53" s="1356" t="s">
        <v>668</v>
      </c>
      <c r="D53" s="1190" t="s">
        <v>689</v>
      </c>
      <c r="E53" s="1174" t="s">
        <v>780</v>
      </c>
      <c r="F53" s="1379" t="s">
        <v>796</v>
      </c>
      <c r="G53" s="1380">
        <v>44575</v>
      </c>
      <c r="H53" s="1380">
        <v>44575</v>
      </c>
      <c r="I53" s="1176">
        <v>11.5</v>
      </c>
      <c r="J53" s="1176" t="s">
        <v>673</v>
      </c>
      <c r="K53" s="1177" t="s">
        <v>674</v>
      </c>
      <c r="L53" s="1178" t="s">
        <v>675</v>
      </c>
      <c r="M53" s="1179">
        <v>38525000</v>
      </c>
      <c r="N53" s="1376" t="s">
        <v>783</v>
      </c>
      <c r="O53" s="1174" t="s">
        <v>778</v>
      </c>
      <c r="P53" s="1207" t="s">
        <v>678</v>
      </c>
      <c r="Q53" s="1163"/>
      <c r="R53" s="1269">
        <v>38525000</v>
      </c>
      <c r="S53" s="1357">
        <v>38525000</v>
      </c>
      <c r="T53" s="1357">
        <f>+Tabla16[[#This Row],[CDPS A 31 JULIO 2022]]-Tabla16[[#This Row],[CDP]]</f>
        <v>0</v>
      </c>
      <c r="U53" s="1357">
        <v>38525000</v>
      </c>
      <c r="V53" s="1357">
        <v>13400000</v>
      </c>
      <c r="W53" s="1357"/>
    </row>
    <row r="54" spans="1:38" s="1207" customFormat="1" ht="45" hidden="1" customHeight="1" x14ac:dyDescent="0.3">
      <c r="A54" s="1355">
        <v>2022054</v>
      </c>
      <c r="B54" s="1172">
        <v>7655</v>
      </c>
      <c r="C54" s="1356" t="s">
        <v>668</v>
      </c>
      <c r="D54" s="1190" t="s">
        <v>689</v>
      </c>
      <c r="E54" s="1174" t="s">
        <v>780</v>
      </c>
      <c r="F54" s="1379" t="s">
        <v>797</v>
      </c>
      <c r="G54" s="1380">
        <v>44575</v>
      </c>
      <c r="H54" s="1380">
        <v>44575</v>
      </c>
      <c r="I54" s="1176">
        <v>6</v>
      </c>
      <c r="J54" s="1176" t="s">
        <v>673</v>
      </c>
      <c r="K54" s="1177" t="s">
        <v>674</v>
      </c>
      <c r="L54" s="1178" t="s">
        <v>675</v>
      </c>
      <c r="M54" s="1179">
        <v>27000000</v>
      </c>
      <c r="N54" s="1376" t="s">
        <v>783</v>
      </c>
      <c r="O54" s="1174" t="s">
        <v>778</v>
      </c>
      <c r="P54" s="1207" t="s">
        <v>678</v>
      </c>
      <c r="Q54" s="1163"/>
      <c r="R54" s="1269">
        <v>27000000</v>
      </c>
      <c r="S54" s="1357">
        <v>27000000</v>
      </c>
      <c r="T54" s="1357">
        <f>+Tabla16[[#This Row],[CDPS A 31 JULIO 2022]]-Tabla16[[#This Row],[CDP]]</f>
        <v>0</v>
      </c>
      <c r="U54" s="1357">
        <v>27000000</v>
      </c>
      <c r="V54" s="1357"/>
      <c r="W54" s="1357"/>
    </row>
    <row r="55" spans="1:38" s="1207" customFormat="1" ht="45" hidden="1" customHeight="1" x14ac:dyDescent="0.3">
      <c r="A55" s="1355">
        <v>2022055</v>
      </c>
      <c r="B55" s="1172">
        <v>7655</v>
      </c>
      <c r="C55" s="1356" t="s">
        <v>668</v>
      </c>
      <c r="D55" s="1190" t="s">
        <v>689</v>
      </c>
      <c r="E55" s="1174" t="s">
        <v>780</v>
      </c>
      <c r="F55" s="1379" t="s">
        <v>798</v>
      </c>
      <c r="G55" s="1380">
        <v>44575</v>
      </c>
      <c r="H55" s="1380">
        <v>44575</v>
      </c>
      <c r="I55" s="1176">
        <v>11.5</v>
      </c>
      <c r="J55" s="1176" t="s">
        <v>673</v>
      </c>
      <c r="K55" s="1177" t="s">
        <v>674</v>
      </c>
      <c r="L55" s="1178" t="s">
        <v>675</v>
      </c>
      <c r="M55" s="1179">
        <v>51750000</v>
      </c>
      <c r="N55" s="1376" t="s">
        <v>783</v>
      </c>
      <c r="O55" s="1174" t="s">
        <v>778</v>
      </c>
      <c r="P55" s="1207" t="s">
        <v>678</v>
      </c>
      <c r="Q55" s="1163"/>
      <c r="R55" s="1269">
        <v>51750000</v>
      </c>
      <c r="S55" s="1357">
        <v>51750000</v>
      </c>
      <c r="T55" s="1357">
        <f>+Tabla16[[#This Row],[CDPS A 31 JULIO 2022]]-Tabla16[[#This Row],[CDP]]</f>
        <v>0</v>
      </c>
      <c r="U55" s="1357">
        <v>51750000</v>
      </c>
      <c r="V55" s="1357">
        <v>18000000</v>
      </c>
      <c r="W55" s="1357"/>
    </row>
    <row r="56" spans="1:38" s="1207" customFormat="1" ht="45" hidden="1" customHeight="1" x14ac:dyDescent="0.3">
      <c r="A56" s="1355">
        <v>2022056</v>
      </c>
      <c r="B56" s="1172">
        <v>7655</v>
      </c>
      <c r="C56" s="1356" t="s">
        <v>668</v>
      </c>
      <c r="D56" s="1190" t="s">
        <v>689</v>
      </c>
      <c r="E56" s="1174">
        <v>80111600</v>
      </c>
      <c r="F56" s="1379" t="s">
        <v>799</v>
      </c>
      <c r="G56" s="1380">
        <v>44575</v>
      </c>
      <c r="H56" s="1380">
        <v>44575</v>
      </c>
      <c r="I56" s="1176">
        <v>11.5</v>
      </c>
      <c r="J56" s="1176" t="s">
        <v>673</v>
      </c>
      <c r="K56" s="1177" t="s">
        <v>674</v>
      </c>
      <c r="L56" s="1178" t="s">
        <v>675</v>
      </c>
      <c r="M56" s="1179">
        <v>0</v>
      </c>
      <c r="N56" s="1376" t="s">
        <v>783</v>
      </c>
      <c r="O56" s="1174" t="s">
        <v>778</v>
      </c>
      <c r="P56" s="1207" t="s">
        <v>678</v>
      </c>
      <c r="Q56" s="1163"/>
      <c r="R56" s="1269">
        <v>0</v>
      </c>
      <c r="S56" s="1357"/>
      <c r="T56" s="1357">
        <f>+Tabla16[[#This Row],[CDPS A 31 JULIO 2022]]-Tabla16[[#This Row],[CDP]]</f>
        <v>0</v>
      </c>
      <c r="U56" s="1357"/>
      <c r="V56" s="1357"/>
      <c r="W56" s="1357"/>
    </row>
    <row r="57" spans="1:38" s="1207" customFormat="1" ht="45" hidden="1" customHeight="1" x14ac:dyDescent="0.3">
      <c r="A57" s="1355">
        <v>2022057</v>
      </c>
      <c r="B57" s="1172">
        <v>7655</v>
      </c>
      <c r="C57" s="1356" t="s">
        <v>668</v>
      </c>
      <c r="D57" s="1190" t="s">
        <v>689</v>
      </c>
      <c r="E57" s="1174" t="s">
        <v>780</v>
      </c>
      <c r="F57" s="1379" t="s">
        <v>800</v>
      </c>
      <c r="G57" s="1380">
        <v>44575</v>
      </c>
      <c r="H57" s="1380">
        <v>44575</v>
      </c>
      <c r="I57" s="1176">
        <v>11.5</v>
      </c>
      <c r="J57" s="1176" t="s">
        <v>673</v>
      </c>
      <c r="K57" s="1177" t="s">
        <v>674</v>
      </c>
      <c r="L57" s="1178" t="s">
        <v>675</v>
      </c>
      <c r="M57" s="1179">
        <v>38525000</v>
      </c>
      <c r="N57" s="1376" t="s">
        <v>783</v>
      </c>
      <c r="O57" s="1174" t="s">
        <v>778</v>
      </c>
      <c r="P57" s="1207" t="s">
        <v>678</v>
      </c>
      <c r="Q57" s="1163"/>
      <c r="R57" s="1269">
        <v>38525000</v>
      </c>
      <c r="S57" s="1357">
        <v>38525000</v>
      </c>
      <c r="T57" s="1357">
        <f>+Tabla16[[#This Row],[CDPS A 31 JULIO 2022]]-Tabla16[[#This Row],[CDP]]</f>
        <v>0</v>
      </c>
      <c r="U57" s="1357">
        <v>38525000</v>
      </c>
      <c r="V57" s="1357">
        <v>14628333</v>
      </c>
      <c r="W57" s="1357"/>
    </row>
    <row r="58" spans="1:38" s="1207" customFormat="1" ht="45" hidden="1" customHeight="1" x14ac:dyDescent="0.3">
      <c r="A58" s="1355">
        <v>2022058</v>
      </c>
      <c r="B58" s="1172">
        <v>7655</v>
      </c>
      <c r="C58" s="1356" t="s">
        <v>668</v>
      </c>
      <c r="D58" s="1190" t="s">
        <v>689</v>
      </c>
      <c r="E58" s="1174" t="s">
        <v>780</v>
      </c>
      <c r="F58" s="1379" t="s">
        <v>801</v>
      </c>
      <c r="G58" s="1380">
        <v>44575</v>
      </c>
      <c r="H58" s="1380">
        <v>44575</v>
      </c>
      <c r="I58" s="1176">
        <v>11.5</v>
      </c>
      <c r="J58" s="1176" t="s">
        <v>673</v>
      </c>
      <c r="K58" s="1177" t="s">
        <v>674</v>
      </c>
      <c r="L58" s="1178" t="s">
        <v>675</v>
      </c>
      <c r="M58" s="1179">
        <v>28175000</v>
      </c>
      <c r="N58" s="1376" t="s">
        <v>783</v>
      </c>
      <c r="O58" s="1174" t="s">
        <v>778</v>
      </c>
      <c r="P58" s="1207" t="s">
        <v>678</v>
      </c>
      <c r="Q58" s="1163"/>
      <c r="R58" s="1269">
        <v>28175000</v>
      </c>
      <c r="S58" s="1357">
        <v>28175000</v>
      </c>
      <c r="T58" s="1357">
        <f>+Tabla16[[#This Row],[CDPS A 31 JULIO 2022]]-Tabla16[[#This Row],[CDP]]</f>
        <v>0</v>
      </c>
      <c r="U58" s="1357">
        <v>28175000</v>
      </c>
      <c r="V58" s="1357">
        <v>10943333</v>
      </c>
      <c r="W58" s="1357"/>
    </row>
    <row r="59" spans="1:38" s="1207" customFormat="1" ht="45" hidden="1" customHeight="1" x14ac:dyDescent="0.3">
      <c r="A59" s="1355">
        <v>2022059</v>
      </c>
      <c r="B59" s="1172">
        <v>7655</v>
      </c>
      <c r="C59" s="1356" t="s">
        <v>668</v>
      </c>
      <c r="D59" s="1190" t="s">
        <v>689</v>
      </c>
      <c r="E59" s="1174" t="s">
        <v>780</v>
      </c>
      <c r="F59" s="1379" t="s">
        <v>802</v>
      </c>
      <c r="G59" s="1380">
        <v>44575</v>
      </c>
      <c r="H59" s="1380">
        <v>44575</v>
      </c>
      <c r="I59" s="1176">
        <v>11.5</v>
      </c>
      <c r="J59" s="1176" t="s">
        <v>673</v>
      </c>
      <c r="K59" s="1177" t="s">
        <v>674</v>
      </c>
      <c r="L59" s="1178" t="s">
        <v>675</v>
      </c>
      <c r="M59" s="1179">
        <v>44275000</v>
      </c>
      <c r="N59" s="1376" t="s">
        <v>783</v>
      </c>
      <c r="O59" s="1174" t="s">
        <v>778</v>
      </c>
      <c r="P59" s="1207" t="s">
        <v>678</v>
      </c>
      <c r="Q59" s="1163"/>
      <c r="R59" s="1269">
        <v>44275000</v>
      </c>
      <c r="S59" s="1357">
        <v>44275000</v>
      </c>
      <c r="T59" s="1357">
        <f>+Tabla16[[#This Row],[CDPS A 31 JULIO 2022]]-Tabla16[[#This Row],[CDP]]</f>
        <v>0</v>
      </c>
      <c r="U59" s="1357">
        <v>44275000</v>
      </c>
      <c r="V59" s="1357">
        <v>16811667</v>
      </c>
      <c r="W59" s="1357"/>
    </row>
    <row r="60" spans="1:38" s="1207" customFormat="1" ht="45" hidden="1" customHeight="1" x14ac:dyDescent="0.3">
      <c r="A60" s="1355">
        <v>2022060</v>
      </c>
      <c r="B60" s="1172">
        <v>7655</v>
      </c>
      <c r="C60" s="1356" t="s">
        <v>668</v>
      </c>
      <c r="D60" s="1190" t="s">
        <v>689</v>
      </c>
      <c r="E60" s="1174" t="s">
        <v>780</v>
      </c>
      <c r="F60" s="1379" t="s">
        <v>802</v>
      </c>
      <c r="G60" s="1380">
        <v>44575</v>
      </c>
      <c r="H60" s="1380">
        <v>44575</v>
      </c>
      <c r="I60" s="1176">
        <v>11.5</v>
      </c>
      <c r="J60" s="1176" t="s">
        <v>673</v>
      </c>
      <c r="K60" s="1177" t="s">
        <v>674</v>
      </c>
      <c r="L60" s="1178" t="s">
        <v>675</v>
      </c>
      <c r="M60" s="1179">
        <v>44275000</v>
      </c>
      <c r="N60" s="1376" t="s">
        <v>783</v>
      </c>
      <c r="O60" s="1174" t="s">
        <v>778</v>
      </c>
      <c r="P60" s="1207" t="s">
        <v>678</v>
      </c>
      <c r="Q60" s="1163"/>
      <c r="R60" s="1269">
        <v>44275000</v>
      </c>
      <c r="S60" s="1357">
        <v>44275000</v>
      </c>
      <c r="T60" s="1357">
        <f>+Tabla16[[#This Row],[CDPS A 31 JULIO 2022]]-Tabla16[[#This Row],[CDP]]</f>
        <v>0</v>
      </c>
      <c r="U60" s="1357">
        <v>44275000</v>
      </c>
      <c r="V60" s="1357">
        <v>15784999</v>
      </c>
      <c r="W60" s="1357"/>
    </row>
    <row r="61" spans="1:38" s="1207" customFormat="1" ht="45" hidden="1" customHeight="1" x14ac:dyDescent="0.3">
      <c r="A61" s="1355">
        <v>2022061</v>
      </c>
      <c r="B61" s="1172">
        <v>7655</v>
      </c>
      <c r="C61" s="1356" t="s">
        <v>668</v>
      </c>
      <c r="D61" s="1190" t="s">
        <v>689</v>
      </c>
      <c r="E61" s="1174" t="s">
        <v>780</v>
      </c>
      <c r="F61" s="1379" t="s">
        <v>803</v>
      </c>
      <c r="G61" s="1380">
        <v>44575</v>
      </c>
      <c r="H61" s="1380">
        <v>44575</v>
      </c>
      <c r="I61" s="1176">
        <v>11.5</v>
      </c>
      <c r="J61" s="1176" t="s">
        <v>673</v>
      </c>
      <c r="K61" s="1177" t="s">
        <v>674</v>
      </c>
      <c r="L61" s="1178" t="s">
        <v>675</v>
      </c>
      <c r="M61" s="1179">
        <v>51750000</v>
      </c>
      <c r="N61" s="1376" t="s">
        <v>783</v>
      </c>
      <c r="O61" s="1174" t="s">
        <v>778</v>
      </c>
      <c r="P61" s="1207" t="s">
        <v>678</v>
      </c>
      <c r="Q61" s="1163"/>
      <c r="R61" s="1269">
        <v>51750000</v>
      </c>
      <c r="S61" s="1357">
        <v>51750000</v>
      </c>
      <c r="T61" s="1357">
        <f>+Tabla16[[#This Row],[CDPS A 31 JULIO 2022]]-Tabla16[[#This Row],[CDP]]</f>
        <v>0</v>
      </c>
      <c r="U61" s="1357">
        <v>51750000</v>
      </c>
      <c r="V61" s="1357">
        <v>17700000</v>
      </c>
      <c r="W61" s="1357"/>
    </row>
    <row r="62" spans="1:38" s="1207" customFormat="1" ht="45" hidden="1" customHeight="1" x14ac:dyDescent="0.3">
      <c r="A62" s="1355">
        <v>2022062</v>
      </c>
      <c r="B62" s="1172">
        <v>7655</v>
      </c>
      <c r="C62" s="1356" t="s">
        <v>668</v>
      </c>
      <c r="D62" s="1190" t="s">
        <v>689</v>
      </c>
      <c r="E62" s="1174" t="s">
        <v>780</v>
      </c>
      <c r="F62" s="1379" t="s">
        <v>804</v>
      </c>
      <c r="G62" s="1380">
        <v>44575</v>
      </c>
      <c r="H62" s="1380">
        <v>44575</v>
      </c>
      <c r="I62" s="1176">
        <v>7</v>
      </c>
      <c r="J62" s="1176" t="s">
        <v>673</v>
      </c>
      <c r="K62" s="1177" t="s">
        <v>674</v>
      </c>
      <c r="L62" s="1178" t="s">
        <v>675</v>
      </c>
      <c r="M62" s="1179">
        <v>51100000</v>
      </c>
      <c r="N62" s="1376" t="s">
        <v>783</v>
      </c>
      <c r="O62" s="1174" t="s">
        <v>778</v>
      </c>
      <c r="P62" s="1207" t="s">
        <v>678</v>
      </c>
      <c r="Q62" s="1163"/>
      <c r="R62" s="1269">
        <v>51100000</v>
      </c>
      <c r="S62" s="1357">
        <v>51100000</v>
      </c>
      <c r="T62" s="1357">
        <f>+Tabla16[[#This Row],[CDPS A 31 JULIO 2022]]-Tabla16[[#This Row],[CDP]]</f>
        <v>0</v>
      </c>
      <c r="U62" s="1357">
        <v>51100000</v>
      </c>
      <c r="V62" s="1357">
        <v>31633333</v>
      </c>
      <c r="W62" s="1357"/>
    </row>
    <row r="63" spans="1:38" s="1207" customFormat="1" ht="45" customHeight="1" x14ac:dyDescent="0.3">
      <c r="A63" s="1398">
        <v>2022063</v>
      </c>
      <c r="B63" s="1399">
        <v>7655</v>
      </c>
      <c r="C63" s="1400" t="s">
        <v>668</v>
      </c>
      <c r="D63" s="1401" t="s">
        <v>689</v>
      </c>
      <c r="E63" s="1402" t="s">
        <v>805</v>
      </c>
      <c r="F63" s="1403" t="s">
        <v>806</v>
      </c>
      <c r="G63" s="1404">
        <v>44630</v>
      </c>
      <c r="H63" s="1404">
        <v>44630</v>
      </c>
      <c r="I63" s="1405">
        <v>4</v>
      </c>
      <c r="J63" s="1405" t="s">
        <v>699</v>
      </c>
      <c r="K63" s="1406" t="s">
        <v>674</v>
      </c>
      <c r="L63" s="1407" t="s">
        <v>807</v>
      </c>
      <c r="M63" s="1408">
        <f>20000000-1622500-8377500</f>
        <v>10000000</v>
      </c>
      <c r="N63" s="1409" t="s">
        <v>783</v>
      </c>
      <c r="O63" s="1402" t="s">
        <v>778</v>
      </c>
      <c r="P63" s="1410" t="s">
        <v>678</v>
      </c>
      <c r="Q63" s="1163"/>
      <c r="R63" s="1269">
        <v>0</v>
      </c>
      <c r="S63" s="1357"/>
      <c r="T63" s="1357">
        <f>+Tabla16[[#This Row],[CDPS A 31 JULIO 2022]]-Tabla16[[#This Row],[CDP]]</f>
        <v>0</v>
      </c>
      <c r="U63" s="1357"/>
      <c r="V63" s="1357"/>
      <c r="W63" s="1357"/>
    </row>
    <row r="64" spans="1:38" s="1207" customFormat="1" ht="45" hidden="1" customHeight="1" x14ac:dyDescent="0.3">
      <c r="A64" s="1355">
        <v>2022064</v>
      </c>
      <c r="B64" s="1172">
        <v>7655</v>
      </c>
      <c r="C64" s="1356" t="s">
        <v>668</v>
      </c>
      <c r="D64" s="1190" t="s">
        <v>689</v>
      </c>
      <c r="E64" s="1174" t="s">
        <v>808</v>
      </c>
      <c r="F64" s="1379" t="s">
        <v>809</v>
      </c>
      <c r="G64" s="1380">
        <v>44576</v>
      </c>
      <c r="H64" s="1380">
        <v>44576</v>
      </c>
      <c r="I64" s="1176" t="s">
        <v>97</v>
      </c>
      <c r="J64" s="1176" t="s">
        <v>687</v>
      </c>
      <c r="K64" s="1177" t="s">
        <v>674</v>
      </c>
      <c r="L64" s="1178" t="s">
        <v>675</v>
      </c>
      <c r="M64" s="1179">
        <v>20000000</v>
      </c>
      <c r="N64" s="1376" t="s">
        <v>783</v>
      </c>
      <c r="O64" s="1174" t="s">
        <v>778</v>
      </c>
      <c r="P64" s="1207" t="s">
        <v>748</v>
      </c>
      <c r="Q64" s="1163"/>
      <c r="R64" s="1269">
        <v>16142292</v>
      </c>
      <c r="S64" s="1357">
        <v>16142292</v>
      </c>
      <c r="T64" s="1357">
        <f>+Tabla16[[#This Row],[CDPS A 31 JULIO 2022]]-Tabla16[[#This Row],[CDP]]</f>
        <v>0</v>
      </c>
      <c r="U64" s="1357">
        <v>16142292</v>
      </c>
      <c r="V64" s="1357"/>
      <c r="W64" s="1357"/>
    </row>
    <row r="65" spans="1:23" s="1207" customFormat="1" ht="45" hidden="1" customHeight="1" x14ac:dyDescent="0.3">
      <c r="A65" s="1355">
        <v>2022065</v>
      </c>
      <c r="B65" s="1172">
        <v>7655</v>
      </c>
      <c r="C65" s="1356" t="s">
        <v>668</v>
      </c>
      <c r="D65" s="1190" t="s">
        <v>689</v>
      </c>
      <c r="E65" s="1174" t="s">
        <v>808</v>
      </c>
      <c r="F65" s="1379" t="s">
        <v>810</v>
      </c>
      <c r="G65" s="1380">
        <v>44607</v>
      </c>
      <c r="H65" s="1380">
        <v>44607</v>
      </c>
      <c r="I65" s="1176">
        <v>10</v>
      </c>
      <c r="J65" s="1176" t="s">
        <v>687</v>
      </c>
      <c r="K65" s="1177" t="s">
        <v>674</v>
      </c>
      <c r="L65" s="1178" t="s">
        <v>675</v>
      </c>
      <c r="M65" s="1179">
        <v>140000000</v>
      </c>
      <c r="N65" s="1376" t="s">
        <v>783</v>
      </c>
      <c r="O65" s="1174" t="s">
        <v>778</v>
      </c>
      <c r="P65" s="1207" t="s">
        <v>678</v>
      </c>
      <c r="Q65" s="1163"/>
      <c r="R65" s="1269">
        <v>95712773</v>
      </c>
      <c r="S65" s="1357">
        <v>95712773</v>
      </c>
      <c r="T65" s="1357">
        <f>+Tabla16[[#This Row],[CDPS A 31 JULIO 2022]]-Tabla16[[#This Row],[CDP]]</f>
        <v>0</v>
      </c>
      <c r="U65" s="1357">
        <v>95712773</v>
      </c>
      <c r="V65" s="1357"/>
      <c r="W65" s="1357"/>
    </row>
    <row r="66" spans="1:23" s="1207" customFormat="1" ht="45" customHeight="1" x14ac:dyDescent="0.3">
      <c r="A66" s="1398">
        <v>2022066</v>
      </c>
      <c r="B66" s="1399">
        <v>7655</v>
      </c>
      <c r="C66" s="1400" t="s">
        <v>668</v>
      </c>
      <c r="D66" s="1401" t="s">
        <v>689</v>
      </c>
      <c r="E66" s="1402">
        <v>76121900</v>
      </c>
      <c r="F66" s="1403" t="s">
        <v>811</v>
      </c>
      <c r="G66" s="1404">
        <v>44635</v>
      </c>
      <c r="H66" s="1404">
        <v>44635</v>
      </c>
      <c r="I66" s="1405">
        <v>12</v>
      </c>
      <c r="J66" s="1405" t="s">
        <v>699</v>
      </c>
      <c r="K66" s="1406" t="s">
        <v>674</v>
      </c>
      <c r="L66" s="1407" t="s">
        <v>675</v>
      </c>
      <c r="M66" s="1408">
        <f>2060000-2060000</f>
        <v>0</v>
      </c>
      <c r="N66" s="1409" t="s">
        <v>783</v>
      </c>
      <c r="O66" s="1402" t="s">
        <v>778</v>
      </c>
      <c r="P66" s="1410" t="s">
        <v>678</v>
      </c>
      <c r="Q66" s="1163"/>
      <c r="R66" s="1269">
        <v>0</v>
      </c>
      <c r="S66" s="1357"/>
      <c r="T66" s="1357">
        <f>+Tabla16[[#This Row],[CDPS A 31 JULIO 2022]]-Tabla16[[#This Row],[CDP]]</f>
        <v>0</v>
      </c>
      <c r="U66" s="1357"/>
      <c r="V66" s="1357"/>
      <c r="W66" s="1357"/>
    </row>
    <row r="67" spans="1:23" s="1207" customFormat="1" ht="45" customHeight="1" x14ac:dyDescent="0.3">
      <c r="A67" s="1398">
        <v>2022067</v>
      </c>
      <c r="B67" s="1399">
        <v>7655</v>
      </c>
      <c r="C67" s="1400" t="s">
        <v>668</v>
      </c>
      <c r="D67" s="1401" t="s">
        <v>689</v>
      </c>
      <c r="E67" s="1402" t="s">
        <v>812</v>
      </c>
      <c r="F67" s="1403" t="s">
        <v>813</v>
      </c>
      <c r="G67" s="1404">
        <v>44635</v>
      </c>
      <c r="H67" s="1404">
        <v>44635</v>
      </c>
      <c r="I67" s="1405" t="s">
        <v>814</v>
      </c>
      <c r="J67" s="1405" t="s">
        <v>97</v>
      </c>
      <c r="K67" s="1406" t="s">
        <v>674</v>
      </c>
      <c r="L67" s="1407" t="s">
        <v>675</v>
      </c>
      <c r="M67" s="1408">
        <f>1110000-1110000</f>
        <v>0</v>
      </c>
      <c r="N67" s="1409" t="s">
        <v>783</v>
      </c>
      <c r="O67" s="1402" t="s">
        <v>778</v>
      </c>
      <c r="P67" s="1410" t="s">
        <v>678</v>
      </c>
      <c r="Q67" s="1163"/>
      <c r="R67" s="1269">
        <v>0</v>
      </c>
      <c r="S67" s="1357"/>
      <c r="T67" s="1357">
        <f>+Tabla16[[#This Row],[CDPS A 31 JULIO 2022]]-Tabla16[[#This Row],[CDP]]</f>
        <v>0</v>
      </c>
      <c r="U67" s="1357"/>
      <c r="V67" s="1357"/>
      <c r="W67" s="1357"/>
    </row>
    <row r="68" spans="1:23" s="1207" customFormat="1" ht="45" hidden="1" customHeight="1" x14ac:dyDescent="0.3">
      <c r="A68" s="1355">
        <v>2022068</v>
      </c>
      <c r="B68" s="1172">
        <v>7655</v>
      </c>
      <c r="C68" s="1356" t="s">
        <v>668</v>
      </c>
      <c r="D68" s="1190" t="s">
        <v>689</v>
      </c>
      <c r="E68" s="1174" t="s">
        <v>780</v>
      </c>
      <c r="F68" s="1379" t="s">
        <v>815</v>
      </c>
      <c r="G68" s="1380">
        <v>44575</v>
      </c>
      <c r="H68" s="1380">
        <v>44575</v>
      </c>
      <c r="I68" s="1176">
        <v>11.5</v>
      </c>
      <c r="J68" s="1176" t="s">
        <v>673</v>
      </c>
      <c r="K68" s="1177" t="s">
        <v>674</v>
      </c>
      <c r="L68" s="1178" t="s">
        <v>675</v>
      </c>
      <c r="M68" s="1179">
        <v>44275000</v>
      </c>
      <c r="N68" s="1376" t="s">
        <v>783</v>
      </c>
      <c r="O68" s="1174" t="s">
        <v>778</v>
      </c>
      <c r="P68" s="1207" t="s">
        <v>678</v>
      </c>
      <c r="Q68" s="1163"/>
      <c r="R68" s="1269">
        <v>44275000</v>
      </c>
      <c r="S68" s="1357">
        <v>44275000</v>
      </c>
      <c r="T68" s="1357">
        <f>+Tabla16[[#This Row],[CDPS A 31 JULIO 2022]]-Tabla16[[#This Row],[CDP]]</f>
        <v>0</v>
      </c>
      <c r="U68" s="1357">
        <v>44275000</v>
      </c>
      <c r="V68" s="1357">
        <v>15400000</v>
      </c>
      <c r="W68" s="1357"/>
    </row>
    <row r="69" spans="1:23" s="1207" customFormat="1" ht="45" hidden="1" customHeight="1" x14ac:dyDescent="0.3">
      <c r="A69" s="1355">
        <v>2022069</v>
      </c>
      <c r="B69" s="1172">
        <v>7655</v>
      </c>
      <c r="C69" s="1356" t="s">
        <v>668</v>
      </c>
      <c r="D69" s="1190" t="s">
        <v>689</v>
      </c>
      <c r="E69" s="1174" t="s">
        <v>780</v>
      </c>
      <c r="F69" s="1379" t="s">
        <v>816</v>
      </c>
      <c r="G69" s="1380">
        <v>44575</v>
      </c>
      <c r="H69" s="1380">
        <v>44575</v>
      </c>
      <c r="I69" s="1176">
        <v>11.5</v>
      </c>
      <c r="J69" s="1176" t="s">
        <v>673</v>
      </c>
      <c r="K69" s="1177" t="s">
        <v>674</v>
      </c>
      <c r="L69" s="1178" t="s">
        <v>782</v>
      </c>
      <c r="M69" s="1179">
        <v>47150000</v>
      </c>
      <c r="N69" s="1376" t="s">
        <v>783</v>
      </c>
      <c r="O69" s="1174" t="s">
        <v>778</v>
      </c>
      <c r="P69" s="1207" t="s">
        <v>678</v>
      </c>
      <c r="Q69" s="1163"/>
      <c r="R69" s="1269">
        <v>47150000</v>
      </c>
      <c r="S69" s="1357">
        <v>47150000</v>
      </c>
      <c r="T69" s="1357">
        <f>+Tabla16[[#This Row],[CDPS A 31 JULIO 2022]]-Tabla16[[#This Row],[CDP]]</f>
        <v>0</v>
      </c>
      <c r="U69" s="1357">
        <v>47150000</v>
      </c>
      <c r="V69" s="1357">
        <v>17356667</v>
      </c>
      <c r="W69" s="1357"/>
    </row>
    <row r="70" spans="1:23" s="1207" customFormat="1" ht="45" hidden="1" customHeight="1" x14ac:dyDescent="0.3">
      <c r="A70" s="1355">
        <v>2022070</v>
      </c>
      <c r="B70" s="1172">
        <v>7655</v>
      </c>
      <c r="C70" s="1356" t="s">
        <v>668</v>
      </c>
      <c r="D70" s="1190" t="s">
        <v>689</v>
      </c>
      <c r="E70" s="1174" t="s">
        <v>780</v>
      </c>
      <c r="F70" s="1379" t="s">
        <v>816</v>
      </c>
      <c r="G70" s="1380">
        <v>44575</v>
      </c>
      <c r="H70" s="1380">
        <v>44575</v>
      </c>
      <c r="I70" s="1176">
        <v>11.5</v>
      </c>
      <c r="J70" s="1176" t="s">
        <v>673</v>
      </c>
      <c r="K70" s="1177" t="s">
        <v>674</v>
      </c>
      <c r="L70" s="1178" t="s">
        <v>675</v>
      </c>
      <c r="M70" s="1179">
        <v>63250000</v>
      </c>
      <c r="N70" s="1376" t="s">
        <v>783</v>
      </c>
      <c r="O70" s="1174" t="s">
        <v>778</v>
      </c>
      <c r="P70" s="1207" t="s">
        <v>678</v>
      </c>
      <c r="Q70" s="1163"/>
      <c r="R70" s="1269">
        <v>63250000</v>
      </c>
      <c r="S70" s="1357">
        <v>63250000</v>
      </c>
      <c r="T70" s="1357">
        <f>+Tabla16[[#This Row],[CDPS A 31 JULIO 2022]]-Tabla16[[#This Row],[CDP]]</f>
        <v>0</v>
      </c>
      <c r="U70" s="1357">
        <v>63250000</v>
      </c>
      <c r="V70" s="1357">
        <v>23283333</v>
      </c>
      <c r="W70" s="1357"/>
    </row>
    <row r="71" spans="1:23" s="1207" customFormat="1" ht="45" hidden="1" customHeight="1" x14ac:dyDescent="0.3">
      <c r="A71" s="1355">
        <v>2022071</v>
      </c>
      <c r="B71" s="1172">
        <v>7655</v>
      </c>
      <c r="C71" s="1356" t="s">
        <v>668</v>
      </c>
      <c r="D71" s="1190" t="s">
        <v>689</v>
      </c>
      <c r="E71" s="1174" t="s">
        <v>780</v>
      </c>
      <c r="F71" s="1379" t="s">
        <v>816</v>
      </c>
      <c r="G71" s="1380">
        <v>44575</v>
      </c>
      <c r="H71" s="1380">
        <v>44575</v>
      </c>
      <c r="I71" s="1176">
        <v>11.5</v>
      </c>
      <c r="J71" s="1176" t="s">
        <v>673</v>
      </c>
      <c r="K71" s="1177" t="s">
        <v>674</v>
      </c>
      <c r="L71" s="1178" t="s">
        <v>675</v>
      </c>
      <c r="M71" s="1179">
        <v>63250000</v>
      </c>
      <c r="N71" s="1376" t="s">
        <v>783</v>
      </c>
      <c r="O71" s="1174" t="s">
        <v>778</v>
      </c>
      <c r="P71" s="1207" t="s">
        <v>678</v>
      </c>
      <c r="Q71" s="1163"/>
      <c r="R71" s="1269">
        <v>63250000</v>
      </c>
      <c r="S71" s="1357">
        <v>63250000</v>
      </c>
      <c r="T71" s="1357">
        <f>+Tabla16[[#This Row],[CDPS A 31 JULIO 2022]]-Tabla16[[#This Row],[CDP]]</f>
        <v>0</v>
      </c>
      <c r="U71" s="1357">
        <v>63250000</v>
      </c>
      <c r="V71" s="1357">
        <v>23283333</v>
      </c>
      <c r="W71" s="1357"/>
    </row>
    <row r="72" spans="1:23" s="1207" customFormat="1" ht="45" hidden="1" customHeight="1" x14ac:dyDescent="0.3">
      <c r="A72" s="1355">
        <v>2022072</v>
      </c>
      <c r="B72" s="1172">
        <v>7655</v>
      </c>
      <c r="C72" s="1356" t="s">
        <v>668</v>
      </c>
      <c r="D72" s="1190" t="s">
        <v>689</v>
      </c>
      <c r="E72" s="1174" t="s">
        <v>780</v>
      </c>
      <c r="F72" s="1379" t="s">
        <v>817</v>
      </c>
      <c r="G72" s="1380">
        <v>44575</v>
      </c>
      <c r="H72" s="1380">
        <v>44575</v>
      </c>
      <c r="I72" s="1176">
        <v>6</v>
      </c>
      <c r="J72" s="1176" t="s">
        <v>673</v>
      </c>
      <c r="K72" s="1177" t="s">
        <v>674</v>
      </c>
      <c r="L72" s="1178" t="s">
        <v>675</v>
      </c>
      <c r="M72" s="1179">
        <v>16500000</v>
      </c>
      <c r="N72" s="1376" t="s">
        <v>783</v>
      </c>
      <c r="O72" s="1174" t="s">
        <v>778</v>
      </c>
      <c r="P72" s="1207" t="s">
        <v>678</v>
      </c>
      <c r="Q72" s="1163"/>
      <c r="R72" s="1269">
        <v>16500000</v>
      </c>
      <c r="S72" s="1357">
        <v>16500000</v>
      </c>
      <c r="T72" s="1357">
        <f>+Tabla16[[#This Row],[CDPS A 31 JULIO 2022]]-Tabla16[[#This Row],[CDP]]</f>
        <v>0</v>
      </c>
      <c r="U72" s="1357">
        <v>16500000</v>
      </c>
      <c r="V72" s="1357">
        <v>11916667</v>
      </c>
      <c r="W72" s="1357"/>
    </row>
    <row r="73" spans="1:23" s="1207" customFormat="1" ht="45" hidden="1" customHeight="1" x14ac:dyDescent="0.3">
      <c r="A73" s="1355">
        <v>2022073</v>
      </c>
      <c r="B73" s="1172">
        <v>7655</v>
      </c>
      <c r="C73" s="1356" t="s">
        <v>668</v>
      </c>
      <c r="D73" s="1190" t="s">
        <v>689</v>
      </c>
      <c r="E73" s="1174" t="s">
        <v>780</v>
      </c>
      <c r="F73" s="1379" t="s">
        <v>816</v>
      </c>
      <c r="G73" s="1380">
        <v>44575</v>
      </c>
      <c r="H73" s="1380">
        <v>44575</v>
      </c>
      <c r="I73" s="1176">
        <v>11.5</v>
      </c>
      <c r="J73" s="1176" t="s">
        <v>673</v>
      </c>
      <c r="K73" s="1177" t="s">
        <v>674</v>
      </c>
      <c r="L73" s="1178" t="s">
        <v>675</v>
      </c>
      <c r="M73" s="1179">
        <v>63250000</v>
      </c>
      <c r="N73" s="1376" t="s">
        <v>783</v>
      </c>
      <c r="O73" s="1174" t="s">
        <v>778</v>
      </c>
      <c r="P73" s="1207" t="s">
        <v>678</v>
      </c>
      <c r="Q73" s="1163"/>
      <c r="R73" s="1269">
        <v>63250000</v>
      </c>
      <c r="S73" s="1357">
        <v>63250000</v>
      </c>
      <c r="T73" s="1357">
        <f>+Tabla16[[#This Row],[CDPS A 31 JULIO 2022]]-Tabla16[[#This Row],[CDP]]</f>
        <v>0</v>
      </c>
      <c r="U73" s="1357">
        <v>63250000</v>
      </c>
      <c r="V73" s="1357">
        <v>16500000</v>
      </c>
      <c r="W73" s="1357"/>
    </row>
    <row r="74" spans="1:23" s="1207" customFormat="1" ht="45" hidden="1" customHeight="1" x14ac:dyDescent="0.3">
      <c r="A74" s="1355">
        <v>2022074</v>
      </c>
      <c r="B74" s="1172">
        <v>7655</v>
      </c>
      <c r="C74" s="1356" t="s">
        <v>668</v>
      </c>
      <c r="D74" s="1190" t="s">
        <v>689</v>
      </c>
      <c r="E74" s="1174" t="s">
        <v>780</v>
      </c>
      <c r="F74" s="1379" t="s">
        <v>816</v>
      </c>
      <c r="G74" s="1380">
        <v>44575</v>
      </c>
      <c r="H74" s="1380">
        <v>44575</v>
      </c>
      <c r="I74" s="1176">
        <v>11.5</v>
      </c>
      <c r="J74" s="1176" t="s">
        <v>673</v>
      </c>
      <c r="K74" s="1177" t="s">
        <v>674</v>
      </c>
      <c r="L74" s="1178" t="s">
        <v>675</v>
      </c>
      <c r="M74" s="1179">
        <v>58650000</v>
      </c>
      <c r="N74" s="1376" t="s">
        <v>783</v>
      </c>
      <c r="O74" s="1174" t="s">
        <v>778</v>
      </c>
      <c r="P74" s="1207" t="s">
        <v>678</v>
      </c>
      <c r="Q74" s="1163"/>
      <c r="R74" s="1269">
        <v>58650000</v>
      </c>
      <c r="S74" s="1357">
        <v>58650000</v>
      </c>
      <c r="T74" s="1357">
        <f>+Tabla16[[#This Row],[CDPS A 31 JULIO 2022]]-Tabla16[[#This Row],[CDP]]</f>
        <v>0</v>
      </c>
      <c r="U74" s="1357">
        <v>58650000</v>
      </c>
      <c r="V74" s="1357">
        <v>20400000</v>
      </c>
      <c r="W74" s="1357"/>
    </row>
    <row r="75" spans="1:23" s="1207" customFormat="1" ht="45" hidden="1" customHeight="1" x14ac:dyDescent="0.3">
      <c r="A75" s="1355">
        <v>2022075</v>
      </c>
      <c r="B75" s="1172">
        <v>7655</v>
      </c>
      <c r="C75" s="1356" t="s">
        <v>668</v>
      </c>
      <c r="D75" s="1190" t="s">
        <v>689</v>
      </c>
      <c r="E75" s="1174" t="s">
        <v>780</v>
      </c>
      <c r="F75" s="1379" t="s">
        <v>817</v>
      </c>
      <c r="G75" s="1380">
        <v>44575</v>
      </c>
      <c r="H75" s="1380">
        <v>44575</v>
      </c>
      <c r="I75" s="1176">
        <v>11.5</v>
      </c>
      <c r="J75" s="1176" t="s">
        <v>673</v>
      </c>
      <c r="K75" s="1177" t="s">
        <v>674</v>
      </c>
      <c r="L75" s="1178" t="s">
        <v>675</v>
      </c>
      <c r="M75" s="1179">
        <v>31625000</v>
      </c>
      <c r="N75" s="1376" t="s">
        <v>783</v>
      </c>
      <c r="O75" s="1174" t="s">
        <v>778</v>
      </c>
      <c r="P75" s="1207" t="s">
        <v>678</v>
      </c>
      <c r="Q75" s="1163"/>
      <c r="R75" s="1269">
        <v>31625000</v>
      </c>
      <c r="S75" s="1357">
        <v>31625000</v>
      </c>
      <c r="T75" s="1357">
        <f>+Tabla16[[#This Row],[CDPS A 31 JULIO 2022]]-Tabla16[[#This Row],[CDP]]</f>
        <v>0</v>
      </c>
      <c r="U75" s="1357">
        <v>31625000</v>
      </c>
      <c r="V75" s="1357">
        <v>11550000</v>
      </c>
      <c r="W75" s="1357"/>
    </row>
    <row r="76" spans="1:23" s="1207" customFormat="1" ht="45" hidden="1" customHeight="1" x14ac:dyDescent="0.3">
      <c r="A76" s="1355">
        <v>2022076</v>
      </c>
      <c r="B76" s="1172">
        <v>7655</v>
      </c>
      <c r="C76" s="1356" t="s">
        <v>668</v>
      </c>
      <c r="D76" s="1190" t="s">
        <v>689</v>
      </c>
      <c r="E76" s="1174" t="s">
        <v>780</v>
      </c>
      <c r="F76" s="1379" t="s">
        <v>818</v>
      </c>
      <c r="G76" s="1380">
        <v>44575</v>
      </c>
      <c r="H76" s="1380">
        <v>44575</v>
      </c>
      <c r="I76" s="1176">
        <v>11.5</v>
      </c>
      <c r="J76" s="1176" t="s">
        <v>673</v>
      </c>
      <c r="K76" s="1177" t="s">
        <v>674</v>
      </c>
      <c r="L76" s="1178" t="s">
        <v>675</v>
      </c>
      <c r="M76" s="1179">
        <v>28175000</v>
      </c>
      <c r="N76" s="1376" t="s">
        <v>783</v>
      </c>
      <c r="O76" s="1174" t="s">
        <v>778</v>
      </c>
      <c r="P76" s="1207" t="s">
        <v>678</v>
      </c>
      <c r="Q76" s="1163"/>
      <c r="R76" s="1269">
        <v>28175000</v>
      </c>
      <c r="S76" s="1357">
        <v>28175000</v>
      </c>
      <c r="T76" s="1357">
        <f>+Tabla16[[#This Row],[CDPS A 31 JULIO 2022]]-Tabla16[[#This Row],[CDP]]</f>
        <v>0</v>
      </c>
      <c r="U76" s="1357">
        <v>28175000</v>
      </c>
      <c r="V76" s="1357">
        <v>10371667</v>
      </c>
      <c r="W76" s="1357"/>
    </row>
    <row r="77" spans="1:23" s="1207" customFormat="1" ht="45" hidden="1" customHeight="1" x14ac:dyDescent="0.3">
      <c r="A77" s="1355">
        <v>2022077</v>
      </c>
      <c r="B77" s="1172">
        <v>7655</v>
      </c>
      <c r="C77" s="1356" t="s">
        <v>668</v>
      </c>
      <c r="D77" s="1190" t="s">
        <v>689</v>
      </c>
      <c r="E77" s="1174" t="s">
        <v>780</v>
      </c>
      <c r="F77" s="1379" t="s">
        <v>818</v>
      </c>
      <c r="G77" s="1380">
        <v>44575</v>
      </c>
      <c r="H77" s="1380">
        <v>44575</v>
      </c>
      <c r="I77" s="1176">
        <v>11.5</v>
      </c>
      <c r="J77" s="1176" t="s">
        <v>673</v>
      </c>
      <c r="K77" s="1177" t="s">
        <v>674</v>
      </c>
      <c r="L77" s="1178" t="s">
        <v>675</v>
      </c>
      <c r="M77" s="1179">
        <v>28175000</v>
      </c>
      <c r="N77" s="1376" t="s">
        <v>783</v>
      </c>
      <c r="O77" s="1174" t="s">
        <v>778</v>
      </c>
      <c r="P77" s="1207" t="s">
        <v>678</v>
      </c>
      <c r="Q77" s="1163"/>
      <c r="R77" s="1269">
        <v>28175000</v>
      </c>
      <c r="S77" s="1357">
        <v>28175000</v>
      </c>
      <c r="T77" s="1357">
        <f>+Tabla16[[#This Row],[CDPS A 31 JULIO 2022]]-Tabla16[[#This Row],[CDP]]</f>
        <v>0</v>
      </c>
      <c r="U77" s="1357">
        <v>28175000</v>
      </c>
      <c r="V77" s="1357">
        <v>10616667</v>
      </c>
      <c r="W77" s="1357"/>
    </row>
    <row r="78" spans="1:23" s="1207" customFormat="1" ht="45" hidden="1" customHeight="1" x14ac:dyDescent="0.3">
      <c r="A78" s="1355">
        <v>2022078</v>
      </c>
      <c r="B78" s="1172">
        <v>7655</v>
      </c>
      <c r="C78" s="1356" t="s">
        <v>668</v>
      </c>
      <c r="D78" s="1190" t="s">
        <v>689</v>
      </c>
      <c r="E78" s="1174" t="s">
        <v>780</v>
      </c>
      <c r="F78" s="1379" t="s">
        <v>819</v>
      </c>
      <c r="G78" s="1380">
        <v>44575</v>
      </c>
      <c r="H78" s="1380">
        <v>44575</v>
      </c>
      <c r="I78" s="1176">
        <v>11.5</v>
      </c>
      <c r="J78" s="1176" t="s">
        <v>673</v>
      </c>
      <c r="K78" s="1177" t="s">
        <v>674</v>
      </c>
      <c r="L78" s="1178" t="s">
        <v>675</v>
      </c>
      <c r="M78" s="1179">
        <v>24150000</v>
      </c>
      <c r="N78" s="1376" t="s">
        <v>783</v>
      </c>
      <c r="O78" s="1174" t="s">
        <v>778</v>
      </c>
      <c r="P78" s="1207" t="s">
        <v>678</v>
      </c>
      <c r="Q78" s="1163"/>
      <c r="R78" s="1269">
        <v>24150000</v>
      </c>
      <c r="S78" s="1357">
        <v>24150000</v>
      </c>
      <c r="T78" s="1357">
        <f>+Tabla16[[#This Row],[CDPS A 31 JULIO 2022]]-Tabla16[[#This Row],[CDP]]</f>
        <v>0</v>
      </c>
      <c r="U78" s="1357">
        <v>24150000</v>
      </c>
      <c r="V78" s="1357">
        <v>6300000</v>
      </c>
      <c r="W78" s="1357"/>
    </row>
    <row r="79" spans="1:23" s="1207" customFormat="1" ht="45" hidden="1" customHeight="1" x14ac:dyDescent="0.3">
      <c r="A79" s="1355">
        <v>2022079</v>
      </c>
      <c r="B79" s="1172">
        <v>7655</v>
      </c>
      <c r="C79" s="1356" t="s">
        <v>668</v>
      </c>
      <c r="D79" s="1190" t="s">
        <v>689</v>
      </c>
      <c r="E79" s="1174" t="s">
        <v>780</v>
      </c>
      <c r="F79" s="1379" t="s">
        <v>820</v>
      </c>
      <c r="G79" s="1380">
        <v>44575</v>
      </c>
      <c r="H79" s="1380">
        <v>44575</v>
      </c>
      <c r="I79" s="1176">
        <v>11.5</v>
      </c>
      <c r="J79" s="1176" t="s">
        <v>673</v>
      </c>
      <c r="K79" s="1177" t="s">
        <v>674</v>
      </c>
      <c r="L79" s="1178" t="s">
        <v>675</v>
      </c>
      <c r="M79" s="1179">
        <v>57500000</v>
      </c>
      <c r="N79" s="1376" t="s">
        <v>783</v>
      </c>
      <c r="O79" s="1174" t="s">
        <v>778</v>
      </c>
      <c r="P79" s="1207" t="s">
        <v>678</v>
      </c>
      <c r="Q79" s="1163"/>
      <c r="R79" s="1269">
        <v>57500000</v>
      </c>
      <c r="S79" s="1357">
        <v>57500000</v>
      </c>
      <c r="T79" s="1357">
        <f>+Tabla16[[#This Row],[CDPS A 31 JULIO 2022]]-Tabla16[[#This Row],[CDP]]</f>
        <v>0</v>
      </c>
      <c r="U79" s="1357">
        <v>57500000</v>
      </c>
      <c r="V79" s="1357">
        <v>21166667</v>
      </c>
      <c r="W79" s="1357"/>
    </row>
    <row r="80" spans="1:23" s="1207" customFormat="1" ht="45" hidden="1" customHeight="1" x14ac:dyDescent="0.3">
      <c r="A80" s="1355">
        <v>2022080</v>
      </c>
      <c r="B80" s="1172">
        <v>7655</v>
      </c>
      <c r="C80" s="1356" t="s">
        <v>668</v>
      </c>
      <c r="D80" s="1190" t="s">
        <v>689</v>
      </c>
      <c r="E80" s="1174" t="s">
        <v>780</v>
      </c>
      <c r="F80" s="1379" t="s">
        <v>821</v>
      </c>
      <c r="G80" s="1380">
        <v>44575</v>
      </c>
      <c r="H80" s="1380">
        <v>44575</v>
      </c>
      <c r="I80" s="1176">
        <v>11.5</v>
      </c>
      <c r="J80" s="1176" t="s">
        <v>673</v>
      </c>
      <c r="K80" s="1177" t="s">
        <v>674</v>
      </c>
      <c r="L80" s="1178" t="s">
        <v>675</v>
      </c>
      <c r="M80" s="1179">
        <v>83950000</v>
      </c>
      <c r="N80" s="1376" t="s">
        <v>783</v>
      </c>
      <c r="O80" s="1174" t="s">
        <v>778</v>
      </c>
      <c r="P80" s="1207" t="s">
        <v>678</v>
      </c>
      <c r="Q80" s="1163"/>
      <c r="R80" s="1269">
        <v>83950000</v>
      </c>
      <c r="S80" s="1357">
        <v>83950000</v>
      </c>
      <c r="T80" s="1357">
        <f>+Tabla16[[#This Row],[CDPS A 31 JULIO 2022]]-Tabla16[[#This Row],[CDP]]</f>
        <v>0</v>
      </c>
      <c r="U80" s="1357">
        <v>83950000</v>
      </c>
      <c r="V80" s="1357">
        <v>31876667</v>
      </c>
      <c r="W80" s="1357"/>
    </row>
    <row r="81" spans="1:23" s="1207" customFormat="1" ht="45" hidden="1" customHeight="1" x14ac:dyDescent="0.3">
      <c r="A81" s="1355">
        <v>2022081</v>
      </c>
      <c r="B81" s="1172">
        <v>7655</v>
      </c>
      <c r="C81" s="1356" t="s">
        <v>668</v>
      </c>
      <c r="D81" s="1190" t="s">
        <v>689</v>
      </c>
      <c r="E81" s="1174" t="s">
        <v>780</v>
      </c>
      <c r="F81" s="1379" t="s">
        <v>822</v>
      </c>
      <c r="G81" s="1380">
        <v>44575</v>
      </c>
      <c r="H81" s="1380">
        <v>44575</v>
      </c>
      <c r="I81" s="1176">
        <v>11.5</v>
      </c>
      <c r="J81" s="1176" t="s">
        <v>673</v>
      </c>
      <c r="K81" s="1177" t="s">
        <v>674</v>
      </c>
      <c r="L81" s="1178" t="s">
        <v>675</v>
      </c>
      <c r="M81" s="1179">
        <v>28175000</v>
      </c>
      <c r="N81" s="1376" t="s">
        <v>783</v>
      </c>
      <c r="O81" s="1174" t="s">
        <v>778</v>
      </c>
      <c r="P81" s="1207" t="s">
        <v>678</v>
      </c>
      <c r="Q81" s="1163"/>
      <c r="R81" s="1269">
        <v>28175000</v>
      </c>
      <c r="S81" s="1357">
        <v>28175000</v>
      </c>
      <c r="T81" s="1357">
        <f>+Tabla16[[#This Row],[CDPS A 31 JULIO 2022]]-Tabla16[[#This Row],[CDP]]</f>
        <v>0</v>
      </c>
      <c r="U81" s="1357">
        <v>28175000</v>
      </c>
      <c r="V81" s="1357">
        <v>9228333</v>
      </c>
      <c r="W81" s="1357"/>
    </row>
    <row r="82" spans="1:23" s="1207" customFormat="1" ht="45" hidden="1" customHeight="1" x14ac:dyDescent="0.3">
      <c r="A82" s="1355">
        <v>2022082</v>
      </c>
      <c r="B82" s="1172">
        <v>7655</v>
      </c>
      <c r="C82" s="1356" t="s">
        <v>668</v>
      </c>
      <c r="D82" s="1190" t="s">
        <v>689</v>
      </c>
      <c r="E82" s="1174" t="s">
        <v>780</v>
      </c>
      <c r="F82" s="1379" t="s">
        <v>818</v>
      </c>
      <c r="G82" s="1380">
        <v>44575</v>
      </c>
      <c r="H82" s="1380">
        <v>44575</v>
      </c>
      <c r="I82" s="1176">
        <v>11.5</v>
      </c>
      <c r="J82" s="1176" t="s">
        <v>673</v>
      </c>
      <c r="K82" s="1177" t="s">
        <v>674</v>
      </c>
      <c r="L82" s="1178" t="s">
        <v>675</v>
      </c>
      <c r="M82" s="1179">
        <v>28175000</v>
      </c>
      <c r="N82" s="1376" t="s">
        <v>783</v>
      </c>
      <c r="O82" s="1174" t="s">
        <v>778</v>
      </c>
      <c r="P82" s="1207" t="s">
        <v>678</v>
      </c>
      <c r="Q82" s="1163"/>
      <c r="R82" s="1269">
        <v>28175000</v>
      </c>
      <c r="S82" s="1357">
        <v>28175000</v>
      </c>
      <c r="T82" s="1357">
        <f>+Tabla16[[#This Row],[CDPS A 31 JULIO 2022]]-Tabla16[[#This Row],[CDP]]</f>
        <v>0</v>
      </c>
      <c r="U82" s="1357">
        <v>28175000</v>
      </c>
      <c r="V82" s="1357">
        <v>10371667</v>
      </c>
      <c r="W82" s="1357"/>
    </row>
    <row r="83" spans="1:23" s="1207" customFormat="1" ht="45" hidden="1" customHeight="1" x14ac:dyDescent="0.3">
      <c r="A83" s="1355">
        <v>2022083</v>
      </c>
      <c r="B83" s="1172">
        <v>7655</v>
      </c>
      <c r="C83" s="1356" t="s">
        <v>668</v>
      </c>
      <c r="D83" s="1190" t="s">
        <v>689</v>
      </c>
      <c r="E83" s="1174" t="s">
        <v>780</v>
      </c>
      <c r="F83" s="1379" t="s">
        <v>818</v>
      </c>
      <c r="G83" s="1380">
        <v>44575</v>
      </c>
      <c r="H83" s="1380">
        <v>44575</v>
      </c>
      <c r="I83" s="1176">
        <v>11.5</v>
      </c>
      <c r="J83" s="1176" t="s">
        <v>673</v>
      </c>
      <c r="K83" s="1177" t="s">
        <v>674</v>
      </c>
      <c r="L83" s="1178" t="s">
        <v>675</v>
      </c>
      <c r="M83" s="1179">
        <v>28175000</v>
      </c>
      <c r="N83" s="1376" t="s">
        <v>783</v>
      </c>
      <c r="O83" s="1174" t="s">
        <v>778</v>
      </c>
      <c r="P83" s="1207" t="s">
        <v>678</v>
      </c>
      <c r="Q83" s="1163"/>
      <c r="R83" s="1269">
        <v>28175000</v>
      </c>
      <c r="S83" s="1357">
        <v>28175000</v>
      </c>
      <c r="T83" s="1357">
        <f>+Tabla16[[#This Row],[CDPS A 31 JULIO 2022]]-Tabla16[[#This Row],[CDP]]</f>
        <v>0</v>
      </c>
      <c r="U83" s="1357">
        <v>28175000</v>
      </c>
      <c r="V83" s="1357">
        <v>10290000</v>
      </c>
      <c r="W83" s="1357"/>
    </row>
    <row r="84" spans="1:23" s="1207" customFormat="1" ht="45" hidden="1" customHeight="1" x14ac:dyDescent="0.3">
      <c r="A84" s="1355">
        <v>2022084</v>
      </c>
      <c r="B84" s="1172">
        <v>7655</v>
      </c>
      <c r="C84" s="1356" t="s">
        <v>668</v>
      </c>
      <c r="D84" s="1190" t="s">
        <v>689</v>
      </c>
      <c r="E84" s="1174" t="s">
        <v>780</v>
      </c>
      <c r="F84" s="1379" t="s">
        <v>818</v>
      </c>
      <c r="G84" s="1380">
        <v>44575</v>
      </c>
      <c r="H84" s="1380">
        <v>44575</v>
      </c>
      <c r="I84" s="1176">
        <v>11.5</v>
      </c>
      <c r="J84" s="1176" t="s">
        <v>673</v>
      </c>
      <c r="K84" s="1177" t="s">
        <v>674</v>
      </c>
      <c r="L84" s="1178" t="s">
        <v>675</v>
      </c>
      <c r="M84" s="1179">
        <v>28175000</v>
      </c>
      <c r="N84" s="1376" t="s">
        <v>783</v>
      </c>
      <c r="O84" s="1174" t="s">
        <v>778</v>
      </c>
      <c r="P84" s="1207" t="s">
        <v>678</v>
      </c>
      <c r="Q84" s="1163"/>
      <c r="R84" s="1269">
        <v>28175000</v>
      </c>
      <c r="S84" s="1357">
        <v>28175000</v>
      </c>
      <c r="T84" s="1357">
        <f>+Tabla16[[#This Row],[CDPS A 31 JULIO 2022]]-Tabla16[[#This Row],[CDP]]</f>
        <v>0</v>
      </c>
      <c r="U84" s="1357">
        <v>28175000</v>
      </c>
      <c r="V84" s="1357">
        <v>9800000</v>
      </c>
      <c r="W84" s="1357"/>
    </row>
    <row r="85" spans="1:23" s="1207" customFormat="1" ht="45" hidden="1" customHeight="1" x14ac:dyDescent="0.3">
      <c r="A85" s="1355">
        <v>2022085</v>
      </c>
      <c r="B85" s="1172">
        <v>7655</v>
      </c>
      <c r="C85" s="1356" t="s">
        <v>668</v>
      </c>
      <c r="D85" s="1190" t="s">
        <v>689</v>
      </c>
      <c r="E85" s="1174" t="s">
        <v>780</v>
      </c>
      <c r="F85" s="1379" t="s">
        <v>823</v>
      </c>
      <c r="G85" s="1380">
        <v>44575</v>
      </c>
      <c r="H85" s="1380">
        <v>44575</v>
      </c>
      <c r="I85" s="1176">
        <v>11.5</v>
      </c>
      <c r="J85" s="1176" t="s">
        <v>673</v>
      </c>
      <c r="K85" s="1177" t="s">
        <v>674</v>
      </c>
      <c r="L85" s="1178" t="s">
        <v>675</v>
      </c>
      <c r="M85" s="1179">
        <v>78200000</v>
      </c>
      <c r="N85" s="1376" t="s">
        <v>783</v>
      </c>
      <c r="O85" s="1174" t="s">
        <v>778</v>
      </c>
      <c r="P85" s="1207" t="s">
        <v>678</v>
      </c>
      <c r="Q85" s="1163"/>
      <c r="R85" s="1269">
        <v>78200000</v>
      </c>
      <c r="S85" s="1357">
        <v>78200000</v>
      </c>
      <c r="T85" s="1357">
        <f>+Tabla16[[#This Row],[CDPS A 31 JULIO 2022]]-Tabla16[[#This Row],[CDP]]</f>
        <v>0</v>
      </c>
      <c r="U85" s="1357">
        <v>78200000</v>
      </c>
      <c r="V85" s="1357">
        <v>30146667</v>
      </c>
      <c r="W85" s="1357"/>
    </row>
    <row r="86" spans="1:23" s="1207" customFormat="1" ht="45" hidden="1" customHeight="1" x14ac:dyDescent="0.3">
      <c r="A86" s="1355">
        <v>2022086</v>
      </c>
      <c r="B86" s="1172">
        <v>7655</v>
      </c>
      <c r="C86" s="1356" t="s">
        <v>668</v>
      </c>
      <c r="D86" s="1190" t="s">
        <v>689</v>
      </c>
      <c r="E86" s="1174" t="s">
        <v>780</v>
      </c>
      <c r="F86" s="1379" t="s">
        <v>824</v>
      </c>
      <c r="G86" s="1380">
        <v>44575</v>
      </c>
      <c r="H86" s="1380">
        <v>44575</v>
      </c>
      <c r="I86" s="1176">
        <v>11.5</v>
      </c>
      <c r="J86" s="1176" t="s">
        <v>673</v>
      </c>
      <c r="K86" s="1177" t="s">
        <v>674</v>
      </c>
      <c r="L86" s="1178" t="s">
        <v>675</v>
      </c>
      <c r="M86" s="1179">
        <v>36800000</v>
      </c>
      <c r="N86" s="1376" t="s">
        <v>783</v>
      </c>
      <c r="O86" s="1174" t="s">
        <v>778</v>
      </c>
      <c r="P86" s="1207" t="s">
        <v>678</v>
      </c>
      <c r="Q86" s="1163"/>
      <c r="R86" s="1269">
        <v>36800000</v>
      </c>
      <c r="S86" s="1357">
        <v>36800000</v>
      </c>
      <c r="T86" s="1357">
        <f>+Tabla16[[#This Row],[CDPS A 31 JULIO 2022]]-Tabla16[[#This Row],[CDP]]</f>
        <v>0</v>
      </c>
      <c r="U86" s="1357">
        <v>36800000</v>
      </c>
      <c r="V86" s="1357">
        <v>14186667</v>
      </c>
      <c r="W86" s="1357"/>
    </row>
    <row r="87" spans="1:23" s="1207" customFormat="1" ht="45" hidden="1" customHeight="1" x14ac:dyDescent="0.3">
      <c r="A87" s="1355">
        <v>2022087</v>
      </c>
      <c r="B87" s="1172">
        <v>7655</v>
      </c>
      <c r="C87" s="1356" t="s">
        <v>668</v>
      </c>
      <c r="D87" s="1190" t="s">
        <v>689</v>
      </c>
      <c r="E87" s="1174" t="s">
        <v>780</v>
      </c>
      <c r="F87" s="1379" t="s">
        <v>825</v>
      </c>
      <c r="G87" s="1380">
        <v>44575</v>
      </c>
      <c r="H87" s="1380">
        <v>44575</v>
      </c>
      <c r="I87" s="1176">
        <v>11.5</v>
      </c>
      <c r="J87" s="1176" t="s">
        <v>673</v>
      </c>
      <c r="K87" s="1177" t="s">
        <v>674</v>
      </c>
      <c r="L87" s="1178" t="s">
        <v>675</v>
      </c>
      <c r="M87" s="1179">
        <v>58650000</v>
      </c>
      <c r="N87" s="1376" t="s">
        <v>783</v>
      </c>
      <c r="O87" s="1174" t="s">
        <v>778</v>
      </c>
      <c r="P87" s="1207" t="s">
        <v>678</v>
      </c>
      <c r="Q87" s="1163"/>
      <c r="R87" s="1269">
        <v>58650000</v>
      </c>
      <c r="S87" s="1357">
        <v>58650000</v>
      </c>
      <c r="T87" s="1357">
        <f>+Tabla16[[#This Row],[CDPS A 31 JULIO 2022]]-Tabla16[[#This Row],[CDP]]</f>
        <v>0</v>
      </c>
      <c r="U87" s="1357">
        <v>58650000</v>
      </c>
      <c r="V87" s="1357">
        <v>22270000</v>
      </c>
      <c r="W87" s="1357"/>
    </row>
    <row r="88" spans="1:23" s="1207" customFormat="1" ht="45" hidden="1" customHeight="1" x14ac:dyDescent="0.3">
      <c r="A88" s="1355">
        <v>2022088</v>
      </c>
      <c r="B88" s="1172">
        <v>7655</v>
      </c>
      <c r="C88" s="1356" t="s">
        <v>668</v>
      </c>
      <c r="D88" s="1190" t="s">
        <v>689</v>
      </c>
      <c r="E88" s="1174" t="s">
        <v>780</v>
      </c>
      <c r="F88" s="1379" t="s">
        <v>826</v>
      </c>
      <c r="G88" s="1380">
        <v>44575</v>
      </c>
      <c r="H88" s="1380">
        <v>44575</v>
      </c>
      <c r="I88" s="1176">
        <v>11.5</v>
      </c>
      <c r="J88" s="1176" t="s">
        <v>673</v>
      </c>
      <c r="K88" s="1177" t="s">
        <v>674</v>
      </c>
      <c r="L88" s="1178" t="s">
        <v>675</v>
      </c>
      <c r="M88" s="1179">
        <v>38525000</v>
      </c>
      <c r="N88" s="1376" t="s">
        <v>783</v>
      </c>
      <c r="O88" s="1174" t="s">
        <v>778</v>
      </c>
      <c r="P88" s="1207" t="s">
        <v>678</v>
      </c>
      <c r="Q88" s="1163"/>
      <c r="R88" s="1269">
        <v>38525000</v>
      </c>
      <c r="S88" s="1357">
        <v>38525000</v>
      </c>
      <c r="T88" s="1357">
        <f>+Tabla16[[#This Row],[CDPS A 31 JULIO 2022]]-Tabla16[[#This Row],[CDP]]</f>
        <v>0</v>
      </c>
      <c r="U88" s="1357">
        <v>38525000</v>
      </c>
      <c r="V88" s="1357">
        <v>15298333</v>
      </c>
      <c r="W88" s="1357"/>
    </row>
    <row r="89" spans="1:23" s="1207" customFormat="1" ht="45" hidden="1" customHeight="1" x14ac:dyDescent="0.3">
      <c r="A89" s="1355">
        <v>2022089</v>
      </c>
      <c r="B89" s="1172">
        <v>7655</v>
      </c>
      <c r="C89" s="1356" t="s">
        <v>668</v>
      </c>
      <c r="D89" s="1190" t="s">
        <v>689</v>
      </c>
      <c r="E89" s="1174" t="s">
        <v>780</v>
      </c>
      <c r="F89" s="1379" t="s">
        <v>827</v>
      </c>
      <c r="G89" s="1380">
        <v>44575</v>
      </c>
      <c r="H89" s="1380">
        <v>44575</v>
      </c>
      <c r="I89" s="1176">
        <v>11.5</v>
      </c>
      <c r="J89" s="1176" t="s">
        <v>673</v>
      </c>
      <c r="K89" s="1177" t="s">
        <v>674</v>
      </c>
      <c r="L89" s="1178" t="s">
        <v>675</v>
      </c>
      <c r="M89" s="1179">
        <v>48300000</v>
      </c>
      <c r="N89" s="1376" t="s">
        <v>783</v>
      </c>
      <c r="O89" s="1174" t="s">
        <v>778</v>
      </c>
      <c r="P89" s="1207" t="s">
        <v>678</v>
      </c>
      <c r="Q89" s="1163"/>
      <c r="R89" s="1269">
        <v>48300000</v>
      </c>
      <c r="S89" s="1357">
        <v>48300000</v>
      </c>
      <c r="T89" s="1357">
        <f>+Tabla16[[#This Row],[CDPS A 31 JULIO 2022]]-Tabla16[[#This Row],[CDP]]</f>
        <v>0</v>
      </c>
      <c r="U89" s="1357">
        <v>48300000</v>
      </c>
      <c r="V89" s="1357">
        <v>19180000</v>
      </c>
      <c r="W89" s="1357"/>
    </row>
    <row r="90" spans="1:23" s="1207" customFormat="1" ht="45" customHeight="1" x14ac:dyDescent="0.3">
      <c r="A90" s="1398">
        <v>2022090</v>
      </c>
      <c r="B90" s="1399">
        <v>7655</v>
      </c>
      <c r="C90" s="1400" t="s">
        <v>668</v>
      </c>
      <c r="D90" s="1401" t="s">
        <v>689</v>
      </c>
      <c r="E90" s="1402" t="s">
        <v>780</v>
      </c>
      <c r="F90" s="1403" t="s">
        <v>828</v>
      </c>
      <c r="G90" s="1404">
        <v>44575</v>
      </c>
      <c r="H90" s="1404">
        <v>44575</v>
      </c>
      <c r="I90" s="1405">
        <v>6</v>
      </c>
      <c r="J90" s="1405" t="s">
        <v>673</v>
      </c>
      <c r="K90" s="1406" t="s">
        <v>674</v>
      </c>
      <c r="L90" s="1407" t="s">
        <v>675</v>
      </c>
      <c r="M90" s="1408">
        <f>36000000-12872500-2750000-20377500</f>
        <v>0</v>
      </c>
      <c r="N90" s="1409" t="s">
        <v>783</v>
      </c>
      <c r="O90" s="1402" t="s">
        <v>778</v>
      </c>
      <c r="P90" s="1410" t="s">
        <v>678</v>
      </c>
      <c r="Q90" s="1163"/>
      <c r="R90" s="1269">
        <v>0</v>
      </c>
      <c r="S90" s="1357"/>
      <c r="T90" s="1357">
        <f>+Tabla16[[#This Row],[CDPS A 31 JULIO 2022]]-Tabla16[[#This Row],[CDP]]</f>
        <v>0</v>
      </c>
      <c r="U90" s="1357"/>
      <c r="V90" s="1357"/>
      <c r="W90" s="1357"/>
    </row>
    <row r="91" spans="1:23" s="1207" customFormat="1" ht="45" hidden="1" customHeight="1" x14ac:dyDescent="0.3">
      <c r="A91" s="1355">
        <v>2022091</v>
      </c>
      <c r="B91" s="1172">
        <v>7655</v>
      </c>
      <c r="C91" s="1356" t="s">
        <v>668</v>
      </c>
      <c r="D91" s="1190" t="s">
        <v>689</v>
      </c>
      <c r="E91" s="1174" t="s">
        <v>780</v>
      </c>
      <c r="F91" s="1379" t="s">
        <v>829</v>
      </c>
      <c r="G91" s="1380">
        <v>44575</v>
      </c>
      <c r="H91" s="1380">
        <v>44575</v>
      </c>
      <c r="I91" s="1176">
        <v>11.5</v>
      </c>
      <c r="J91" s="1176" t="s">
        <v>673</v>
      </c>
      <c r="K91" s="1177" t="s">
        <v>674</v>
      </c>
      <c r="L91" s="1178" t="s">
        <v>675</v>
      </c>
      <c r="M91" s="1179">
        <v>80500000</v>
      </c>
      <c r="N91" s="1376" t="s">
        <v>783</v>
      </c>
      <c r="O91" s="1174" t="s">
        <v>778</v>
      </c>
      <c r="P91" s="1207" t="s">
        <v>678</v>
      </c>
      <c r="Q91" s="1163"/>
      <c r="R91" s="1269">
        <v>80500000</v>
      </c>
      <c r="S91" s="1357">
        <v>80500000</v>
      </c>
      <c r="T91" s="1357">
        <f>+Tabla16[[#This Row],[CDPS A 31 JULIO 2022]]-Tabla16[[#This Row],[CDP]]</f>
        <v>0</v>
      </c>
      <c r="U91" s="1357">
        <v>80500000</v>
      </c>
      <c r="V91" s="1357">
        <v>21233333</v>
      </c>
      <c r="W91" s="1357"/>
    </row>
    <row r="92" spans="1:23" s="1207" customFormat="1" ht="45" hidden="1" customHeight="1" x14ac:dyDescent="0.3">
      <c r="A92" s="1355">
        <v>2022092</v>
      </c>
      <c r="B92" s="1172">
        <v>7655</v>
      </c>
      <c r="C92" s="1356" t="s">
        <v>668</v>
      </c>
      <c r="D92" s="1190" t="s">
        <v>689</v>
      </c>
      <c r="E92" s="1174" t="s">
        <v>780</v>
      </c>
      <c r="F92" s="1379" t="s">
        <v>830</v>
      </c>
      <c r="G92" s="1380">
        <v>44575</v>
      </c>
      <c r="H92" s="1380">
        <v>44575</v>
      </c>
      <c r="I92" s="1176">
        <v>11.5</v>
      </c>
      <c r="J92" s="1176" t="s">
        <v>673</v>
      </c>
      <c r="K92" s="1177" t="s">
        <v>674</v>
      </c>
      <c r="L92" s="1178" t="s">
        <v>675</v>
      </c>
      <c r="M92" s="1179">
        <v>28175000</v>
      </c>
      <c r="N92" s="1376" t="s">
        <v>783</v>
      </c>
      <c r="O92" s="1174" t="s">
        <v>778</v>
      </c>
      <c r="P92" s="1207" t="s">
        <v>678</v>
      </c>
      <c r="Q92" s="1163"/>
      <c r="R92" s="1269">
        <v>28175000</v>
      </c>
      <c r="S92" s="1357">
        <v>28175000</v>
      </c>
      <c r="T92" s="1357">
        <f>+Tabla16[[#This Row],[CDPS A 31 JULIO 2022]]-Tabla16[[#This Row],[CDP]]</f>
        <v>0</v>
      </c>
      <c r="U92" s="1357">
        <v>28175000</v>
      </c>
      <c r="V92" s="1357">
        <v>10698333</v>
      </c>
      <c r="W92" s="1357"/>
    </row>
    <row r="93" spans="1:23" s="1207" customFormat="1" ht="45" hidden="1" customHeight="1" x14ac:dyDescent="0.3">
      <c r="A93" s="1355">
        <v>2022093</v>
      </c>
      <c r="B93" s="1172">
        <v>7655</v>
      </c>
      <c r="C93" s="1356" t="s">
        <v>668</v>
      </c>
      <c r="D93" s="1190" t="s">
        <v>689</v>
      </c>
      <c r="E93" s="1174" t="s">
        <v>780</v>
      </c>
      <c r="F93" s="1379" t="s">
        <v>831</v>
      </c>
      <c r="G93" s="1380">
        <v>44575</v>
      </c>
      <c r="H93" s="1380">
        <v>44575</v>
      </c>
      <c r="I93" s="1176">
        <v>11.5</v>
      </c>
      <c r="J93" s="1176" t="s">
        <v>673</v>
      </c>
      <c r="K93" s="1177" t="s">
        <v>674</v>
      </c>
      <c r="L93" s="1178" t="s">
        <v>675</v>
      </c>
      <c r="M93" s="1179">
        <v>48300000</v>
      </c>
      <c r="N93" s="1376" t="s">
        <v>783</v>
      </c>
      <c r="O93" s="1174" t="s">
        <v>778</v>
      </c>
      <c r="P93" s="1207" t="s">
        <v>678</v>
      </c>
      <c r="Q93" s="1163"/>
      <c r="R93" s="1269">
        <v>48300000</v>
      </c>
      <c r="S93" s="1357">
        <v>48300000</v>
      </c>
      <c r="T93" s="1357">
        <f>+Tabla16[[#This Row],[CDPS A 31 JULIO 2022]]-Tabla16[[#This Row],[CDP]]</f>
        <v>0</v>
      </c>
      <c r="U93" s="1357">
        <v>48300000</v>
      </c>
      <c r="V93" s="1357">
        <v>18620000</v>
      </c>
      <c r="W93" s="1357"/>
    </row>
    <row r="94" spans="1:23" s="1207" customFormat="1" ht="45" hidden="1" customHeight="1" x14ac:dyDescent="0.3">
      <c r="A94" s="1355">
        <v>2022094</v>
      </c>
      <c r="B94" s="1172">
        <v>7655</v>
      </c>
      <c r="C94" s="1356" t="s">
        <v>668</v>
      </c>
      <c r="D94" s="1190" t="s">
        <v>689</v>
      </c>
      <c r="E94" s="1174" t="s">
        <v>780</v>
      </c>
      <c r="F94" s="1379" t="s">
        <v>830</v>
      </c>
      <c r="G94" s="1380">
        <v>44575</v>
      </c>
      <c r="H94" s="1380">
        <v>44575</v>
      </c>
      <c r="I94" s="1176">
        <v>11.5</v>
      </c>
      <c r="J94" s="1176" t="s">
        <v>673</v>
      </c>
      <c r="K94" s="1177" t="s">
        <v>674</v>
      </c>
      <c r="L94" s="1178" t="s">
        <v>675</v>
      </c>
      <c r="M94" s="1179">
        <v>28175000</v>
      </c>
      <c r="N94" s="1376" t="s">
        <v>783</v>
      </c>
      <c r="O94" s="1174" t="s">
        <v>778</v>
      </c>
      <c r="P94" s="1207" t="s">
        <v>678</v>
      </c>
      <c r="Q94" s="1163"/>
      <c r="R94" s="1269">
        <v>28175000</v>
      </c>
      <c r="S94" s="1357">
        <v>28175000</v>
      </c>
      <c r="T94" s="1357">
        <f>+Tabla16[[#This Row],[CDPS A 31 JULIO 2022]]-Tabla16[[#This Row],[CDP]]</f>
        <v>0</v>
      </c>
      <c r="U94" s="1357">
        <v>28175000</v>
      </c>
      <c r="V94" s="1357">
        <v>10943333</v>
      </c>
      <c r="W94" s="1357"/>
    </row>
    <row r="95" spans="1:23" s="1207" customFormat="1" ht="45" hidden="1" customHeight="1" x14ac:dyDescent="0.3">
      <c r="A95" s="1355">
        <v>2022095</v>
      </c>
      <c r="B95" s="1172">
        <v>7655</v>
      </c>
      <c r="C95" s="1356" t="s">
        <v>668</v>
      </c>
      <c r="D95" s="1190" t="s">
        <v>689</v>
      </c>
      <c r="E95" s="1174" t="s">
        <v>780</v>
      </c>
      <c r="F95" s="1379" t="s">
        <v>832</v>
      </c>
      <c r="G95" s="1380">
        <v>44575</v>
      </c>
      <c r="H95" s="1380">
        <v>44575</v>
      </c>
      <c r="I95" s="1176">
        <v>11.5</v>
      </c>
      <c r="J95" s="1176" t="s">
        <v>673</v>
      </c>
      <c r="K95" s="1177" t="s">
        <v>674</v>
      </c>
      <c r="L95" s="1178" t="s">
        <v>675</v>
      </c>
      <c r="M95" s="1179">
        <v>31625000</v>
      </c>
      <c r="N95" s="1376" t="s">
        <v>783</v>
      </c>
      <c r="O95" s="1174" t="s">
        <v>778</v>
      </c>
      <c r="P95" s="1207" t="s">
        <v>678</v>
      </c>
      <c r="Q95" s="1163"/>
      <c r="R95" s="1269">
        <v>31625000</v>
      </c>
      <c r="S95" s="1357">
        <v>31625000</v>
      </c>
      <c r="T95" s="1357">
        <f>+Tabla16[[#This Row],[CDPS A 31 JULIO 2022]]-Tabla16[[#This Row],[CDP]]</f>
        <v>0</v>
      </c>
      <c r="U95" s="1357">
        <v>31625000</v>
      </c>
      <c r="V95" s="1357">
        <v>11458333</v>
      </c>
      <c r="W95" s="1357"/>
    </row>
    <row r="96" spans="1:23" s="1207" customFormat="1" ht="45" hidden="1" customHeight="1" x14ac:dyDescent="0.3">
      <c r="A96" s="1355">
        <v>2022096</v>
      </c>
      <c r="B96" s="1172">
        <v>7655</v>
      </c>
      <c r="C96" s="1356" t="s">
        <v>668</v>
      </c>
      <c r="D96" s="1190" t="s">
        <v>689</v>
      </c>
      <c r="E96" s="1174" t="s">
        <v>780</v>
      </c>
      <c r="F96" s="1379" t="s">
        <v>833</v>
      </c>
      <c r="G96" s="1380">
        <v>44575</v>
      </c>
      <c r="H96" s="1380">
        <v>44575</v>
      </c>
      <c r="I96" s="1176">
        <v>11.5</v>
      </c>
      <c r="J96" s="1176" t="s">
        <v>673</v>
      </c>
      <c r="K96" s="1177" t="s">
        <v>674</v>
      </c>
      <c r="L96" s="1178" t="s">
        <v>675</v>
      </c>
      <c r="M96" s="1179">
        <v>69000000</v>
      </c>
      <c r="N96" s="1376" t="s">
        <v>783</v>
      </c>
      <c r="O96" s="1174" t="s">
        <v>778</v>
      </c>
      <c r="P96" s="1207" t="s">
        <v>678</v>
      </c>
      <c r="Q96" s="1163"/>
      <c r="R96" s="1269">
        <v>69000000</v>
      </c>
      <c r="S96" s="1357">
        <v>69000000</v>
      </c>
      <c r="T96" s="1357">
        <f>+Tabla16[[#This Row],[CDPS A 31 JULIO 2022]]-Tabla16[[#This Row],[CDP]]</f>
        <v>0</v>
      </c>
      <c r="U96" s="1357">
        <v>69000000</v>
      </c>
      <c r="V96" s="1357">
        <v>26600000</v>
      </c>
      <c r="W96" s="1357"/>
    </row>
    <row r="97" spans="1:23" s="1207" customFormat="1" ht="45" hidden="1" customHeight="1" x14ac:dyDescent="0.3">
      <c r="A97" s="1355">
        <v>2022097</v>
      </c>
      <c r="B97" s="1172">
        <v>7655</v>
      </c>
      <c r="C97" s="1356" t="s">
        <v>668</v>
      </c>
      <c r="D97" s="1190" t="s">
        <v>689</v>
      </c>
      <c r="E97" s="1174" t="s">
        <v>780</v>
      </c>
      <c r="F97" s="1379" t="s">
        <v>830</v>
      </c>
      <c r="G97" s="1380">
        <v>44575</v>
      </c>
      <c r="H97" s="1380">
        <v>44575</v>
      </c>
      <c r="I97" s="1176">
        <v>11.5</v>
      </c>
      <c r="J97" s="1176" t="s">
        <v>673</v>
      </c>
      <c r="K97" s="1177" t="s">
        <v>674</v>
      </c>
      <c r="L97" s="1178" t="s">
        <v>675</v>
      </c>
      <c r="M97" s="1179">
        <v>24150000</v>
      </c>
      <c r="N97" s="1376" t="s">
        <v>783</v>
      </c>
      <c r="O97" s="1174" t="s">
        <v>778</v>
      </c>
      <c r="P97" s="1207" t="s">
        <v>678</v>
      </c>
      <c r="Q97" s="1163"/>
      <c r="R97" s="1269">
        <v>24150000</v>
      </c>
      <c r="S97" s="1357">
        <v>24150000</v>
      </c>
      <c r="T97" s="1357">
        <f>+Tabla16[[#This Row],[CDPS A 31 JULIO 2022]]-Tabla16[[#This Row],[CDP]]</f>
        <v>0</v>
      </c>
      <c r="U97" s="1357">
        <v>24150000</v>
      </c>
      <c r="V97" s="1357">
        <v>9170000</v>
      </c>
      <c r="W97" s="1357"/>
    </row>
    <row r="98" spans="1:23" s="1207" customFormat="1" ht="45" hidden="1" customHeight="1" x14ac:dyDescent="0.3">
      <c r="A98" s="1355">
        <v>2022098</v>
      </c>
      <c r="B98" s="1172">
        <v>7655</v>
      </c>
      <c r="C98" s="1356" t="s">
        <v>668</v>
      </c>
      <c r="D98" s="1190" t="s">
        <v>689</v>
      </c>
      <c r="E98" s="1174" t="s">
        <v>780</v>
      </c>
      <c r="F98" s="1379" t="s">
        <v>830</v>
      </c>
      <c r="G98" s="1380">
        <v>44575</v>
      </c>
      <c r="H98" s="1380">
        <v>44575</v>
      </c>
      <c r="I98" s="1176">
        <v>11.5</v>
      </c>
      <c r="J98" s="1176" t="s">
        <v>673</v>
      </c>
      <c r="K98" s="1177" t="s">
        <v>674</v>
      </c>
      <c r="L98" s="1178" t="s">
        <v>675</v>
      </c>
      <c r="M98" s="1179">
        <v>28175000</v>
      </c>
      <c r="N98" s="1376" t="s">
        <v>783</v>
      </c>
      <c r="O98" s="1174" t="s">
        <v>778</v>
      </c>
      <c r="P98" s="1207" t="s">
        <v>678</v>
      </c>
      <c r="Q98" s="1163"/>
      <c r="R98" s="1269">
        <v>28175000</v>
      </c>
      <c r="S98" s="1357">
        <v>28175000</v>
      </c>
      <c r="T98" s="1357">
        <f>+Tabla16[[#This Row],[CDPS A 31 JULIO 2022]]-Tabla16[[#This Row],[CDP]]</f>
        <v>0</v>
      </c>
      <c r="U98" s="1357">
        <v>28175000</v>
      </c>
      <c r="V98" s="1357">
        <v>10780000</v>
      </c>
      <c r="W98" s="1357"/>
    </row>
    <row r="99" spans="1:23" s="1207" customFormat="1" ht="45" hidden="1" customHeight="1" x14ac:dyDescent="0.3">
      <c r="A99" s="1355">
        <v>2022099</v>
      </c>
      <c r="B99" s="1172">
        <v>7655</v>
      </c>
      <c r="C99" s="1356" t="s">
        <v>668</v>
      </c>
      <c r="D99" s="1190" t="s">
        <v>689</v>
      </c>
      <c r="E99" s="1174" t="s">
        <v>780</v>
      </c>
      <c r="F99" s="1379" t="s">
        <v>830</v>
      </c>
      <c r="G99" s="1380">
        <v>44575</v>
      </c>
      <c r="H99" s="1380">
        <v>44575</v>
      </c>
      <c r="I99" s="1176">
        <v>11.5</v>
      </c>
      <c r="J99" s="1176" t="s">
        <v>673</v>
      </c>
      <c r="K99" s="1177" t="s">
        <v>674</v>
      </c>
      <c r="L99" s="1178" t="s">
        <v>675</v>
      </c>
      <c r="M99" s="1179">
        <v>28175000</v>
      </c>
      <c r="N99" s="1376" t="s">
        <v>783</v>
      </c>
      <c r="O99" s="1174" t="s">
        <v>778</v>
      </c>
      <c r="P99" s="1207" t="s">
        <v>678</v>
      </c>
      <c r="Q99" s="1163"/>
      <c r="R99" s="1269">
        <v>28175000</v>
      </c>
      <c r="S99" s="1357">
        <v>28175000</v>
      </c>
      <c r="T99" s="1357">
        <f>+Tabla16[[#This Row],[CDPS A 31 JULIO 2022]]-Tabla16[[#This Row],[CDP]]</f>
        <v>0</v>
      </c>
      <c r="U99" s="1357">
        <v>28175000</v>
      </c>
      <c r="V99" s="1357">
        <v>10943333</v>
      </c>
      <c r="W99" s="1357"/>
    </row>
    <row r="100" spans="1:23" s="1207" customFormat="1" ht="45" hidden="1" customHeight="1" x14ac:dyDescent="0.3">
      <c r="A100" s="1355">
        <v>2022100</v>
      </c>
      <c r="B100" s="1172">
        <v>7655</v>
      </c>
      <c r="C100" s="1356" t="s">
        <v>668</v>
      </c>
      <c r="D100" s="1190" t="s">
        <v>689</v>
      </c>
      <c r="E100" s="1174" t="s">
        <v>780</v>
      </c>
      <c r="F100" s="1379" t="s">
        <v>834</v>
      </c>
      <c r="G100" s="1380">
        <v>44575</v>
      </c>
      <c r="H100" s="1380">
        <v>44575</v>
      </c>
      <c r="I100" s="1176">
        <v>11.5</v>
      </c>
      <c r="J100" s="1176" t="s">
        <v>673</v>
      </c>
      <c r="K100" s="1177" t="s">
        <v>674</v>
      </c>
      <c r="L100" s="1178" t="s">
        <v>782</v>
      </c>
      <c r="M100" s="1179">
        <v>63250000</v>
      </c>
      <c r="N100" s="1376" t="s">
        <v>783</v>
      </c>
      <c r="O100" s="1174" t="s">
        <v>778</v>
      </c>
      <c r="P100" s="1207" t="s">
        <v>678</v>
      </c>
      <c r="Q100" s="1163"/>
      <c r="R100" s="1269">
        <v>63250000</v>
      </c>
      <c r="S100" s="1357">
        <v>63250000</v>
      </c>
      <c r="T100" s="1357">
        <f>+Tabla16[[#This Row],[CDPS A 31 JULIO 2022]]-Tabla16[[#This Row],[CDP]]</f>
        <v>0</v>
      </c>
      <c r="U100" s="1357">
        <v>63250000</v>
      </c>
      <c r="V100" s="1357">
        <v>23833333</v>
      </c>
      <c r="W100" s="1357"/>
    </row>
    <row r="101" spans="1:23" s="1207" customFormat="1" ht="45" hidden="1" customHeight="1" x14ac:dyDescent="0.3">
      <c r="A101" s="1355">
        <v>2022101</v>
      </c>
      <c r="B101" s="1172">
        <v>7655</v>
      </c>
      <c r="C101" s="1356" t="s">
        <v>668</v>
      </c>
      <c r="D101" s="1190" t="s">
        <v>689</v>
      </c>
      <c r="E101" s="1174" t="s">
        <v>780</v>
      </c>
      <c r="F101" s="1379" t="s">
        <v>835</v>
      </c>
      <c r="G101" s="1380">
        <v>44575</v>
      </c>
      <c r="H101" s="1380">
        <v>44575</v>
      </c>
      <c r="I101" s="1176">
        <v>11.5</v>
      </c>
      <c r="J101" s="1176" t="s">
        <v>673</v>
      </c>
      <c r="K101" s="1177" t="s">
        <v>674</v>
      </c>
      <c r="L101" s="1178" t="s">
        <v>782</v>
      </c>
      <c r="M101" s="1179">
        <v>63250000</v>
      </c>
      <c r="N101" s="1376" t="s">
        <v>783</v>
      </c>
      <c r="O101" s="1174" t="s">
        <v>778</v>
      </c>
      <c r="P101" s="1207" t="s">
        <v>678</v>
      </c>
      <c r="Q101" s="1163"/>
      <c r="R101" s="1269">
        <v>63250000</v>
      </c>
      <c r="S101" s="1357">
        <v>63250000</v>
      </c>
      <c r="T101" s="1357">
        <f>+Tabla16[[#This Row],[CDPS A 31 JULIO 2022]]-Tabla16[[#This Row],[CDP]]</f>
        <v>0</v>
      </c>
      <c r="U101" s="1357">
        <v>63250000</v>
      </c>
      <c r="V101" s="1357">
        <v>22000000</v>
      </c>
      <c r="W101" s="1357"/>
    </row>
    <row r="102" spans="1:23" s="1207" customFormat="1" ht="45" hidden="1" customHeight="1" x14ac:dyDescent="0.3">
      <c r="A102" s="1355">
        <v>2022102</v>
      </c>
      <c r="B102" s="1172">
        <v>7655</v>
      </c>
      <c r="C102" s="1356" t="s">
        <v>668</v>
      </c>
      <c r="D102" s="1190" t="s">
        <v>689</v>
      </c>
      <c r="E102" s="1174" t="s">
        <v>97</v>
      </c>
      <c r="F102" s="1379" t="s">
        <v>836</v>
      </c>
      <c r="G102" s="1380" t="s">
        <v>97</v>
      </c>
      <c r="H102" s="1380" t="s">
        <v>97</v>
      </c>
      <c r="I102" s="1176" t="s">
        <v>97</v>
      </c>
      <c r="J102" s="1176" t="s">
        <v>673</v>
      </c>
      <c r="K102" s="1177" t="s">
        <v>674</v>
      </c>
      <c r="L102" s="1178" t="s">
        <v>675</v>
      </c>
      <c r="M102" s="1179">
        <f>138627500-16250000-122377500</f>
        <v>0</v>
      </c>
      <c r="N102" s="1376" t="s">
        <v>783</v>
      </c>
      <c r="O102" s="1174" t="s">
        <v>778</v>
      </c>
      <c r="P102" s="1207" t="s">
        <v>748</v>
      </c>
      <c r="Q102" s="1163"/>
      <c r="R102" s="1269">
        <v>455800</v>
      </c>
      <c r="S102" s="1357">
        <v>455800</v>
      </c>
      <c r="T102" s="1357">
        <f>+Tabla16[[#This Row],[CDPS A 31 JULIO 2022]]-Tabla16[[#This Row],[CDP]]</f>
        <v>0</v>
      </c>
      <c r="U102" s="1357">
        <v>455800</v>
      </c>
      <c r="V102" s="1357">
        <v>455800</v>
      </c>
      <c r="W102" s="1357"/>
    </row>
    <row r="103" spans="1:23" s="1207" customFormat="1" ht="45" hidden="1" customHeight="1" x14ac:dyDescent="0.3">
      <c r="A103" s="1355">
        <v>2022103</v>
      </c>
      <c r="B103" s="1172">
        <v>7655</v>
      </c>
      <c r="C103" s="1356" t="s">
        <v>668</v>
      </c>
      <c r="D103" s="1190" t="s">
        <v>689</v>
      </c>
      <c r="E103" s="1174" t="s">
        <v>780</v>
      </c>
      <c r="F103" s="1379" t="s">
        <v>837</v>
      </c>
      <c r="G103" s="1380">
        <v>44575</v>
      </c>
      <c r="H103" s="1380">
        <v>44575</v>
      </c>
      <c r="I103" s="1176">
        <v>7</v>
      </c>
      <c r="J103" s="1176" t="s">
        <v>673</v>
      </c>
      <c r="K103" s="1177" t="s">
        <v>674</v>
      </c>
      <c r="L103" s="1178" t="s">
        <v>675</v>
      </c>
      <c r="M103" s="1179">
        <v>31500000</v>
      </c>
      <c r="N103" s="1376" t="s">
        <v>783</v>
      </c>
      <c r="O103" s="1174" t="s">
        <v>778</v>
      </c>
      <c r="P103" s="1207" t="s">
        <v>678</v>
      </c>
      <c r="Q103" s="1163"/>
      <c r="R103" s="1269">
        <v>31500000</v>
      </c>
      <c r="S103" s="1357">
        <v>31500000</v>
      </c>
      <c r="T103" s="1357">
        <f>+Tabla16[[#This Row],[CDPS A 31 JULIO 2022]]-Tabla16[[#This Row],[CDP]]</f>
        <v>0</v>
      </c>
      <c r="U103" s="1357">
        <v>31500000</v>
      </c>
      <c r="V103" s="1357">
        <v>19050000</v>
      </c>
      <c r="W103" s="1357"/>
    </row>
    <row r="104" spans="1:23" s="1207" customFormat="1" ht="45" hidden="1" customHeight="1" x14ac:dyDescent="0.3">
      <c r="A104" s="1355">
        <v>2022104</v>
      </c>
      <c r="B104" s="1172">
        <v>7655</v>
      </c>
      <c r="C104" s="1356" t="s">
        <v>668</v>
      </c>
      <c r="D104" s="1190" t="s">
        <v>689</v>
      </c>
      <c r="E104" s="1174" t="s">
        <v>780</v>
      </c>
      <c r="F104" s="1379" t="s">
        <v>838</v>
      </c>
      <c r="G104" s="1380">
        <v>44575</v>
      </c>
      <c r="H104" s="1380">
        <v>44575</v>
      </c>
      <c r="I104" s="1176">
        <v>11.5</v>
      </c>
      <c r="J104" s="1176" t="s">
        <v>673</v>
      </c>
      <c r="K104" s="1177" t="s">
        <v>674</v>
      </c>
      <c r="L104" s="1178" t="s">
        <v>675</v>
      </c>
      <c r="M104" s="1179">
        <v>38525000</v>
      </c>
      <c r="N104" s="1376" t="s">
        <v>783</v>
      </c>
      <c r="O104" s="1174" t="s">
        <v>778</v>
      </c>
      <c r="P104" s="1207" t="s">
        <v>678</v>
      </c>
      <c r="Q104" s="1163"/>
      <c r="R104" s="1269">
        <v>38525000</v>
      </c>
      <c r="S104" s="1357">
        <v>38525000</v>
      </c>
      <c r="T104" s="1357">
        <f>+Tabla16[[#This Row],[CDPS A 31 JULIO 2022]]-Tabla16[[#This Row],[CDP]]</f>
        <v>0</v>
      </c>
      <c r="U104" s="1357">
        <v>38525000</v>
      </c>
      <c r="V104" s="1357">
        <v>14740000</v>
      </c>
      <c r="W104" s="1357"/>
    </row>
    <row r="105" spans="1:23" s="1207" customFormat="1" ht="45" hidden="1" customHeight="1" x14ac:dyDescent="0.3">
      <c r="A105" s="1355">
        <v>2022105</v>
      </c>
      <c r="B105" s="1172">
        <v>7655</v>
      </c>
      <c r="C105" s="1356" t="s">
        <v>668</v>
      </c>
      <c r="D105" s="1190" t="s">
        <v>689</v>
      </c>
      <c r="E105" s="1174" t="s">
        <v>780</v>
      </c>
      <c r="F105" s="1379" t="s">
        <v>838</v>
      </c>
      <c r="G105" s="1380">
        <v>44575</v>
      </c>
      <c r="H105" s="1380">
        <v>44575</v>
      </c>
      <c r="I105" s="1176">
        <v>11.5</v>
      </c>
      <c r="J105" s="1176" t="s">
        <v>673</v>
      </c>
      <c r="K105" s="1177" t="s">
        <v>674</v>
      </c>
      <c r="L105" s="1178" t="s">
        <v>675</v>
      </c>
      <c r="M105" s="1179">
        <v>28175000</v>
      </c>
      <c r="N105" s="1376" t="s">
        <v>783</v>
      </c>
      <c r="O105" s="1174" t="s">
        <v>778</v>
      </c>
      <c r="P105" s="1207" t="s">
        <v>678</v>
      </c>
      <c r="Q105" s="1163"/>
      <c r="R105" s="1269">
        <v>28175000</v>
      </c>
      <c r="S105" s="1357">
        <v>28175000</v>
      </c>
      <c r="T105" s="1357">
        <f>+Tabla16[[#This Row],[CDPS A 31 JULIO 2022]]-Tabla16[[#This Row],[CDP]]</f>
        <v>0</v>
      </c>
      <c r="U105" s="1357">
        <v>28175000</v>
      </c>
      <c r="V105" s="1357">
        <v>10616667</v>
      </c>
      <c r="W105" s="1357"/>
    </row>
    <row r="106" spans="1:23" s="1207" customFormat="1" ht="45" hidden="1" customHeight="1" x14ac:dyDescent="0.3">
      <c r="A106" s="1355">
        <v>2022106</v>
      </c>
      <c r="B106" s="1172">
        <v>7655</v>
      </c>
      <c r="C106" s="1356" t="s">
        <v>668</v>
      </c>
      <c r="D106" s="1190" t="s">
        <v>689</v>
      </c>
      <c r="E106" s="1174" t="s">
        <v>780</v>
      </c>
      <c r="F106" s="1379" t="s">
        <v>839</v>
      </c>
      <c r="G106" s="1380">
        <v>44575</v>
      </c>
      <c r="H106" s="1380">
        <v>44575</v>
      </c>
      <c r="I106" s="1176">
        <v>11.5</v>
      </c>
      <c r="J106" s="1176" t="s">
        <v>673</v>
      </c>
      <c r="K106" s="1177" t="s">
        <v>674</v>
      </c>
      <c r="L106" s="1178" t="s">
        <v>675</v>
      </c>
      <c r="M106" s="1179">
        <v>44275000</v>
      </c>
      <c r="N106" s="1376" t="s">
        <v>783</v>
      </c>
      <c r="O106" s="1174" t="s">
        <v>778</v>
      </c>
      <c r="P106" s="1207" t="s">
        <v>678</v>
      </c>
      <c r="Q106" s="1163"/>
      <c r="R106" s="1269">
        <v>44275000</v>
      </c>
      <c r="S106" s="1357">
        <v>44275000</v>
      </c>
      <c r="T106" s="1357">
        <f>+Tabla16[[#This Row],[CDPS A 31 JULIO 2022]]-Tabla16[[#This Row],[CDP]]</f>
        <v>0</v>
      </c>
      <c r="U106" s="1357">
        <v>44275000</v>
      </c>
      <c r="V106" s="1357">
        <v>15528333</v>
      </c>
      <c r="W106" s="1357"/>
    </row>
    <row r="107" spans="1:23" s="1207" customFormat="1" ht="45" hidden="1" customHeight="1" x14ac:dyDescent="0.3">
      <c r="A107" s="1355">
        <v>2022107</v>
      </c>
      <c r="B107" s="1172">
        <v>7655</v>
      </c>
      <c r="C107" s="1356" t="s">
        <v>668</v>
      </c>
      <c r="D107" s="1190" t="s">
        <v>689</v>
      </c>
      <c r="E107" s="1174" t="s">
        <v>780</v>
      </c>
      <c r="F107" s="1379" t="s">
        <v>840</v>
      </c>
      <c r="G107" s="1380">
        <v>44575</v>
      </c>
      <c r="H107" s="1380">
        <v>44575</v>
      </c>
      <c r="I107" s="1176">
        <v>7</v>
      </c>
      <c r="J107" s="1176" t="s">
        <v>673</v>
      </c>
      <c r="K107" s="1177" t="s">
        <v>674</v>
      </c>
      <c r="L107" s="1178" t="s">
        <v>675</v>
      </c>
      <c r="M107" s="1179">
        <v>31500000</v>
      </c>
      <c r="N107" s="1376" t="s">
        <v>783</v>
      </c>
      <c r="O107" s="1174" t="s">
        <v>778</v>
      </c>
      <c r="P107" s="1207" t="s">
        <v>678</v>
      </c>
      <c r="Q107" s="1163"/>
      <c r="R107" s="1269">
        <v>31500000</v>
      </c>
      <c r="S107" s="1357">
        <v>31500000</v>
      </c>
      <c r="T107" s="1357">
        <f>+Tabla16[[#This Row],[CDPS A 31 JULIO 2022]]-Tabla16[[#This Row],[CDP]]</f>
        <v>0</v>
      </c>
      <c r="U107" s="1357">
        <v>31500000</v>
      </c>
      <c r="V107" s="1357">
        <v>3450000</v>
      </c>
      <c r="W107" s="1357"/>
    </row>
    <row r="108" spans="1:23" s="1207" customFormat="1" ht="45" hidden="1" customHeight="1" x14ac:dyDescent="0.3">
      <c r="A108" s="1355">
        <v>2022108</v>
      </c>
      <c r="B108" s="1172">
        <v>7655</v>
      </c>
      <c r="C108" s="1356" t="s">
        <v>668</v>
      </c>
      <c r="D108" s="1190" t="s">
        <v>689</v>
      </c>
      <c r="E108" s="1174" t="s">
        <v>780</v>
      </c>
      <c r="F108" s="1379" t="s">
        <v>841</v>
      </c>
      <c r="G108" s="1380">
        <v>44575</v>
      </c>
      <c r="H108" s="1380">
        <v>44575</v>
      </c>
      <c r="I108" s="1176">
        <v>12</v>
      </c>
      <c r="J108" s="1176" t="s">
        <v>673</v>
      </c>
      <c r="K108" s="1177" t="s">
        <v>674</v>
      </c>
      <c r="L108" s="1178" t="s">
        <v>675</v>
      </c>
      <c r="M108" s="1179">
        <v>29400000</v>
      </c>
      <c r="N108" s="1376" t="s">
        <v>783</v>
      </c>
      <c r="O108" s="1174" t="s">
        <v>778</v>
      </c>
      <c r="P108" s="1207" t="s">
        <v>678</v>
      </c>
      <c r="Q108" s="1163"/>
      <c r="R108" s="1269">
        <v>29400000</v>
      </c>
      <c r="S108" s="1357">
        <v>29400000</v>
      </c>
      <c r="T108" s="1357">
        <f>+Tabla16[[#This Row],[CDPS A 31 JULIO 2022]]-Tabla16[[#This Row],[CDP]]</f>
        <v>0</v>
      </c>
      <c r="U108" s="1357">
        <v>29400000</v>
      </c>
      <c r="V108" s="1357">
        <v>10371667</v>
      </c>
      <c r="W108" s="1357"/>
    </row>
    <row r="109" spans="1:23" s="1207" customFormat="1" ht="45" hidden="1" customHeight="1" x14ac:dyDescent="0.3">
      <c r="A109" s="1355">
        <v>2022109</v>
      </c>
      <c r="B109" s="1172">
        <v>7655</v>
      </c>
      <c r="C109" s="1356" t="s">
        <v>668</v>
      </c>
      <c r="D109" s="1190" t="s">
        <v>689</v>
      </c>
      <c r="E109" s="1174" t="s">
        <v>780</v>
      </c>
      <c r="F109" s="1379" t="s">
        <v>842</v>
      </c>
      <c r="G109" s="1380">
        <v>44575</v>
      </c>
      <c r="H109" s="1380">
        <v>44575</v>
      </c>
      <c r="I109" s="1176">
        <v>12</v>
      </c>
      <c r="J109" s="1176" t="s">
        <v>673</v>
      </c>
      <c r="K109" s="1177" t="s">
        <v>674</v>
      </c>
      <c r="L109" s="1178" t="s">
        <v>675</v>
      </c>
      <c r="M109" s="1179">
        <v>84000000</v>
      </c>
      <c r="N109" s="1376" t="s">
        <v>783</v>
      </c>
      <c r="O109" s="1174" t="s">
        <v>778</v>
      </c>
      <c r="P109" s="1207" t="s">
        <v>678</v>
      </c>
      <c r="Q109" s="1163"/>
      <c r="R109" s="1269">
        <v>84000000</v>
      </c>
      <c r="S109" s="1357">
        <v>84000000</v>
      </c>
      <c r="T109" s="1357">
        <f>+Tabla16[[#This Row],[CDPS A 31 JULIO 2022]]-Tabla16[[#This Row],[CDP]]</f>
        <v>0</v>
      </c>
      <c r="U109" s="1357">
        <v>84000000</v>
      </c>
      <c r="V109" s="1357">
        <v>30566667</v>
      </c>
      <c r="W109" s="1357"/>
    </row>
    <row r="110" spans="1:23" s="1207" customFormat="1" ht="45" hidden="1" customHeight="1" x14ac:dyDescent="0.3">
      <c r="A110" s="1355">
        <v>2022110</v>
      </c>
      <c r="B110" s="1172">
        <v>7655</v>
      </c>
      <c r="C110" s="1356" t="s">
        <v>668</v>
      </c>
      <c r="D110" s="1190" t="s">
        <v>689</v>
      </c>
      <c r="E110" s="1174" t="s">
        <v>780</v>
      </c>
      <c r="F110" s="1379" t="s">
        <v>843</v>
      </c>
      <c r="G110" s="1380">
        <v>44575</v>
      </c>
      <c r="H110" s="1380">
        <v>44575</v>
      </c>
      <c r="I110" s="1176">
        <v>12</v>
      </c>
      <c r="J110" s="1176" t="s">
        <v>673</v>
      </c>
      <c r="K110" s="1177" t="s">
        <v>674</v>
      </c>
      <c r="L110" s="1178" t="s">
        <v>675</v>
      </c>
      <c r="M110" s="1179">
        <v>40200000</v>
      </c>
      <c r="N110" s="1376" t="s">
        <v>783</v>
      </c>
      <c r="O110" s="1174" t="s">
        <v>778</v>
      </c>
      <c r="P110" s="1207" t="s">
        <v>678</v>
      </c>
      <c r="Q110" s="1163"/>
      <c r="R110" s="1269">
        <v>29400000</v>
      </c>
      <c r="S110" s="1357">
        <v>29400000</v>
      </c>
      <c r="T110" s="1357">
        <f>+Tabla16[[#This Row],[CDPS A 31 JULIO 2022]]-Tabla16[[#This Row],[CDP]]</f>
        <v>0</v>
      </c>
      <c r="U110" s="1357">
        <v>29400000</v>
      </c>
      <c r="V110" s="1357">
        <v>9800000</v>
      </c>
      <c r="W110" s="1357"/>
    </row>
    <row r="111" spans="1:23" s="1207" customFormat="1" ht="45" hidden="1" customHeight="1" x14ac:dyDescent="0.3">
      <c r="A111" s="1355">
        <v>2022111</v>
      </c>
      <c r="B111" s="1172">
        <v>7655</v>
      </c>
      <c r="C111" s="1356" t="s">
        <v>668</v>
      </c>
      <c r="D111" s="1190" t="s">
        <v>689</v>
      </c>
      <c r="E111" s="1174" t="s">
        <v>780</v>
      </c>
      <c r="F111" s="1379" t="s">
        <v>841</v>
      </c>
      <c r="G111" s="1380">
        <v>44575</v>
      </c>
      <c r="H111" s="1380">
        <v>44575</v>
      </c>
      <c r="I111" s="1176">
        <v>12</v>
      </c>
      <c r="J111" s="1176" t="s">
        <v>673</v>
      </c>
      <c r="K111" s="1177" t="s">
        <v>674</v>
      </c>
      <c r="L111" s="1178" t="s">
        <v>675</v>
      </c>
      <c r="M111" s="1179">
        <v>29400000</v>
      </c>
      <c r="N111" s="1376" t="s">
        <v>783</v>
      </c>
      <c r="O111" s="1174" t="s">
        <v>778</v>
      </c>
      <c r="P111" s="1207" t="s">
        <v>678</v>
      </c>
      <c r="Q111" s="1163"/>
      <c r="R111" s="1269">
        <v>29400000</v>
      </c>
      <c r="S111" s="1357">
        <v>29400000</v>
      </c>
      <c r="T111" s="1357">
        <f>+Tabla16[[#This Row],[CDPS A 31 JULIO 2022]]-Tabla16[[#This Row],[CDP]]</f>
        <v>0</v>
      </c>
      <c r="U111" s="1357">
        <v>29400000</v>
      </c>
      <c r="V111" s="1357">
        <v>10371667</v>
      </c>
      <c r="W111" s="1357"/>
    </row>
    <row r="112" spans="1:23" s="1207" customFormat="1" ht="45" hidden="1" customHeight="1" x14ac:dyDescent="0.3">
      <c r="A112" s="1355">
        <v>2022112</v>
      </c>
      <c r="B112" s="1172">
        <v>7655</v>
      </c>
      <c r="C112" s="1356" t="s">
        <v>668</v>
      </c>
      <c r="D112" s="1190" t="s">
        <v>689</v>
      </c>
      <c r="E112" s="1174" t="s">
        <v>780</v>
      </c>
      <c r="F112" s="1379" t="s">
        <v>844</v>
      </c>
      <c r="G112" s="1380">
        <v>44575</v>
      </c>
      <c r="H112" s="1380">
        <v>44575</v>
      </c>
      <c r="I112" s="1176">
        <v>12</v>
      </c>
      <c r="J112" s="1176" t="s">
        <v>673</v>
      </c>
      <c r="K112" s="1177" t="s">
        <v>674</v>
      </c>
      <c r="L112" s="1178" t="s">
        <v>675</v>
      </c>
      <c r="M112" s="1179">
        <v>29400000</v>
      </c>
      <c r="N112" s="1376" t="s">
        <v>783</v>
      </c>
      <c r="O112" s="1174" t="s">
        <v>778</v>
      </c>
      <c r="P112" s="1207" t="s">
        <v>678</v>
      </c>
      <c r="Q112" s="1163"/>
      <c r="R112" s="1269">
        <v>29400000</v>
      </c>
      <c r="S112" s="1357">
        <v>29400000</v>
      </c>
      <c r="T112" s="1357">
        <f>+Tabla16[[#This Row],[CDPS A 31 JULIO 2022]]-Tabla16[[#This Row],[CDP]]</f>
        <v>0</v>
      </c>
      <c r="U112" s="1357">
        <v>29400000</v>
      </c>
      <c r="V112" s="1357">
        <v>10698333</v>
      </c>
      <c r="W112" s="1357"/>
    </row>
    <row r="113" spans="1:23" s="1207" customFormat="1" ht="45" hidden="1" customHeight="1" x14ac:dyDescent="0.3">
      <c r="A113" s="1355">
        <v>2022113</v>
      </c>
      <c r="B113" s="1172">
        <v>7655</v>
      </c>
      <c r="C113" s="1356" t="s">
        <v>668</v>
      </c>
      <c r="D113" s="1190" t="s">
        <v>689</v>
      </c>
      <c r="E113" s="1174" t="s">
        <v>780</v>
      </c>
      <c r="F113" s="1379" t="s">
        <v>844</v>
      </c>
      <c r="G113" s="1380">
        <v>44575</v>
      </c>
      <c r="H113" s="1380">
        <v>44575</v>
      </c>
      <c r="I113" s="1176">
        <v>12</v>
      </c>
      <c r="J113" s="1176" t="s">
        <v>673</v>
      </c>
      <c r="K113" s="1177" t="s">
        <v>674</v>
      </c>
      <c r="L113" s="1178" t="s">
        <v>675</v>
      </c>
      <c r="M113" s="1179">
        <v>29400000</v>
      </c>
      <c r="N113" s="1376" t="s">
        <v>783</v>
      </c>
      <c r="O113" s="1174" t="s">
        <v>778</v>
      </c>
      <c r="P113" s="1207" t="s">
        <v>678</v>
      </c>
      <c r="Q113" s="1163"/>
      <c r="R113" s="1269">
        <v>29400000</v>
      </c>
      <c r="S113" s="1357">
        <v>29400000</v>
      </c>
      <c r="T113" s="1357">
        <f>+Tabla16[[#This Row],[CDPS A 31 JULIO 2022]]-Tabla16[[#This Row],[CDP]]</f>
        <v>0</v>
      </c>
      <c r="U113" s="1357">
        <v>29400000</v>
      </c>
      <c r="V113" s="1357">
        <v>8738333</v>
      </c>
      <c r="W113" s="1357"/>
    </row>
    <row r="114" spans="1:23" s="1207" customFormat="1" ht="45" hidden="1" customHeight="1" x14ac:dyDescent="0.3">
      <c r="A114" s="1355">
        <v>2022114</v>
      </c>
      <c r="B114" s="1172">
        <v>7655</v>
      </c>
      <c r="C114" s="1356" t="s">
        <v>668</v>
      </c>
      <c r="D114" s="1190" t="s">
        <v>689</v>
      </c>
      <c r="E114" s="1174" t="s">
        <v>780</v>
      </c>
      <c r="F114" s="1379" t="s">
        <v>845</v>
      </c>
      <c r="G114" s="1380">
        <v>44575</v>
      </c>
      <c r="H114" s="1380">
        <v>44575</v>
      </c>
      <c r="I114" s="1176">
        <v>12</v>
      </c>
      <c r="J114" s="1176" t="s">
        <v>673</v>
      </c>
      <c r="K114" s="1177" t="s">
        <v>674</v>
      </c>
      <c r="L114" s="1178" t="s">
        <v>675</v>
      </c>
      <c r="M114" s="1179">
        <v>29400000</v>
      </c>
      <c r="N114" s="1376" t="s">
        <v>783</v>
      </c>
      <c r="O114" s="1174" t="s">
        <v>778</v>
      </c>
      <c r="P114" s="1207" t="s">
        <v>678</v>
      </c>
      <c r="Q114" s="1163"/>
      <c r="R114" s="1269">
        <v>29400000</v>
      </c>
      <c r="S114" s="1357">
        <v>29400000</v>
      </c>
      <c r="T114" s="1357">
        <f>+Tabla16[[#This Row],[CDPS A 31 JULIO 2022]]-Tabla16[[#This Row],[CDP]]</f>
        <v>0</v>
      </c>
      <c r="U114" s="1357">
        <v>29400000</v>
      </c>
      <c r="V114" s="1357">
        <v>10371667</v>
      </c>
      <c r="W114" s="1357"/>
    </row>
    <row r="115" spans="1:23" s="1207" customFormat="1" ht="45" hidden="1" customHeight="1" x14ac:dyDescent="0.3">
      <c r="A115" s="1355">
        <v>2022115</v>
      </c>
      <c r="B115" s="1172">
        <v>7655</v>
      </c>
      <c r="C115" s="1356" t="s">
        <v>668</v>
      </c>
      <c r="D115" s="1190" t="s">
        <v>689</v>
      </c>
      <c r="E115" s="1174" t="s">
        <v>780</v>
      </c>
      <c r="F115" s="1379" t="s">
        <v>844</v>
      </c>
      <c r="G115" s="1380">
        <v>44575</v>
      </c>
      <c r="H115" s="1380">
        <v>44575</v>
      </c>
      <c r="I115" s="1176">
        <v>12</v>
      </c>
      <c r="J115" s="1176" t="s">
        <v>673</v>
      </c>
      <c r="K115" s="1177" t="s">
        <v>674</v>
      </c>
      <c r="L115" s="1178" t="s">
        <v>675</v>
      </c>
      <c r="M115" s="1179">
        <v>29400000</v>
      </c>
      <c r="N115" s="1376" t="s">
        <v>783</v>
      </c>
      <c r="O115" s="1174" t="s">
        <v>778</v>
      </c>
      <c r="P115" s="1207" t="s">
        <v>678</v>
      </c>
      <c r="Q115" s="1163"/>
      <c r="R115" s="1269">
        <v>29400000</v>
      </c>
      <c r="S115" s="1357">
        <v>29400000</v>
      </c>
      <c r="T115" s="1357">
        <f>+Tabla16[[#This Row],[CDPS A 31 JULIO 2022]]-Tabla16[[#This Row],[CDP]]</f>
        <v>0</v>
      </c>
      <c r="U115" s="1357">
        <v>29400000</v>
      </c>
      <c r="V115" s="1357">
        <v>9636667</v>
      </c>
      <c r="W115" s="1357"/>
    </row>
    <row r="116" spans="1:23" s="1207" customFormat="1" ht="45" hidden="1" customHeight="1" x14ac:dyDescent="0.3">
      <c r="A116" s="1355">
        <v>2022116</v>
      </c>
      <c r="B116" s="1172">
        <v>7655</v>
      </c>
      <c r="C116" s="1356" t="s">
        <v>668</v>
      </c>
      <c r="D116" s="1190" t="s">
        <v>689</v>
      </c>
      <c r="E116" s="1174" t="s">
        <v>780</v>
      </c>
      <c r="F116" s="1379" t="s">
        <v>844</v>
      </c>
      <c r="G116" s="1380">
        <v>44575</v>
      </c>
      <c r="H116" s="1380">
        <v>44575</v>
      </c>
      <c r="I116" s="1176">
        <v>12</v>
      </c>
      <c r="J116" s="1176" t="s">
        <v>673</v>
      </c>
      <c r="K116" s="1177" t="s">
        <v>674</v>
      </c>
      <c r="L116" s="1178" t="s">
        <v>675</v>
      </c>
      <c r="M116" s="1179">
        <v>29400000</v>
      </c>
      <c r="N116" s="1376" t="s">
        <v>783</v>
      </c>
      <c r="O116" s="1174" t="s">
        <v>778</v>
      </c>
      <c r="P116" s="1207" t="s">
        <v>678</v>
      </c>
      <c r="Q116" s="1163"/>
      <c r="R116" s="1269">
        <v>29400000</v>
      </c>
      <c r="S116" s="1357">
        <v>29400000</v>
      </c>
      <c r="T116" s="1357">
        <f>+Tabla16[[#This Row],[CDPS A 31 JULIO 2022]]-Tabla16[[#This Row],[CDP]]</f>
        <v>0</v>
      </c>
      <c r="U116" s="1357">
        <v>29400000</v>
      </c>
      <c r="V116" s="1357">
        <v>10780000</v>
      </c>
      <c r="W116" s="1357"/>
    </row>
    <row r="117" spans="1:23" s="1207" customFormat="1" ht="45" hidden="1" customHeight="1" x14ac:dyDescent="0.3">
      <c r="A117" s="1355">
        <v>2022117</v>
      </c>
      <c r="B117" s="1172">
        <v>7655</v>
      </c>
      <c r="C117" s="1356" t="s">
        <v>668</v>
      </c>
      <c r="D117" s="1190" t="s">
        <v>689</v>
      </c>
      <c r="E117" s="1174" t="s">
        <v>780</v>
      </c>
      <c r="F117" s="1379" t="s">
        <v>844</v>
      </c>
      <c r="G117" s="1380">
        <v>44575</v>
      </c>
      <c r="H117" s="1380">
        <v>44575</v>
      </c>
      <c r="I117" s="1176">
        <v>12</v>
      </c>
      <c r="J117" s="1176" t="s">
        <v>673</v>
      </c>
      <c r="K117" s="1177" t="s">
        <v>674</v>
      </c>
      <c r="L117" s="1178" t="s">
        <v>675</v>
      </c>
      <c r="M117" s="1179">
        <v>29400000</v>
      </c>
      <c r="N117" s="1376" t="s">
        <v>783</v>
      </c>
      <c r="O117" s="1174" t="s">
        <v>778</v>
      </c>
      <c r="P117" s="1207" t="s">
        <v>678</v>
      </c>
      <c r="Q117" s="1163"/>
      <c r="R117" s="1269">
        <v>29400000</v>
      </c>
      <c r="S117" s="1357">
        <v>29400000</v>
      </c>
      <c r="T117" s="1357">
        <f>+Tabla16[[#This Row],[CDPS A 31 JULIO 2022]]-Tabla16[[#This Row],[CDP]]</f>
        <v>0</v>
      </c>
      <c r="U117" s="1357">
        <v>29400000</v>
      </c>
      <c r="V117" s="1357">
        <v>10371667</v>
      </c>
      <c r="W117" s="1357"/>
    </row>
    <row r="118" spans="1:23" s="1207" customFormat="1" ht="45" hidden="1" customHeight="1" x14ac:dyDescent="0.3">
      <c r="A118" s="1355">
        <v>2022118</v>
      </c>
      <c r="B118" s="1172">
        <v>7655</v>
      </c>
      <c r="C118" s="1356" t="s">
        <v>668</v>
      </c>
      <c r="D118" s="1190" t="s">
        <v>689</v>
      </c>
      <c r="E118" s="1174" t="s">
        <v>780</v>
      </c>
      <c r="F118" s="1379" t="s">
        <v>844</v>
      </c>
      <c r="G118" s="1380">
        <v>44575</v>
      </c>
      <c r="H118" s="1380">
        <v>44575</v>
      </c>
      <c r="I118" s="1176">
        <v>12</v>
      </c>
      <c r="J118" s="1176" t="s">
        <v>673</v>
      </c>
      <c r="K118" s="1177" t="s">
        <v>674</v>
      </c>
      <c r="L118" s="1178" t="s">
        <v>675</v>
      </c>
      <c r="M118" s="1179">
        <v>29400000</v>
      </c>
      <c r="N118" s="1376" t="s">
        <v>783</v>
      </c>
      <c r="O118" s="1174" t="s">
        <v>778</v>
      </c>
      <c r="P118" s="1207" t="s">
        <v>678</v>
      </c>
      <c r="Q118" s="1163"/>
      <c r="R118" s="1269">
        <v>29400000</v>
      </c>
      <c r="S118" s="1357">
        <v>29400000</v>
      </c>
      <c r="T118" s="1357">
        <f>+Tabla16[[#This Row],[CDPS A 31 JULIO 2022]]-Tabla16[[#This Row],[CDP]]</f>
        <v>0</v>
      </c>
      <c r="U118" s="1357">
        <v>29400000</v>
      </c>
      <c r="V118" s="1357">
        <v>10208333</v>
      </c>
      <c r="W118" s="1357"/>
    </row>
    <row r="119" spans="1:23" s="1207" customFormat="1" ht="45" hidden="1" customHeight="1" x14ac:dyDescent="0.3">
      <c r="A119" s="1355">
        <v>2022119</v>
      </c>
      <c r="B119" s="1172">
        <v>7655</v>
      </c>
      <c r="C119" s="1356" t="s">
        <v>668</v>
      </c>
      <c r="D119" s="1190" t="s">
        <v>689</v>
      </c>
      <c r="E119" s="1174" t="s">
        <v>780</v>
      </c>
      <c r="F119" s="1379" t="s">
        <v>844</v>
      </c>
      <c r="G119" s="1380">
        <v>44575</v>
      </c>
      <c r="H119" s="1380">
        <v>44575</v>
      </c>
      <c r="I119" s="1176">
        <v>12</v>
      </c>
      <c r="J119" s="1176" t="s">
        <v>673</v>
      </c>
      <c r="K119" s="1177" t="s">
        <v>674</v>
      </c>
      <c r="L119" s="1178" t="s">
        <v>675</v>
      </c>
      <c r="M119" s="1179">
        <v>29400000</v>
      </c>
      <c r="N119" s="1376" t="s">
        <v>783</v>
      </c>
      <c r="O119" s="1174" t="s">
        <v>778</v>
      </c>
      <c r="P119" s="1207" t="s">
        <v>678</v>
      </c>
      <c r="Q119" s="1163"/>
      <c r="R119" s="1269">
        <v>29400000</v>
      </c>
      <c r="S119" s="1357">
        <v>29400000</v>
      </c>
      <c r="T119" s="1357">
        <f>+Tabla16[[#This Row],[CDPS A 31 JULIO 2022]]-Tabla16[[#This Row],[CDP]]</f>
        <v>0</v>
      </c>
      <c r="U119" s="1357">
        <v>29400000</v>
      </c>
      <c r="V119" s="1357">
        <v>10371667</v>
      </c>
      <c r="W119" s="1357"/>
    </row>
    <row r="120" spans="1:23" s="1207" customFormat="1" ht="45" hidden="1" customHeight="1" x14ac:dyDescent="0.3">
      <c r="A120" s="1355">
        <v>2022120</v>
      </c>
      <c r="B120" s="1172">
        <v>7655</v>
      </c>
      <c r="C120" s="1356" t="s">
        <v>668</v>
      </c>
      <c r="D120" s="1190" t="s">
        <v>689</v>
      </c>
      <c r="E120" s="1174" t="s">
        <v>780</v>
      </c>
      <c r="F120" s="1379" t="s">
        <v>841</v>
      </c>
      <c r="G120" s="1380">
        <v>44575</v>
      </c>
      <c r="H120" s="1380">
        <v>44575</v>
      </c>
      <c r="I120" s="1176">
        <v>12</v>
      </c>
      <c r="J120" s="1176" t="s">
        <v>673</v>
      </c>
      <c r="K120" s="1177" t="s">
        <v>674</v>
      </c>
      <c r="L120" s="1178" t="s">
        <v>675</v>
      </c>
      <c r="M120" s="1179">
        <v>29400000</v>
      </c>
      <c r="N120" s="1376" t="s">
        <v>783</v>
      </c>
      <c r="O120" s="1174" t="s">
        <v>778</v>
      </c>
      <c r="P120" s="1207" t="s">
        <v>678</v>
      </c>
      <c r="Q120" s="1163"/>
      <c r="R120" s="1269">
        <v>29400000</v>
      </c>
      <c r="S120" s="1357">
        <v>29400000</v>
      </c>
      <c r="T120" s="1357">
        <f>+Tabla16[[#This Row],[CDPS A 31 JULIO 2022]]-Tabla16[[#This Row],[CDP]]</f>
        <v>0</v>
      </c>
      <c r="U120" s="1357">
        <v>29400000</v>
      </c>
      <c r="V120" s="1357">
        <v>10371667</v>
      </c>
      <c r="W120" s="1357"/>
    </row>
    <row r="121" spans="1:23" s="1207" customFormat="1" ht="45" hidden="1" customHeight="1" x14ac:dyDescent="0.3">
      <c r="A121" s="1355">
        <v>2022121</v>
      </c>
      <c r="B121" s="1172">
        <v>7655</v>
      </c>
      <c r="C121" s="1356" t="s">
        <v>668</v>
      </c>
      <c r="D121" s="1190" t="s">
        <v>689</v>
      </c>
      <c r="E121" s="1174" t="s">
        <v>780</v>
      </c>
      <c r="F121" s="1379" t="s">
        <v>841</v>
      </c>
      <c r="G121" s="1380">
        <v>44575</v>
      </c>
      <c r="H121" s="1380">
        <v>44575</v>
      </c>
      <c r="I121" s="1176">
        <v>12</v>
      </c>
      <c r="J121" s="1176" t="s">
        <v>673</v>
      </c>
      <c r="K121" s="1177" t="s">
        <v>674</v>
      </c>
      <c r="L121" s="1178" t="s">
        <v>675</v>
      </c>
      <c r="M121" s="1179">
        <v>29400000</v>
      </c>
      <c r="N121" s="1376" t="s">
        <v>783</v>
      </c>
      <c r="O121" s="1174" t="s">
        <v>778</v>
      </c>
      <c r="P121" s="1207" t="s">
        <v>678</v>
      </c>
      <c r="Q121" s="1163"/>
      <c r="R121" s="1269">
        <v>29400000</v>
      </c>
      <c r="S121" s="1357">
        <v>29400000</v>
      </c>
      <c r="T121" s="1357">
        <f>+Tabla16[[#This Row],[CDPS A 31 JULIO 2022]]-Tabla16[[#This Row],[CDP]]</f>
        <v>0</v>
      </c>
      <c r="U121" s="1357">
        <v>29400000</v>
      </c>
      <c r="V121" s="1357">
        <v>10780000</v>
      </c>
      <c r="W121" s="1357"/>
    </row>
    <row r="122" spans="1:23" s="1207" customFormat="1" ht="45" hidden="1" customHeight="1" x14ac:dyDescent="0.3">
      <c r="A122" s="1355">
        <v>2022122</v>
      </c>
      <c r="B122" s="1172">
        <v>7655</v>
      </c>
      <c r="C122" s="1356" t="s">
        <v>668</v>
      </c>
      <c r="D122" s="1190" t="s">
        <v>689</v>
      </c>
      <c r="E122" s="1174" t="s">
        <v>780</v>
      </c>
      <c r="F122" s="1379" t="s">
        <v>841</v>
      </c>
      <c r="G122" s="1380">
        <v>44575</v>
      </c>
      <c r="H122" s="1380">
        <v>44575</v>
      </c>
      <c r="I122" s="1176">
        <v>12</v>
      </c>
      <c r="J122" s="1176" t="s">
        <v>673</v>
      </c>
      <c r="K122" s="1177" t="s">
        <v>674</v>
      </c>
      <c r="L122" s="1178" t="s">
        <v>675</v>
      </c>
      <c r="M122" s="1179">
        <v>29400000</v>
      </c>
      <c r="N122" s="1376" t="s">
        <v>783</v>
      </c>
      <c r="O122" s="1174" t="s">
        <v>778</v>
      </c>
      <c r="P122" s="1207" t="s">
        <v>678</v>
      </c>
      <c r="Q122" s="1163"/>
      <c r="R122" s="1269">
        <v>29400000</v>
      </c>
      <c r="S122" s="1357">
        <v>29400000</v>
      </c>
      <c r="T122" s="1357">
        <f>+Tabla16[[#This Row],[CDPS A 31 JULIO 2022]]-Tabla16[[#This Row],[CDP]]</f>
        <v>0</v>
      </c>
      <c r="U122" s="1357">
        <v>29400000</v>
      </c>
      <c r="V122" s="1357">
        <v>10780000</v>
      </c>
      <c r="W122" s="1357"/>
    </row>
    <row r="123" spans="1:23" s="1207" customFormat="1" ht="45" hidden="1" customHeight="1" x14ac:dyDescent="0.3">
      <c r="A123" s="1355">
        <v>2022123</v>
      </c>
      <c r="B123" s="1172">
        <v>7655</v>
      </c>
      <c r="C123" s="1356" t="s">
        <v>668</v>
      </c>
      <c r="D123" s="1190" t="s">
        <v>689</v>
      </c>
      <c r="E123" s="1174" t="s">
        <v>780</v>
      </c>
      <c r="F123" s="1379" t="s">
        <v>841</v>
      </c>
      <c r="G123" s="1380">
        <v>44575</v>
      </c>
      <c r="H123" s="1380">
        <v>44575</v>
      </c>
      <c r="I123" s="1176">
        <v>12</v>
      </c>
      <c r="J123" s="1176" t="s">
        <v>673</v>
      </c>
      <c r="K123" s="1177" t="s">
        <v>674</v>
      </c>
      <c r="L123" s="1178" t="s">
        <v>675</v>
      </c>
      <c r="M123" s="1179">
        <v>29400000</v>
      </c>
      <c r="N123" s="1376" t="s">
        <v>783</v>
      </c>
      <c r="O123" s="1174" t="s">
        <v>778</v>
      </c>
      <c r="P123" s="1207" t="s">
        <v>678</v>
      </c>
      <c r="Q123" s="1163"/>
      <c r="R123" s="1269">
        <v>29400000</v>
      </c>
      <c r="S123" s="1357">
        <v>29400000</v>
      </c>
      <c r="T123" s="1357">
        <f>+Tabla16[[#This Row],[CDPS A 31 JULIO 2022]]-Tabla16[[#This Row],[CDP]]</f>
        <v>0</v>
      </c>
      <c r="U123" s="1357">
        <v>29400000</v>
      </c>
      <c r="V123" s="1357">
        <v>10780000</v>
      </c>
      <c r="W123" s="1357"/>
    </row>
    <row r="124" spans="1:23" s="1207" customFormat="1" ht="45" hidden="1" customHeight="1" x14ac:dyDescent="0.3">
      <c r="A124" s="1355">
        <v>2022124</v>
      </c>
      <c r="B124" s="1172">
        <v>7655</v>
      </c>
      <c r="C124" s="1356" t="s">
        <v>668</v>
      </c>
      <c r="D124" s="1190" t="s">
        <v>689</v>
      </c>
      <c r="E124" s="1174" t="s">
        <v>780</v>
      </c>
      <c r="F124" s="1379" t="s">
        <v>844</v>
      </c>
      <c r="G124" s="1380">
        <v>44575</v>
      </c>
      <c r="H124" s="1380">
        <v>44575</v>
      </c>
      <c r="I124" s="1176">
        <v>12</v>
      </c>
      <c r="J124" s="1176" t="s">
        <v>673</v>
      </c>
      <c r="K124" s="1177" t="s">
        <v>674</v>
      </c>
      <c r="L124" s="1178" t="s">
        <v>675</v>
      </c>
      <c r="M124" s="1179">
        <v>29400000</v>
      </c>
      <c r="N124" s="1376" t="s">
        <v>783</v>
      </c>
      <c r="O124" s="1174" t="s">
        <v>778</v>
      </c>
      <c r="P124" s="1207" t="s">
        <v>678</v>
      </c>
      <c r="Q124" s="1163"/>
      <c r="R124" s="1269">
        <v>29400000</v>
      </c>
      <c r="S124" s="1357">
        <v>29400000</v>
      </c>
      <c r="T124" s="1357">
        <f>+Tabla16[[#This Row],[CDPS A 31 JULIO 2022]]-Tabla16[[#This Row],[CDP]]</f>
        <v>0</v>
      </c>
      <c r="U124" s="1357">
        <v>29400000</v>
      </c>
      <c r="V124" s="1357">
        <v>10371667</v>
      </c>
      <c r="W124" s="1357"/>
    </row>
    <row r="125" spans="1:23" s="1207" customFormat="1" ht="45" hidden="1" customHeight="1" x14ac:dyDescent="0.3">
      <c r="A125" s="1355">
        <v>2022125</v>
      </c>
      <c r="B125" s="1172">
        <v>7655</v>
      </c>
      <c r="C125" s="1356" t="s">
        <v>668</v>
      </c>
      <c r="D125" s="1190" t="s">
        <v>689</v>
      </c>
      <c r="E125" s="1174" t="s">
        <v>780</v>
      </c>
      <c r="F125" s="1379" t="s">
        <v>841</v>
      </c>
      <c r="G125" s="1380">
        <v>44575</v>
      </c>
      <c r="H125" s="1380">
        <v>44575</v>
      </c>
      <c r="I125" s="1176">
        <v>12</v>
      </c>
      <c r="J125" s="1176" t="s">
        <v>673</v>
      </c>
      <c r="K125" s="1177" t="s">
        <v>674</v>
      </c>
      <c r="L125" s="1178" t="s">
        <v>675</v>
      </c>
      <c r="M125" s="1179">
        <v>29400000</v>
      </c>
      <c r="N125" s="1376" t="s">
        <v>783</v>
      </c>
      <c r="O125" s="1174" t="s">
        <v>778</v>
      </c>
      <c r="P125" s="1207" t="s">
        <v>678</v>
      </c>
      <c r="Q125" s="1163"/>
      <c r="R125" s="1269">
        <v>29400000</v>
      </c>
      <c r="S125" s="1357">
        <v>29400000</v>
      </c>
      <c r="T125" s="1357">
        <f>+Tabla16[[#This Row],[CDPS A 31 JULIO 2022]]-Tabla16[[#This Row],[CDP]]</f>
        <v>0</v>
      </c>
      <c r="U125" s="1357">
        <v>29400000</v>
      </c>
      <c r="V125" s="1357">
        <v>10126667</v>
      </c>
      <c r="W125" s="1357"/>
    </row>
    <row r="126" spans="1:23" s="1207" customFormat="1" ht="45" hidden="1" customHeight="1" x14ac:dyDescent="0.3">
      <c r="A126" s="1355">
        <v>2022126</v>
      </c>
      <c r="B126" s="1172">
        <v>7655</v>
      </c>
      <c r="C126" s="1356" t="s">
        <v>668</v>
      </c>
      <c r="D126" s="1190" t="s">
        <v>689</v>
      </c>
      <c r="E126" s="1174" t="s">
        <v>780</v>
      </c>
      <c r="F126" s="1379" t="s">
        <v>844</v>
      </c>
      <c r="G126" s="1380">
        <v>44575</v>
      </c>
      <c r="H126" s="1380">
        <v>44575</v>
      </c>
      <c r="I126" s="1176">
        <v>12</v>
      </c>
      <c r="J126" s="1176" t="s">
        <v>673</v>
      </c>
      <c r="K126" s="1177" t="s">
        <v>674</v>
      </c>
      <c r="L126" s="1178" t="s">
        <v>675</v>
      </c>
      <c r="M126" s="1179">
        <v>29400000</v>
      </c>
      <c r="N126" s="1376" t="s">
        <v>783</v>
      </c>
      <c r="O126" s="1174" t="s">
        <v>778</v>
      </c>
      <c r="P126" s="1207" t="s">
        <v>678</v>
      </c>
      <c r="Q126" s="1163"/>
      <c r="R126" s="1269">
        <v>29400000</v>
      </c>
      <c r="S126" s="1357">
        <v>29400000</v>
      </c>
      <c r="T126" s="1357">
        <f>+Tabla16[[#This Row],[CDPS A 31 JULIO 2022]]-Tabla16[[#This Row],[CDP]]</f>
        <v>0</v>
      </c>
      <c r="U126" s="1357">
        <v>29400000</v>
      </c>
      <c r="V126" s="1357">
        <v>9800000</v>
      </c>
      <c r="W126" s="1357"/>
    </row>
    <row r="127" spans="1:23" s="1207" customFormat="1" ht="45" hidden="1" customHeight="1" x14ac:dyDescent="0.3">
      <c r="A127" s="1355">
        <v>2022127</v>
      </c>
      <c r="B127" s="1172">
        <v>7655</v>
      </c>
      <c r="C127" s="1356" t="s">
        <v>668</v>
      </c>
      <c r="D127" s="1190" t="s">
        <v>689</v>
      </c>
      <c r="E127" s="1174" t="s">
        <v>780</v>
      </c>
      <c r="F127" s="1379" t="s">
        <v>841</v>
      </c>
      <c r="G127" s="1380">
        <v>44575</v>
      </c>
      <c r="H127" s="1380">
        <v>44575</v>
      </c>
      <c r="I127" s="1176">
        <v>12</v>
      </c>
      <c r="J127" s="1176" t="s">
        <v>673</v>
      </c>
      <c r="K127" s="1177" t="s">
        <v>674</v>
      </c>
      <c r="L127" s="1178" t="s">
        <v>675</v>
      </c>
      <c r="M127" s="1179">
        <v>29400000</v>
      </c>
      <c r="N127" s="1376" t="s">
        <v>783</v>
      </c>
      <c r="O127" s="1174" t="s">
        <v>778</v>
      </c>
      <c r="P127" s="1207" t="s">
        <v>678</v>
      </c>
      <c r="Q127" s="1163"/>
      <c r="R127" s="1269">
        <v>29400000</v>
      </c>
      <c r="S127" s="1357">
        <v>29400000</v>
      </c>
      <c r="T127" s="1357">
        <f>+Tabla16[[#This Row],[CDPS A 31 JULIO 2022]]-Tabla16[[#This Row],[CDP]]</f>
        <v>0</v>
      </c>
      <c r="U127" s="1357">
        <v>29400000</v>
      </c>
      <c r="V127" s="1357">
        <v>10371667</v>
      </c>
      <c r="W127" s="1357"/>
    </row>
    <row r="128" spans="1:23" s="1207" customFormat="1" ht="45" hidden="1" customHeight="1" x14ac:dyDescent="0.3">
      <c r="A128" s="1355">
        <v>2022128</v>
      </c>
      <c r="B128" s="1172">
        <v>7655</v>
      </c>
      <c r="C128" s="1356" t="s">
        <v>668</v>
      </c>
      <c r="D128" s="1190" t="s">
        <v>689</v>
      </c>
      <c r="E128" s="1174" t="s">
        <v>780</v>
      </c>
      <c r="F128" s="1379" t="s">
        <v>841</v>
      </c>
      <c r="G128" s="1380">
        <v>44575</v>
      </c>
      <c r="H128" s="1380">
        <v>44575</v>
      </c>
      <c r="I128" s="1176">
        <v>12</v>
      </c>
      <c r="J128" s="1176" t="s">
        <v>673</v>
      </c>
      <c r="K128" s="1177" t="s">
        <v>674</v>
      </c>
      <c r="L128" s="1178" t="s">
        <v>675</v>
      </c>
      <c r="M128" s="1179">
        <v>29400000</v>
      </c>
      <c r="N128" s="1376" t="s">
        <v>783</v>
      </c>
      <c r="O128" s="1174" t="s">
        <v>778</v>
      </c>
      <c r="P128" s="1207" t="s">
        <v>678</v>
      </c>
      <c r="Q128" s="1163"/>
      <c r="R128" s="1269">
        <v>29400000</v>
      </c>
      <c r="S128" s="1357">
        <v>29400000</v>
      </c>
      <c r="T128" s="1357">
        <f>+Tabla16[[#This Row],[CDPS A 31 JULIO 2022]]-Tabla16[[#This Row],[CDP]]</f>
        <v>0</v>
      </c>
      <c r="U128" s="1357">
        <v>29400000</v>
      </c>
      <c r="V128" s="1357">
        <v>9310000</v>
      </c>
      <c r="W128" s="1357"/>
    </row>
    <row r="129" spans="1:23" s="1207" customFormat="1" ht="45" hidden="1" customHeight="1" x14ac:dyDescent="0.3">
      <c r="A129" s="1355">
        <v>2022129</v>
      </c>
      <c r="B129" s="1172">
        <v>7655</v>
      </c>
      <c r="C129" s="1356" t="s">
        <v>668</v>
      </c>
      <c r="D129" s="1190" t="s">
        <v>689</v>
      </c>
      <c r="E129" s="1174" t="s">
        <v>780</v>
      </c>
      <c r="F129" s="1379" t="s">
        <v>841</v>
      </c>
      <c r="G129" s="1380">
        <v>44575</v>
      </c>
      <c r="H129" s="1380">
        <v>44575</v>
      </c>
      <c r="I129" s="1176">
        <v>12</v>
      </c>
      <c r="J129" s="1176" t="s">
        <v>673</v>
      </c>
      <c r="K129" s="1177" t="s">
        <v>674</v>
      </c>
      <c r="L129" s="1178" t="s">
        <v>675</v>
      </c>
      <c r="M129" s="1179">
        <v>29400000</v>
      </c>
      <c r="N129" s="1376" t="s">
        <v>783</v>
      </c>
      <c r="O129" s="1174" t="s">
        <v>778</v>
      </c>
      <c r="P129" s="1207" t="s">
        <v>678</v>
      </c>
      <c r="Q129" s="1163"/>
      <c r="R129" s="1269">
        <v>29400000</v>
      </c>
      <c r="S129" s="1357">
        <v>29400000</v>
      </c>
      <c r="T129" s="1357">
        <f>+Tabla16[[#This Row],[CDPS A 31 JULIO 2022]]-Tabla16[[#This Row],[CDP]]</f>
        <v>0</v>
      </c>
      <c r="U129" s="1357">
        <v>29400000</v>
      </c>
      <c r="V129" s="1357">
        <v>9800000</v>
      </c>
      <c r="W129" s="1357"/>
    </row>
    <row r="130" spans="1:23" s="1207" customFormat="1" ht="45" hidden="1" customHeight="1" x14ac:dyDescent="0.3">
      <c r="A130" s="1355">
        <v>2022130</v>
      </c>
      <c r="B130" s="1172">
        <v>7655</v>
      </c>
      <c r="C130" s="1356" t="s">
        <v>668</v>
      </c>
      <c r="D130" s="1190" t="s">
        <v>689</v>
      </c>
      <c r="E130" s="1174" t="s">
        <v>780</v>
      </c>
      <c r="F130" s="1379" t="s">
        <v>841</v>
      </c>
      <c r="G130" s="1380">
        <v>44575</v>
      </c>
      <c r="H130" s="1380">
        <v>44575</v>
      </c>
      <c r="I130" s="1176">
        <v>12</v>
      </c>
      <c r="J130" s="1176" t="s">
        <v>673</v>
      </c>
      <c r="K130" s="1177" t="s">
        <v>674</v>
      </c>
      <c r="L130" s="1178" t="s">
        <v>675</v>
      </c>
      <c r="M130" s="1179">
        <v>29400000</v>
      </c>
      <c r="N130" s="1376" t="s">
        <v>783</v>
      </c>
      <c r="O130" s="1174" t="s">
        <v>778</v>
      </c>
      <c r="P130" s="1207" t="s">
        <v>678</v>
      </c>
      <c r="Q130" s="1163"/>
      <c r="R130" s="1269">
        <v>29400000</v>
      </c>
      <c r="S130" s="1357">
        <v>29400000</v>
      </c>
      <c r="T130" s="1357">
        <f>+Tabla16[[#This Row],[CDPS A 31 JULIO 2022]]-Tabla16[[#This Row],[CDP]]</f>
        <v>0</v>
      </c>
      <c r="U130" s="1357">
        <v>29400000</v>
      </c>
      <c r="V130" s="1357">
        <v>9800000</v>
      </c>
      <c r="W130" s="1357"/>
    </row>
    <row r="131" spans="1:23" s="1207" customFormat="1" ht="45" hidden="1" customHeight="1" x14ac:dyDescent="0.3">
      <c r="A131" s="1355">
        <v>2022131</v>
      </c>
      <c r="B131" s="1172">
        <v>7655</v>
      </c>
      <c r="C131" s="1356" t="s">
        <v>668</v>
      </c>
      <c r="D131" s="1190" t="s">
        <v>689</v>
      </c>
      <c r="E131" s="1174" t="s">
        <v>780</v>
      </c>
      <c r="F131" s="1379" t="s">
        <v>841</v>
      </c>
      <c r="G131" s="1380">
        <v>44575</v>
      </c>
      <c r="H131" s="1380">
        <v>44575</v>
      </c>
      <c r="I131" s="1176">
        <v>12</v>
      </c>
      <c r="J131" s="1176" t="s">
        <v>673</v>
      </c>
      <c r="K131" s="1177" t="s">
        <v>674</v>
      </c>
      <c r="L131" s="1178" t="s">
        <v>675</v>
      </c>
      <c r="M131" s="1179">
        <v>29400000</v>
      </c>
      <c r="N131" s="1376" t="s">
        <v>783</v>
      </c>
      <c r="O131" s="1174" t="s">
        <v>778</v>
      </c>
      <c r="P131" s="1207" t="s">
        <v>678</v>
      </c>
      <c r="Q131" s="1163"/>
      <c r="R131" s="1269">
        <v>29400000</v>
      </c>
      <c r="S131" s="1357">
        <v>29400000</v>
      </c>
      <c r="T131" s="1357">
        <f>+Tabla16[[#This Row],[CDPS A 31 JULIO 2022]]-Tabla16[[#This Row],[CDP]]</f>
        <v>0</v>
      </c>
      <c r="U131" s="1357">
        <v>29400000</v>
      </c>
      <c r="V131" s="1357">
        <v>9800000</v>
      </c>
      <c r="W131" s="1357"/>
    </row>
    <row r="132" spans="1:23" s="1207" customFormat="1" ht="45" hidden="1" customHeight="1" x14ac:dyDescent="0.3">
      <c r="A132" s="1355">
        <v>2022132</v>
      </c>
      <c r="B132" s="1172">
        <v>7655</v>
      </c>
      <c r="C132" s="1356" t="s">
        <v>668</v>
      </c>
      <c r="D132" s="1190" t="s">
        <v>689</v>
      </c>
      <c r="E132" s="1174" t="s">
        <v>780</v>
      </c>
      <c r="F132" s="1379" t="s">
        <v>846</v>
      </c>
      <c r="G132" s="1380">
        <v>44575</v>
      </c>
      <c r="H132" s="1380">
        <v>44575</v>
      </c>
      <c r="I132" s="1176">
        <v>12</v>
      </c>
      <c r="J132" s="1176" t="s">
        <v>673</v>
      </c>
      <c r="K132" s="1177" t="s">
        <v>674</v>
      </c>
      <c r="L132" s="1178" t="s">
        <v>675</v>
      </c>
      <c r="M132" s="1179">
        <v>87600000</v>
      </c>
      <c r="N132" s="1376" t="s">
        <v>783</v>
      </c>
      <c r="O132" s="1174" t="s">
        <v>778</v>
      </c>
      <c r="P132" s="1207" t="s">
        <v>678</v>
      </c>
      <c r="Q132" s="1163"/>
      <c r="R132" s="1269">
        <v>87600000</v>
      </c>
      <c r="S132" s="1357">
        <v>87600000</v>
      </c>
      <c r="T132" s="1357">
        <f>+Tabla16[[#This Row],[CDPS A 31 JULIO 2022]]-Tabla16[[#This Row],[CDP]]</f>
        <v>0</v>
      </c>
      <c r="U132" s="1357">
        <v>87600000</v>
      </c>
      <c r="V132" s="1357">
        <v>31876667</v>
      </c>
      <c r="W132" s="1357"/>
    </row>
    <row r="133" spans="1:23" s="1207" customFormat="1" ht="45" hidden="1" customHeight="1" x14ac:dyDescent="0.3">
      <c r="A133" s="1355">
        <v>2022133</v>
      </c>
      <c r="B133" s="1172">
        <v>7655</v>
      </c>
      <c r="C133" s="1356" t="s">
        <v>668</v>
      </c>
      <c r="D133" s="1190" t="s">
        <v>689</v>
      </c>
      <c r="E133" s="1174" t="s">
        <v>780</v>
      </c>
      <c r="F133" s="1379" t="s">
        <v>847</v>
      </c>
      <c r="G133" s="1380">
        <v>44575</v>
      </c>
      <c r="H133" s="1380">
        <v>44575</v>
      </c>
      <c r="I133" s="1176">
        <v>7</v>
      </c>
      <c r="J133" s="1176" t="s">
        <v>673</v>
      </c>
      <c r="K133" s="1177" t="s">
        <v>674</v>
      </c>
      <c r="L133" s="1178" t="s">
        <v>675</v>
      </c>
      <c r="M133" s="1179">
        <v>42000000</v>
      </c>
      <c r="N133" s="1376" t="s">
        <v>783</v>
      </c>
      <c r="O133" s="1174" t="s">
        <v>778</v>
      </c>
      <c r="P133" s="1207" t="s">
        <v>678</v>
      </c>
      <c r="Q133" s="1163"/>
      <c r="R133" s="1269">
        <v>42000000</v>
      </c>
      <c r="S133" s="1357">
        <v>42000000</v>
      </c>
      <c r="T133" s="1357">
        <f>+Tabla16[[#This Row],[CDPS A 31 JULIO 2022]]-Tabla16[[#This Row],[CDP]]</f>
        <v>0</v>
      </c>
      <c r="U133" s="1357">
        <v>42000000</v>
      </c>
      <c r="V133" s="1357">
        <v>24000000</v>
      </c>
      <c r="W133" s="1357"/>
    </row>
    <row r="134" spans="1:23" s="1207" customFormat="1" ht="45" hidden="1" customHeight="1" x14ac:dyDescent="0.3">
      <c r="A134" s="1355">
        <v>2022134</v>
      </c>
      <c r="B134" s="1172">
        <v>7655</v>
      </c>
      <c r="C134" s="1356" t="s">
        <v>668</v>
      </c>
      <c r="D134" s="1190" t="s">
        <v>689</v>
      </c>
      <c r="E134" s="1174" t="s">
        <v>780</v>
      </c>
      <c r="F134" s="1379" t="s">
        <v>848</v>
      </c>
      <c r="G134" s="1380">
        <v>44575</v>
      </c>
      <c r="H134" s="1380">
        <v>44575</v>
      </c>
      <c r="I134" s="1176">
        <v>11.5</v>
      </c>
      <c r="J134" s="1176" t="s">
        <v>673</v>
      </c>
      <c r="K134" s="1177" t="s">
        <v>674</v>
      </c>
      <c r="L134" s="1178" t="s">
        <v>675</v>
      </c>
      <c r="M134" s="1179">
        <v>64802500</v>
      </c>
      <c r="N134" s="1376" t="s">
        <v>783</v>
      </c>
      <c r="O134" s="1174" t="s">
        <v>778</v>
      </c>
      <c r="P134" s="1207" t="s">
        <v>678</v>
      </c>
      <c r="Q134" s="1163"/>
      <c r="R134" s="1269">
        <v>64802500</v>
      </c>
      <c r="S134" s="1357">
        <v>64802500</v>
      </c>
      <c r="T134" s="1357">
        <f>+Tabla16[[#This Row],[CDPS A 31 JULIO 2022]]-Tabla16[[#This Row],[CDP]]</f>
        <v>0</v>
      </c>
      <c r="U134" s="1357">
        <v>64802500</v>
      </c>
      <c r="V134" s="1357">
        <v>22540000</v>
      </c>
      <c r="W134" s="1357"/>
    </row>
    <row r="135" spans="1:23" s="1207" customFormat="1" ht="45" customHeight="1" x14ac:dyDescent="0.3">
      <c r="A135" s="1398">
        <v>2022135</v>
      </c>
      <c r="B135" s="1399">
        <v>7655</v>
      </c>
      <c r="C135" s="1400" t="s">
        <v>668</v>
      </c>
      <c r="D135" s="1401" t="s">
        <v>689</v>
      </c>
      <c r="E135" s="1402" t="s">
        <v>780</v>
      </c>
      <c r="F135" s="1403" t="s">
        <v>848</v>
      </c>
      <c r="G135" s="1404">
        <v>44575</v>
      </c>
      <c r="H135" s="1404">
        <v>44575</v>
      </c>
      <c r="I135" s="1405">
        <v>7</v>
      </c>
      <c r="J135" s="1405" t="s">
        <v>673</v>
      </c>
      <c r="K135" s="1406" t="s">
        <v>674</v>
      </c>
      <c r="L135" s="1407" t="s">
        <v>675</v>
      </c>
      <c r="M135" s="1408">
        <f>31500000-24452500</f>
        <v>7047500</v>
      </c>
      <c r="N135" s="1409" t="s">
        <v>783</v>
      </c>
      <c r="O135" s="1402" t="s">
        <v>778</v>
      </c>
      <c r="P135" s="1410" t="s">
        <v>678</v>
      </c>
      <c r="Q135" s="1163"/>
      <c r="R135" s="1269">
        <v>0</v>
      </c>
      <c r="S135" s="1357"/>
      <c r="T135" s="1357">
        <f>+Tabla16[[#This Row],[CDPS A 31 JULIO 2022]]-Tabla16[[#This Row],[CDP]]</f>
        <v>0</v>
      </c>
      <c r="U135" s="1357"/>
      <c r="V135" s="1357"/>
      <c r="W135" s="1357"/>
    </row>
    <row r="136" spans="1:23" s="1207" customFormat="1" ht="45" hidden="1" customHeight="1" x14ac:dyDescent="0.3">
      <c r="A136" s="1355">
        <v>2022136</v>
      </c>
      <c r="B136" s="1172">
        <v>7655</v>
      </c>
      <c r="C136" s="1356" t="s">
        <v>668</v>
      </c>
      <c r="D136" s="1190" t="s">
        <v>689</v>
      </c>
      <c r="E136" s="1174" t="s">
        <v>780</v>
      </c>
      <c r="F136" s="1379" t="s">
        <v>849</v>
      </c>
      <c r="G136" s="1380">
        <v>44575</v>
      </c>
      <c r="H136" s="1380">
        <v>44575</v>
      </c>
      <c r="I136" s="1176">
        <v>11.5</v>
      </c>
      <c r="J136" s="1176" t="s">
        <v>673</v>
      </c>
      <c r="K136" s="1177" t="s">
        <v>674</v>
      </c>
      <c r="L136" s="1178" t="s">
        <v>675</v>
      </c>
      <c r="M136" s="1179">
        <v>28175000</v>
      </c>
      <c r="N136" s="1376" t="s">
        <v>783</v>
      </c>
      <c r="O136" s="1174" t="s">
        <v>778</v>
      </c>
      <c r="P136" s="1207" t="s">
        <v>678</v>
      </c>
      <c r="Q136" s="1163"/>
      <c r="R136" s="1269">
        <v>0</v>
      </c>
      <c r="S136" s="1357"/>
      <c r="T136" s="1357">
        <f>+Tabla16[[#This Row],[CDPS A 31 JULIO 2022]]-Tabla16[[#This Row],[CDP]]</f>
        <v>0</v>
      </c>
      <c r="U136" s="1357"/>
      <c r="V136" s="1357"/>
      <c r="W136" s="1357"/>
    </row>
    <row r="137" spans="1:23" s="1207" customFormat="1" ht="45" hidden="1" customHeight="1" x14ac:dyDescent="0.3">
      <c r="A137" s="1355">
        <v>2022137</v>
      </c>
      <c r="B137" s="1172">
        <v>7655</v>
      </c>
      <c r="C137" s="1356" t="s">
        <v>668</v>
      </c>
      <c r="D137" s="1190" t="s">
        <v>689</v>
      </c>
      <c r="E137" s="1174" t="s">
        <v>780</v>
      </c>
      <c r="F137" s="1379" t="s">
        <v>850</v>
      </c>
      <c r="G137" s="1380">
        <v>44575</v>
      </c>
      <c r="H137" s="1380">
        <v>44575</v>
      </c>
      <c r="I137" s="1176">
        <v>11.5</v>
      </c>
      <c r="J137" s="1176" t="s">
        <v>673</v>
      </c>
      <c r="K137" s="1177" t="s">
        <v>674</v>
      </c>
      <c r="L137" s="1178" t="s">
        <v>675</v>
      </c>
      <c r="M137" s="1179">
        <v>83950000</v>
      </c>
      <c r="N137" s="1376" t="s">
        <v>783</v>
      </c>
      <c r="O137" s="1174" t="s">
        <v>778</v>
      </c>
      <c r="P137" s="1207" t="s">
        <v>678</v>
      </c>
      <c r="Q137" s="1163"/>
      <c r="R137" s="1269">
        <v>83950000</v>
      </c>
      <c r="S137" s="1357">
        <v>83950000</v>
      </c>
      <c r="T137" s="1357">
        <f>+Tabla16[[#This Row],[CDPS A 31 JULIO 2022]]-Tabla16[[#This Row],[CDP]]</f>
        <v>0</v>
      </c>
      <c r="U137" s="1357">
        <v>83950000</v>
      </c>
      <c r="V137" s="1357">
        <v>29200000</v>
      </c>
      <c r="W137" s="1357"/>
    </row>
    <row r="138" spans="1:23" s="1207" customFormat="1" ht="45" hidden="1" customHeight="1" x14ac:dyDescent="0.3">
      <c r="A138" s="1355">
        <v>2022138</v>
      </c>
      <c r="B138" s="1172">
        <v>7655</v>
      </c>
      <c r="C138" s="1356" t="s">
        <v>668</v>
      </c>
      <c r="D138" s="1190" t="s">
        <v>689</v>
      </c>
      <c r="E138" s="1174" t="s">
        <v>780</v>
      </c>
      <c r="F138" s="1379" t="s">
        <v>851</v>
      </c>
      <c r="G138" s="1380">
        <v>44575</v>
      </c>
      <c r="H138" s="1380">
        <v>44575</v>
      </c>
      <c r="I138" s="1176">
        <v>11.5</v>
      </c>
      <c r="J138" s="1176" t="s">
        <v>673</v>
      </c>
      <c r="K138" s="1177" t="s">
        <v>674</v>
      </c>
      <c r="L138" s="1178" t="s">
        <v>675</v>
      </c>
      <c r="M138" s="1179">
        <v>44275000</v>
      </c>
      <c r="N138" s="1376" t="s">
        <v>783</v>
      </c>
      <c r="O138" s="1174" t="s">
        <v>778</v>
      </c>
      <c r="P138" s="1207" t="s">
        <v>678</v>
      </c>
      <c r="Q138" s="1163"/>
      <c r="R138" s="1269">
        <v>44275000</v>
      </c>
      <c r="S138" s="1357">
        <v>44275000</v>
      </c>
      <c r="T138" s="1357">
        <f>+Tabla16[[#This Row],[CDPS A 31 JULIO 2022]]-Tabla16[[#This Row],[CDP]]</f>
        <v>0</v>
      </c>
      <c r="U138" s="1357">
        <v>44275000</v>
      </c>
      <c r="V138" s="1357">
        <v>16041667</v>
      </c>
      <c r="W138" s="1357"/>
    </row>
    <row r="139" spans="1:23" s="1207" customFormat="1" ht="45" hidden="1" customHeight="1" x14ac:dyDescent="0.3">
      <c r="A139" s="1355">
        <v>2022139</v>
      </c>
      <c r="B139" s="1172">
        <v>7655</v>
      </c>
      <c r="C139" s="1356" t="s">
        <v>668</v>
      </c>
      <c r="D139" s="1190" t="s">
        <v>689</v>
      </c>
      <c r="E139" s="1174" t="s">
        <v>780</v>
      </c>
      <c r="F139" s="1379" t="s">
        <v>851</v>
      </c>
      <c r="G139" s="1380">
        <v>44575</v>
      </c>
      <c r="H139" s="1380">
        <v>44575</v>
      </c>
      <c r="I139" s="1176">
        <v>11.5</v>
      </c>
      <c r="J139" s="1176" t="s">
        <v>673</v>
      </c>
      <c r="K139" s="1177" t="s">
        <v>674</v>
      </c>
      <c r="L139" s="1178" t="s">
        <v>675</v>
      </c>
      <c r="M139" s="1179">
        <v>58650000</v>
      </c>
      <c r="N139" s="1376" t="s">
        <v>783</v>
      </c>
      <c r="O139" s="1174" t="s">
        <v>778</v>
      </c>
      <c r="P139" s="1207" t="s">
        <v>678</v>
      </c>
      <c r="Q139" s="1163"/>
      <c r="R139" s="1269">
        <v>58650000</v>
      </c>
      <c r="S139" s="1357">
        <v>58650000</v>
      </c>
      <c r="T139" s="1357">
        <f>+Tabla16[[#This Row],[CDPS A 31 JULIO 2022]]-Tabla16[[#This Row],[CDP]]</f>
        <v>0</v>
      </c>
      <c r="U139" s="1357">
        <v>58650000</v>
      </c>
      <c r="V139" s="1357">
        <v>21080000</v>
      </c>
      <c r="W139" s="1357"/>
    </row>
    <row r="140" spans="1:23" s="1207" customFormat="1" ht="45" hidden="1" customHeight="1" x14ac:dyDescent="0.3">
      <c r="A140" s="1355">
        <v>2022140</v>
      </c>
      <c r="B140" s="1172">
        <v>7655</v>
      </c>
      <c r="C140" s="1356" t="s">
        <v>668</v>
      </c>
      <c r="D140" s="1190" t="s">
        <v>695</v>
      </c>
      <c r="E140" s="1174">
        <v>80111600</v>
      </c>
      <c r="F140" s="1379" t="s">
        <v>852</v>
      </c>
      <c r="G140" s="1380">
        <v>44562</v>
      </c>
      <c r="H140" s="1380">
        <v>44592</v>
      </c>
      <c r="I140" s="1176">
        <v>8</v>
      </c>
      <c r="J140" s="1176" t="s">
        <v>673</v>
      </c>
      <c r="K140" s="1177" t="s">
        <v>674</v>
      </c>
      <c r="L140" s="1178" t="s">
        <v>675</v>
      </c>
      <c r="M140" s="1179">
        <v>26496000</v>
      </c>
      <c r="N140" s="1376" t="s">
        <v>783</v>
      </c>
      <c r="O140" s="1174" t="s">
        <v>778</v>
      </c>
      <c r="P140" s="1207" t="s">
        <v>678</v>
      </c>
      <c r="Q140" s="1163"/>
      <c r="R140" s="1269">
        <v>26496000</v>
      </c>
      <c r="S140" s="1357">
        <v>26496000</v>
      </c>
      <c r="T140" s="1357">
        <f>+Tabla16[[#This Row],[CDPS A 31 JULIO 2022]]-Tabla16[[#This Row],[CDP]]</f>
        <v>0</v>
      </c>
      <c r="U140" s="1357">
        <v>26496000</v>
      </c>
      <c r="V140" s="1357">
        <v>14793600</v>
      </c>
      <c r="W140" s="1357"/>
    </row>
    <row r="141" spans="1:23" s="1207" customFormat="1" ht="45" hidden="1" customHeight="1" x14ac:dyDescent="0.3">
      <c r="A141" s="1355">
        <v>2022141</v>
      </c>
      <c r="B141" s="1172">
        <v>7655</v>
      </c>
      <c r="C141" s="1356" t="s">
        <v>668</v>
      </c>
      <c r="D141" s="1190" t="s">
        <v>695</v>
      </c>
      <c r="E141" s="1174">
        <v>80111600</v>
      </c>
      <c r="F141" s="1379" t="s">
        <v>853</v>
      </c>
      <c r="G141" s="1380">
        <v>44562</v>
      </c>
      <c r="H141" s="1380">
        <v>44592</v>
      </c>
      <c r="I141" s="1176">
        <v>8</v>
      </c>
      <c r="J141" s="1176" t="s">
        <v>673</v>
      </c>
      <c r="K141" s="1177" t="s">
        <v>674</v>
      </c>
      <c r="L141" s="1178" t="s">
        <v>675</v>
      </c>
      <c r="M141" s="1179">
        <v>34776000</v>
      </c>
      <c r="N141" s="1376" t="s">
        <v>783</v>
      </c>
      <c r="O141" s="1174" t="s">
        <v>778</v>
      </c>
      <c r="P141" s="1207" t="s">
        <v>678</v>
      </c>
      <c r="Q141" s="1163"/>
      <c r="R141" s="1269">
        <v>34776000</v>
      </c>
      <c r="S141" s="1357">
        <v>34776000</v>
      </c>
      <c r="T141" s="1357">
        <f>+Tabla16[[#This Row],[CDPS A 31 JULIO 2022]]-Tabla16[[#This Row],[CDP]]</f>
        <v>0</v>
      </c>
      <c r="U141" s="1357">
        <v>34776000</v>
      </c>
      <c r="V141" s="1357">
        <v>19416600</v>
      </c>
      <c r="W141" s="1357"/>
    </row>
    <row r="142" spans="1:23" s="1207" customFormat="1" ht="45" hidden="1" customHeight="1" x14ac:dyDescent="0.3">
      <c r="A142" s="1355">
        <v>2022142</v>
      </c>
      <c r="B142" s="1172">
        <v>7655</v>
      </c>
      <c r="C142" s="1356" t="s">
        <v>668</v>
      </c>
      <c r="D142" s="1190" t="s">
        <v>695</v>
      </c>
      <c r="E142" s="1174">
        <v>80111600</v>
      </c>
      <c r="F142" s="1379" t="s">
        <v>854</v>
      </c>
      <c r="G142" s="1380">
        <v>44562</v>
      </c>
      <c r="H142" s="1380">
        <v>44592</v>
      </c>
      <c r="I142" s="1176">
        <v>11</v>
      </c>
      <c r="J142" s="1176" t="s">
        <v>673</v>
      </c>
      <c r="K142" s="1177" t="s">
        <v>674</v>
      </c>
      <c r="L142" s="1178" t="s">
        <v>675</v>
      </c>
      <c r="M142" s="1179">
        <f>56100000-10200000</f>
        <v>45900000</v>
      </c>
      <c r="N142" s="1376" t="s">
        <v>783</v>
      </c>
      <c r="O142" s="1174" t="s">
        <v>778</v>
      </c>
      <c r="P142" s="1207" t="s">
        <v>678</v>
      </c>
      <c r="Q142" s="1163"/>
      <c r="R142" s="1269">
        <v>45900000</v>
      </c>
      <c r="S142" s="1357">
        <v>45900000</v>
      </c>
      <c r="T142" s="1357">
        <f>+Tabla16[[#This Row],[CDPS A 31 JULIO 2022]]-Tabla16[[#This Row],[CDP]]</f>
        <v>0</v>
      </c>
      <c r="U142" s="1357">
        <v>45900000</v>
      </c>
      <c r="V142" s="1357">
        <v>22780000</v>
      </c>
      <c r="W142" s="1357"/>
    </row>
    <row r="143" spans="1:23" s="1207" customFormat="1" ht="45" hidden="1" customHeight="1" x14ac:dyDescent="0.3">
      <c r="A143" s="1355">
        <v>2022143</v>
      </c>
      <c r="B143" s="1172">
        <v>7655</v>
      </c>
      <c r="C143" s="1356" t="s">
        <v>668</v>
      </c>
      <c r="D143" s="1190" t="s">
        <v>695</v>
      </c>
      <c r="E143" s="1174">
        <v>80111600</v>
      </c>
      <c r="F143" s="1379" t="s">
        <v>855</v>
      </c>
      <c r="G143" s="1380">
        <v>44562</v>
      </c>
      <c r="H143" s="1380">
        <v>44592</v>
      </c>
      <c r="I143" s="1176">
        <v>11</v>
      </c>
      <c r="J143" s="1176" t="s">
        <v>673</v>
      </c>
      <c r="K143" s="1177" t="s">
        <v>674</v>
      </c>
      <c r="L143" s="1178" t="s">
        <v>675</v>
      </c>
      <c r="M143" s="1179">
        <f>47817000-13041000</f>
        <v>34776000</v>
      </c>
      <c r="N143" s="1376" t="s">
        <v>783</v>
      </c>
      <c r="O143" s="1174" t="s">
        <v>778</v>
      </c>
      <c r="P143" s="1207" t="s">
        <v>678</v>
      </c>
      <c r="Q143" s="1163"/>
      <c r="R143" s="1269">
        <v>34776000</v>
      </c>
      <c r="S143" s="1357">
        <v>34776000</v>
      </c>
      <c r="T143" s="1357">
        <f>+Tabla16[[#This Row],[CDPS A 31 JULIO 2022]]-Tabla16[[#This Row],[CDP]]</f>
        <v>0</v>
      </c>
      <c r="U143" s="1357">
        <v>34776000</v>
      </c>
      <c r="V143" s="1357">
        <v>19416600</v>
      </c>
      <c r="W143" s="1357"/>
    </row>
    <row r="144" spans="1:23" s="1207" customFormat="1" ht="45" hidden="1" customHeight="1" x14ac:dyDescent="0.3">
      <c r="A144" s="1355">
        <v>2022144</v>
      </c>
      <c r="B144" s="1172">
        <v>7655</v>
      </c>
      <c r="C144" s="1356" t="s">
        <v>668</v>
      </c>
      <c r="D144" s="1190" t="s">
        <v>695</v>
      </c>
      <c r="E144" s="1174">
        <v>80111600</v>
      </c>
      <c r="F144" s="1379" t="s">
        <v>853</v>
      </c>
      <c r="G144" s="1380">
        <v>44562</v>
      </c>
      <c r="H144" s="1380">
        <v>44592</v>
      </c>
      <c r="I144" s="1176">
        <v>11</v>
      </c>
      <c r="J144" s="1176" t="s">
        <v>673</v>
      </c>
      <c r="K144" s="1177" t="s">
        <v>674</v>
      </c>
      <c r="L144" s="1178" t="s">
        <v>675</v>
      </c>
      <c r="M144" s="1179">
        <f>56100000-21324000</f>
        <v>34776000</v>
      </c>
      <c r="N144" s="1376" t="s">
        <v>783</v>
      </c>
      <c r="O144" s="1174" t="s">
        <v>778</v>
      </c>
      <c r="P144" s="1207" t="s">
        <v>678</v>
      </c>
      <c r="Q144" s="1163"/>
      <c r="R144" s="1269">
        <v>34776000</v>
      </c>
      <c r="S144" s="1357">
        <v>34776000</v>
      </c>
      <c r="T144" s="1357">
        <f>+Tabla16[[#This Row],[CDPS A 31 JULIO 2022]]-Tabla16[[#This Row],[CDP]]</f>
        <v>0</v>
      </c>
      <c r="U144" s="1357">
        <v>34776000</v>
      </c>
      <c r="V144" s="1357">
        <v>17388000</v>
      </c>
      <c r="W144" s="1357"/>
    </row>
    <row r="145" spans="1:23" s="1207" customFormat="1" ht="45" hidden="1" customHeight="1" x14ac:dyDescent="0.3">
      <c r="A145" s="1355">
        <v>2022145</v>
      </c>
      <c r="B145" s="1172">
        <v>7655</v>
      </c>
      <c r="C145" s="1356" t="s">
        <v>668</v>
      </c>
      <c r="D145" s="1190" t="s">
        <v>695</v>
      </c>
      <c r="E145" s="1174">
        <v>80111600</v>
      </c>
      <c r="F145" s="1379" t="s">
        <v>855</v>
      </c>
      <c r="G145" s="1380">
        <v>44562</v>
      </c>
      <c r="H145" s="1380">
        <v>44592</v>
      </c>
      <c r="I145" s="1176">
        <v>7</v>
      </c>
      <c r="J145" s="1176" t="s">
        <v>673</v>
      </c>
      <c r="K145" s="1177" t="s">
        <v>674</v>
      </c>
      <c r="L145" s="1178" t="s">
        <v>675</v>
      </c>
      <c r="M145" s="1179">
        <v>27895000</v>
      </c>
      <c r="N145" s="1376" t="s">
        <v>783</v>
      </c>
      <c r="O145" s="1174" t="s">
        <v>778</v>
      </c>
      <c r="P145" s="1207" t="s">
        <v>678</v>
      </c>
      <c r="Q145" s="1163"/>
      <c r="R145" s="1269">
        <v>27895000</v>
      </c>
      <c r="S145" s="1357">
        <v>27895000</v>
      </c>
      <c r="T145" s="1357">
        <f>+Tabla16[[#This Row],[CDPS A 31 JULIO 2022]]-Tabla16[[#This Row],[CDP]]</f>
        <v>0</v>
      </c>
      <c r="U145" s="1357">
        <v>27895000</v>
      </c>
      <c r="V145" s="1357">
        <v>17799667</v>
      </c>
      <c r="W145" s="1357"/>
    </row>
    <row r="146" spans="1:23" s="1207" customFormat="1" ht="45" hidden="1" customHeight="1" x14ac:dyDescent="0.3">
      <c r="A146" s="1355">
        <v>2022146</v>
      </c>
      <c r="B146" s="1172">
        <v>7655</v>
      </c>
      <c r="C146" s="1356" t="s">
        <v>668</v>
      </c>
      <c r="D146" s="1190" t="s">
        <v>695</v>
      </c>
      <c r="E146" s="1174">
        <v>80111600</v>
      </c>
      <c r="F146" s="1379" t="s">
        <v>855</v>
      </c>
      <c r="G146" s="1380">
        <v>44562</v>
      </c>
      <c r="H146" s="1380">
        <v>44592</v>
      </c>
      <c r="I146" s="1176">
        <v>7</v>
      </c>
      <c r="J146" s="1176" t="s">
        <v>673</v>
      </c>
      <c r="K146" s="1177" t="s">
        <v>674</v>
      </c>
      <c r="L146" s="1178" t="s">
        <v>675</v>
      </c>
      <c r="M146" s="1179">
        <v>26950000</v>
      </c>
      <c r="N146" s="1376" t="s">
        <v>783</v>
      </c>
      <c r="O146" s="1174" t="s">
        <v>778</v>
      </c>
      <c r="P146" s="1207" t="s">
        <v>678</v>
      </c>
      <c r="Q146" s="1163"/>
      <c r="R146" s="1269">
        <v>26950000</v>
      </c>
      <c r="S146" s="1357">
        <v>26950000</v>
      </c>
      <c r="T146" s="1357">
        <f>+Tabla16[[#This Row],[CDPS A 31 JULIO 2022]]-Tabla16[[#This Row],[CDP]]</f>
        <v>0</v>
      </c>
      <c r="U146" s="1357">
        <v>26950000</v>
      </c>
      <c r="V146" s="1357">
        <v>8598333</v>
      </c>
      <c r="W146" s="1357"/>
    </row>
    <row r="147" spans="1:23" s="1207" customFormat="1" ht="45" hidden="1" customHeight="1" x14ac:dyDescent="0.3">
      <c r="A147" s="1355">
        <v>2022147</v>
      </c>
      <c r="B147" s="1172">
        <v>7655</v>
      </c>
      <c r="C147" s="1356" t="s">
        <v>668</v>
      </c>
      <c r="D147" s="1190" t="s">
        <v>695</v>
      </c>
      <c r="E147" s="1174">
        <v>80111600</v>
      </c>
      <c r="F147" s="1379" t="s">
        <v>856</v>
      </c>
      <c r="G147" s="1380">
        <v>44562</v>
      </c>
      <c r="H147" s="1380">
        <v>44592</v>
      </c>
      <c r="I147" s="1176">
        <v>8</v>
      </c>
      <c r="J147" s="1176" t="s">
        <v>673</v>
      </c>
      <c r="K147" s="1177" t="s">
        <v>674</v>
      </c>
      <c r="L147" s="1178" t="s">
        <v>675</v>
      </c>
      <c r="M147" s="1179">
        <f>19600000-2450000</f>
        <v>17150000</v>
      </c>
      <c r="N147" s="1376" t="s">
        <v>783</v>
      </c>
      <c r="O147" s="1174" t="s">
        <v>778</v>
      </c>
      <c r="P147" s="1207" t="s">
        <v>678</v>
      </c>
      <c r="Q147" s="1163"/>
      <c r="R147" s="1269">
        <v>17150000</v>
      </c>
      <c r="S147" s="1357">
        <v>17150000</v>
      </c>
      <c r="T147" s="1357">
        <f>+Tabla16[[#This Row],[CDPS A 31 JULIO 2022]]-Tabla16[[#This Row],[CDP]]</f>
        <v>0</v>
      </c>
      <c r="U147" s="1357">
        <v>17150000</v>
      </c>
      <c r="V147" s="1357">
        <v>10943333</v>
      </c>
      <c r="W147" s="1357"/>
    </row>
    <row r="148" spans="1:23" s="1207" customFormat="1" ht="45" hidden="1" customHeight="1" x14ac:dyDescent="0.3">
      <c r="A148" s="1355">
        <v>2022148</v>
      </c>
      <c r="B148" s="1172">
        <v>7655</v>
      </c>
      <c r="C148" s="1356" t="s">
        <v>668</v>
      </c>
      <c r="D148" s="1190" t="s">
        <v>695</v>
      </c>
      <c r="E148" s="1174">
        <v>80111600</v>
      </c>
      <c r="F148" s="1379" t="s">
        <v>857</v>
      </c>
      <c r="G148" s="1380">
        <v>44562</v>
      </c>
      <c r="H148" s="1380">
        <v>44592</v>
      </c>
      <c r="I148" s="1176">
        <v>8</v>
      </c>
      <c r="J148" s="1176" t="s">
        <v>673</v>
      </c>
      <c r="K148" s="1177" t="s">
        <v>674</v>
      </c>
      <c r="L148" s="1178" t="s">
        <v>675</v>
      </c>
      <c r="M148" s="1179">
        <f>40800000-5100000</f>
        <v>35700000</v>
      </c>
      <c r="N148" s="1376" t="s">
        <v>783</v>
      </c>
      <c r="O148" s="1174" t="s">
        <v>778</v>
      </c>
      <c r="P148" s="1207" t="s">
        <v>678</v>
      </c>
      <c r="Q148" s="1163"/>
      <c r="R148" s="1269">
        <v>35700000</v>
      </c>
      <c r="S148" s="1357">
        <v>35700000</v>
      </c>
      <c r="T148" s="1357">
        <f>+Tabla16[[#This Row],[CDPS A 31 JULIO 2022]]-Tabla16[[#This Row],[CDP]]</f>
        <v>0</v>
      </c>
      <c r="U148" s="1357">
        <v>35700000</v>
      </c>
      <c r="V148" s="1357">
        <v>21420000</v>
      </c>
      <c r="W148" s="1357"/>
    </row>
    <row r="149" spans="1:23" s="1207" customFormat="1" ht="45" hidden="1" customHeight="1" x14ac:dyDescent="0.3">
      <c r="A149" s="1355">
        <v>2022149</v>
      </c>
      <c r="B149" s="1172">
        <v>7655</v>
      </c>
      <c r="C149" s="1356" t="s">
        <v>668</v>
      </c>
      <c r="D149" s="1190" t="s">
        <v>695</v>
      </c>
      <c r="E149" s="1174">
        <v>80111600</v>
      </c>
      <c r="F149" s="1379" t="s">
        <v>858</v>
      </c>
      <c r="G149" s="1380">
        <v>44562</v>
      </c>
      <c r="H149" s="1380">
        <v>44592</v>
      </c>
      <c r="I149" s="1176">
        <v>11</v>
      </c>
      <c r="J149" s="1176" t="s">
        <v>673</v>
      </c>
      <c r="K149" s="1177" t="s">
        <v>674</v>
      </c>
      <c r="L149" s="1178" t="s">
        <v>675</v>
      </c>
      <c r="M149" s="1179">
        <f>56100000-10200000</f>
        <v>45900000</v>
      </c>
      <c r="N149" s="1376" t="s">
        <v>783</v>
      </c>
      <c r="O149" s="1174" t="s">
        <v>778</v>
      </c>
      <c r="P149" s="1207" t="s">
        <v>678</v>
      </c>
      <c r="Q149" s="1163"/>
      <c r="R149" s="1269">
        <v>45900000</v>
      </c>
      <c r="S149" s="1357">
        <v>45900000</v>
      </c>
      <c r="T149" s="1357">
        <f>+Tabla16[[#This Row],[CDPS A 31 JULIO 2022]]-Tabla16[[#This Row],[CDP]]</f>
        <v>0</v>
      </c>
      <c r="U149" s="1357">
        <v>45900000</v>
      </c>
      <c r="V149" s="1357">
        <v>21250000</v>
      </c>
      <c r="W149" s="1357"/>
    </row>
    <row r="150" spans="1:23" s="1207" customFormat="1" ht="45" hidden="1" customHeight="1" x14ac:dyDescent="0.3">
      <c r="A150" s="1355">
        <v>2022150</v>
      </c>
      <c r="B150" s="1172">
        <v>7655</v>
      </c>
      <c r="C150" s="1356" t="s">
        <v>668</v>
      </c>
      <c r="D150" s="1190" t="s">
        <v>695</v>
      </c>
      <c r="E150" s="1174">
        <v>80111600</v>
      </c>
      <c r="F150" s="1379" t="s">
        <v>857</v>
      </c>
      <c r="G150" s="1380">
        <v>44562</v>
      </c>
      <c r="H150" s="1380">
        <v>44592</v>
      </c>
      <c r="I150" s="1176">
        <v>7</v>
      </c>
      <c r="J150" s="1176" t="s">
        <v>673</v>
      </c>
      <c r="K150" s="1177" t="s">
        <v>674</v>
      </c>
      <c r="L150" s="1178" t="s">
        <v>675</v>
      </c>
      <c r="M150" s="1179">
        <v>35700000</v>
      </c>
      <c r="N150" s="1376" t="s">
        <v>783</v>
      </c>
      <c r="O150" s="1174" t="s">
        <v>778</v>
      </c>
      <c r="P150" s="1207" t="s">
        <v>678</v>
      </c>
      <c r="Q150" s="1163"/>
      <c r="R150" s="1269">
        <v>35700000</v>
      </c>
      <c r="S150" s="1357">
        <v>35700000</v>
      </c>
      <c r="T150" s="1357">
        <f>+Tabla16[[#This Row],[CDPS A 31 JULIO 2022]]-Tabla16[[#This Row],[CDP]]</f>
        <v>0</v>
      </c>
      <c r="U150" s="1357">
        <v>35700000</v>
      </c>
      <c r="V150" s="1357">
        <v>21080000</v>
      </c>
      <c r="W150" s="1357"/>
    </row>
    <row r="151" spans="1:23" s="1207" customFormat="1" ht="45" hidden="1" customHeight="1" x14ac:dyDescent="0.3">
      <c r="A151" s="1355">
        <v>2022151</v>
      </c>
      <c r="B151" s="1172">
        <v>7655</v>
      </c>
      <c r="C151" s="1356" t="s">
        <v>668</v>
      </c>
      <c r="D151" s="1190" t="s">
        <v>695</v>
      </c>
      <c r="E151" s="1174">
        <v>80111600</v>
      </c>
      <c r="F151" s="1379" t="s">
        <v>859</v>
      </c>
      <c r="G151" s="1380">
        <v>44562</v>
      </c>
      <c r="H151" s="1380">
        <v>44592</v>
      </c>
      <c r="I151" s="1176">
        <v>8</v>
      </c>
      <c r="J151" s="1176" t="s">
        <v>673</v>
      </c>
      <c r="K151" s="1177" t="s">
        <v>674</v>
      </c>
      <c r="L151" s="1178" t="s">
        <v>675</v>
      </c>
      <c r="M151" s="1179">
        <v>41400000</v>
      </c>
      <c r="N151" s="1376" t="s">
        <v>783</v>
      </c>
      <c r="O151" s="1174" t="s">
        <v>778</v>
      </c>
      <c r="P151" s="1207" t="s">
        <v>678</v>
      </c>
      <c r="Q151" s="1163"/>
      <c r="R151" s="1269">
        <v>41400000</v>
      </c>
      <c r="S151" s="1357">
        <v>41400000</v>
      </c>
      <c r="T151" s="1357">
        <f>+Tabla16[[#This Row],[CDPS A 31 JULIO 2022]]-Tabla16[[#This Row],[CDP]]</f>
        <v>0</v>
      </c>
      <c r="U151" s="1357">
        <v>41400000</v>
      </c>
      <c r="V151" s="1357">
        <v>22942500</v>
      </c>
      <c r="W151" s="1357"/>
    </row>
    <row r="152" spans="1:23" s="1207" customFormat="1" ht="45" hidden="1" customHeight="1" x14ac:dyDescent="0.3">
      <c r="A152" s="1355">
        <v>2022152</v>
      </c>
      <c r="B152" s="1172">
        <v>7655</v>
      </c>
      <c r="C152" s="1356" t="s">
        <v>668</v>
      </c>
      <c r="D152" s="1190" t="s">
        <v>695</v>
      </c>
      <c r="E152" s="1174">
        <v>80111600</v>
      </c>
      <c r="F152" s="1379" t="s">
        <v>860</v>
      </c>
      <c r="G152" s="1380">
        <v>44562</v>
      </c>
      <c r="H152" s="1380">
        <v>44592</v>
      </c>
      <c r="I152" s="1176">
        <v>8</v>
      </c>
      <c r="J152" s="1176" t="s">
        <v>673</v>
      </c>
      <c r="K152" s="1177" t="s">
        <v>674</v>
      </c>
      <c r="L152" s="1178" t="s">
        <v>675</v>
      </c>
      <c r="M152" s="1179">
        <v>45544000</v>
      </c>
      <c r="N152" s="1376" t="s">
        <v>783</v>
      </c>
      <c r="O152" s="1174" t="s">
        <v>778</v>
      </c>
      <c r="P152" s="1207" t="s">
        <v>678</v>
      </c>
      <c r="Q152" s="1163"/>
      <c r="R152" s="1269">
        <v>45544000</v>
      </c>
      <c r="S152" s="1357">
        <v>45544000</v>
      </c>
      <c r="T152" s="1357">
        <f>+Tabla16[[#This Row],[CDPS A 31 JULIO 2022]]-Tabla16[[#This Row],[CDP]]</f>
        <v>0</v>
      </c>
      <c r="U152" s="1357">
        <v>45544000</v>
      </c>
      <c r="V152" s="1357">
        <v>25238967</v>
      </c>
      <c r="W152" s="1357"/>
    </row>
    <row r="153" spans="1:23" s="1207" customFormat="1" ht="45" hidden="1" customHeight="1" x14ac:dyDescent="0.3">
      <c r="A153" s="1355">
        <v>2022153</v>
      </c>
      <c r="B153" s="1172">
        <v>7655</v>
      </c>
      <c r="C153" s="1356" t="s">
        <v>668</v>
      </c>
      <c r="D153" s="1190" t="s">
        <v>695</v>
      </c>
      <c r="E153" s="1174">
        <v>80111600</v>
      </c>
      <c r="F153" s="1379" t="s">
        <v>861</v>
      </c>
      <c r="G153" s="1380">
        <v>44562</v>
      </c>
      <c r="H153" s="1380">
        <v>44592</v>
      </c>
      <c r="I153" s="1176">
        <v>7</v>
      </c>
      <c r="J153" s="1176" t="s">
        <v>673</v>
      </c>
      <c r="K153" s="1177" t="s">
        <v>674</v>
      </c>
      <c r="L153" s="1178" t="s">
        <v>675</v>
      </c>
      <c r="M153" s="1179">
        <v>23184000</v>
      </c>
      <c r="N153" s="1376" t="s">
        <v>783</v>
      </c>
      <c r="O153" s="1174" t="s">
        <v>778</v>
      </c>
      <c r="P153" s="1207" t="s">
        <v>678</v>
      </c>
      <c r="Q153" s="1163"/>
      <c r="R153" s="1269">
        <v>23184000</v>
      </c>
      <c r="S153" s="1357">
        <v>23184000</v>
      </c>
      <c r="T153" s="1357">
        <f>+Tabla16[[#This Row],[CDPS A 31 JULIO 2022]]-Tabla16[[#This Row],[CDP]]</f>
        <v>0</v>
      </c>
      <c r="U153" s="1357">
        <v>23184000</v>
      </c>
      <c r="V153" s="1357">
        <v>14462400</v>
      </c>
      <c r="W153" s="1357"/>
    </row>
    <row r="154" spans="1:23" s="1207" customFormat="1" ht="45" hidden="1" customHeight="1" x14ac:dyDescent="0.3">
      <c r="A154" s="1355">
        <v>2022154</v>
      </c>
      <c r="B154" s="1172">
        <v>7655</v>
      </c>
      <c r="C154" s="1356" t="s">
        <v>668</v>
      </c>
      <c r="D154" s="1190" t="s">
        <v>695</v>
      </c>
      <c r="E154" s="1174">
        <v>80111600</v>
      </c>
      <c r="F154" s="1379" t="s">
        <v>862</v>
      </c>
      <c r="G154" s="1380">
        <v>44562</v>
      </c>
      <c r="H154" s="1380">
        <v>44592</v>
      </c>
      <c r="I154" s="1176">
        <v>7</v>
      </c>
      <c r="J154" s="1176" t="s">
        <v>673</v>
      </c>
      <c r="K154" s="1177" t="s">
        <v>674</v>
      </c>
      <c r="L154" s="1178" t="s">
        <v>675</v>
      </c>
      <c r="M154" s="1179">
        <v>30429000</v>
      </c>
      <c r="N154" s="1376" t="s">
        <v>783</v>
      </c>
      <c r="O154" s="1174" t="s">
        <v>778</v>
      </c>
      <c r="P154" s="1207" t="s">
        <v>678</v>
      </c>
      <c r="Q154" s="1163"/>
      <c r="R154" s="1269">
        <v>30429000</v>
      </c>
      <c r="S154" s="1357">
        <v>30429000</v>
      </c>
      <c r="T154" s="1357">
        <f>+Tabla16[[#This Row],[CDPS A 31 JULIO 2022]]-Tabla16[[#This Row],[CDP]]</f>
        <v>0</v>
      </c>
      <c r="U154" s="1357">
        <v>30429000</v>
      </c>
      <c r="V154" s="1357">
        <v>19271700</v>
      </c>
      <c r="W154" s="1357"/>
    </row>
    <row r="155" spans="1:23" s="1207" customFormat="1" ht="45" hidden="1" customHeight="1" x14ac:dyDescent="0.3">
      <c r="A155" s="1355">
        <v>2022155</v>
      </c>
      <c r="B155" s="1172">
        <v>7655</v>
      </c>
      <c r="C155" s="1356" t="s">
        <v>668</v>
      </c>
      <c r="D155" s="1190" t="s">
        <v>695</v>
      </c>
      <c r="E155" s="1174">
        <v>80111600</v>
      </c>
      <c r="F155" s="1379" t="s">
        <v>863</v>
      </c>
      <c r="G155" s="1380">
        <v>44562</v>
      </c>
      <c r="H155" s="1380">
        <v>44592</v>
      </c>
      <c r="I155" s="1176">
        <v>11</v>
      </c>
      <c r="J155" s="1176" t="s">
        <v>673</v>
      </c>
      <c r="K155" s="1177" t="s">
        <v>674</v>
      </c>
      <c r="L155" s="1178" t="s">
        <v>675</v>
      </c>
      <c r="M155" s="1179">
        <f>83600000-43826667</f>
        <v>39773333</v>
      </c>
      <c r="N155" s="1376" t="s">
        <v>783</v>
      </c>
      <c r="O155" s="1174" t="s">
        <v>778</v>
      </c>
      <c r="P155" s="1207" t="s">
        <v>678</v>
      </c>
      <c r="Q155" s="1163"/>
      <c r="R155" s="1269">
        <v>68400000</v>
      </c>
      <c r="S155" s="1357">
        <v>68400000</v>
      </c>
      <c r="T155" s="1357">
        <f>+Tabla16[[#This Row],[CDPS A 31 JULIO 2022]]-Tabla16[[#This Row],[CDP]]</f>
        <v>0</v>
      </c>
      <c r="U155" s="1357">
        <v>68400000</v>
      </c>
      <c r="V155" s="1357">
        <v>32173333</v>
      </c>
      <c r="W155" s="1357"/>
    </row>
    <row r="156" spans="1:23" s="1207" customFormat="1" ht="45" hidden="1" customHeight="1" x14ac:dyDescent="0.3">
      <c r="A156" s="1355">
        <v>2022156</v>
      </c>
      <c r="B156" s="1172">
        <v>7655</v>
      </c>
      <c r="C156" s="1356" t="s">
        <v>668</v>
      </c>
      <c r="D156" s="1190" t="s">
        <v>695</v>
      </c>
      <c r="E156" s="1174">
        <v>80111600</v>
      </c>
      <c r="F156" s="1379" t="s">
        <v>864</v>
      </c>
      <c r="G156" s="1380">
        <v>44562</v>
      </c>
      <c r="H156" s="1380">
        <v>44592</v>
      </c>
      <c r="I156" s="1176">
        <v>7</v>
      </c>
      <c r="J156" s="1176" t="s">
        <v>673</v>
      </c>
      <c r="K156" s="1177" t="s">
        <v>674</v>
      </c>
      <c r="L156" s="1178" t="s">
        <v>675</v>
      </c>
      <c r="M156" s="1179">
        <v>26950000</v>
      </c>
      <c r="N156" s="1376" t="s">
        <v>783</v>
      </c>
      <c r="O156" s="1174" t="s">
        <v>778</v>
      </c>
      <c r="P156" s="1207" t="s">
        <v>678</v>
      </c>
      <c r="Q156" s="1163"/>
      <c r="R156" s="1269">
        <v>26950000</v>
      </c>
      <c r="S156" s="1357">
        <v>26950000</v>
      </c>
      <c r="T156" s="1357">
        <f>+Tabla16[[#This Row],[CDPS A 31 JULIO 2022]]-Tabla16[[#This Row],[CDP]]</f>
        <v>0</v>
      </c>
      <c r="U156" s="1357">
        <v>26950000</v>
      </c>
      <c r="V156" s="1357">
        <v>15400000</v>
      </c>
      <c r="W156" s="1357"/>
    </row>
    <row r="157" spans="1:23" s="1207" customFormat="1" ht="45" hidden="1" customHeight="1" x14ac:dyDescent="0.3">
      <c r="A157" s="1355">
        <v>2022157</v>
      </c>
      <c r="B157" s="1172">
        <v>7655</v>
      </c>
      <c r="C157" s="1356" t="s">
        <v>668</v>
      </c>
      <c r="D157" s="1190" t="s">
        <v>695</v>
      </c>
      <c r="E157" s="1174">
        <v>80111600</v>
      </c>
      <c r="F157" s="1379" t="s">
        <v>859</v>
      </c>
      <c r="G157" s="1380">
        <v>44562</v>
      </c>
      <c r="H157" s="1380">
        <v>44592</v>
      </c>
      <c r="I157" s="1176">
        <v>7</v>
      </c>
      <c r="J157" s="1176" t="s">
        <v>673</v>
      </c>
      <c r="K157" s="1177" t="s">
        <v>674</v>
      </c>
      <c r="L157" s="1178" t="s">
        <v>675</v>
      </c>
      <c r="M157" s="1179">
        <v>36225000</v>
      </c>
      <c r="N157" s="1376" t="s">
        <v>783</v>
      </c>
      <c r="O157" s="1174" t="s">
        <v>778</v>
      </c>
      <c r="P157" s="1207" t="s">
        <v>678</v>
      </c>
      <c r="Q157" s="1163"/>
      <c r="R157" s="1269">
        <v>36225000</v>
      </c>
      <c r="S157" s="1357">
        <v>36225000</v>
      </c>
      <c r="T157" s="1357">
        <f>+Tabla16[[#This Row],[CDPS A 31 JULIO 2022]]-Tabla16[[#This Row],[CDP]]</f>
        <v>0</v>
      </c>
      <c r="U157" s="1357">
        <v>36225000</v>
      </c>
      <c r="V157" s="1357">
        <v>22425000</v>
      </c>
      <c r="W157" s="1357"/>
    </row>
    <row r="158" spans="1:23" s="1207" customFormat="1" ht="45" hidden="1" customHeight="1" x14ac:dyDescent="0.3">
      <c r="A158" s="1355">
        <v>2022158</v>
      </c>
      <c r="B158" s="1172">
        <v>7655</v>
      </c>
      <c r="C158" s="1356" t="s">
        <v>668</v>
      </c>
      <c r="D158" s="1190" t="s">
        <v>695</v>
      </c>
      <c r="E158" s="1174">
        <v>80111600</v>
      </c>
      <c r="F158" s="1379" t="s">
        <v>860</v>
      </c>
      <c r="G158" s="1380">
        <v>44562</v>
      </c>
      <c r="H158" s="1380">
        <v>44592</v>
      </c>
      <c r="I158" s="1176">
        <v>8</v>
      </c>
      <c r="J158" s="1176" t="s">
        <v>673</v>
      </c>
      <c r="K158" s="1177" t="s">
        <v>674</v>
      </c>
      <c r="L158" s="1178" t="s">
        <v>675</v>
      </c>
      <c r="M158" s="1179">
        <v>45544000</v>
      </c>
      <c r="N158" s="1376" t="s">
        <v>783</v>
      </c>
      <c r="O158" s="1174" t="s">
        <v>778</v>
      </c>
      <c r="P158" s="1207" t="s">
        <v>678</v>
      </c>
      <c r="Q158" s="1163"/>
      <c r="R158" s="1269">
        <v>45544000</v>
      </c>
      <c r="S158" s="1357">
        <v>45544000</v>
      </c>
      <c r="T158" s="1357">
        <f>+Tabla16[[#This Row],[CDPS A 31 JULIO 2022]]-Tabla16[[#This Row],[CDP]]</f>
        <v>0</v>
      </c>
      <c r="U158" s="1357">
        <v>45544000</v>
      </c>
      <c r="V158" s="1357">
        <v>24100367</v>
      </c>
      <c r="W158" s="1357"/>
    </row>
    <row r="159" spans="1:23" s="1207" customFormat="1" ht="45" hidden="1" customHeight="1" x14ac:dyDescent="0.3">
      <c r="A159" s="1355">
        <v>2022159</v>
      </c>
      <c r="B159" s="1172">
        <v>7655</v>
      </c>
      <c r="C159" s="1356" t="s">
        <v>668</v>
      </c>
      <c r="D159" s="1190" t="s">
        <v>695</v>
      </c>
      <c r="E159" s="1174">
        <v>80111600</v>
      </c>
      <c r="F159" s="1379" t="s">
        <v>865</v>
      </c>
      <c r="G159" s="1380">
        <v>44562</v>
      </c>
      <c r="H159" s="1380">
        <v>44592</v>
      </c>
      <c r="I159" s="1176">
        <v>8</v>
      </c>
      <c r="J159" s="1176" t="s">
        <v>673</v>
      </c>
      <c r="K159" s="1177" t="s">
        <v>674</v>
      </c>
      <c r="L159" s="1178" t="s">
        <v>675</v>
      </c>
      <c r="M159" s="1179">
        <f>19600000-4900000</f>
        <v>14700000</v>
      </c>
      <c r="N159" s="1376" t="s">
        <v>783</v>
      </c>
      <c r="O159" s="1174" t="s">
        <v>778</v>
      </c>
      <c r="P159" s="1207" t="s">
        <v>678</v>
      </c>
      <c r="Q159" s="1163"/>
      <c r="R159" s="1269">
        <v>14700000</v>
      </c>
      <c r="S159" s="1357">
        <v>14700000</v>
      </c>
      <c r="T159" s="1357">
        <f>+Tabla16[[#This Row],[CDPS A 31 JULIO 2022]]-Tabla16[[#This Row],[CDP]]</f>
        <v>0</v>
      </c>
      <c r="U159" s="1357">
        <v>14700000</v>
      </c>
      <c r="V159" s="1357">
        <v>10698333</v>
      </c>
      <c r="W159" s="1357"/>
    </row>
    <row r="160" spans="1:23" s="1207" customFormat="1" ht="45" hidden="1" customHeight="1" x14ac:dyDescent="0.3">
      <c r="A160" s="1355">
        <v>2022160</v>
      </c>
      <c r="B160" s="1172">
        <v>7655</v>
      </c>
      <c r="C160" s="1356" t="s">
        <v>668</v>
      </c>
      <c r="D160" s="1190" t="s">
        <v>695</v>
      </c>
      <c r="E160" s="1174">
        <v>80111600</v>
      </c>
      <c r="F160" s="1379" t="s">
        <v>866</v>
      </c>
      <c r="G160" s="1380">
        <v>44562</v>
      </c>
      <c r="H160" s="1380">
        <v>44592</v>
      </c>
      <c r="I160" s="1176">
        <v>11</v>
      </c>
      <c r="J160" s="1176" t="s">
        <v>673</v>
      </c>
      <c r="K160" s="1177" t="s">
        <v>674</v>
      </c>
      <c r="L160" s="1178" t="s">
        <v>675</v>
      </c>
      <c r="M160" s="1179">
        <v>31306000</v>
      </c>
      <c r="N160" s="1376" t="s">
        <v>783</v>
      </c>
      <c r="O160" s="1174" t="s">
        <v>778</v>
      </c>
      <c r="P160" s="1207" t="s">
        <v>678</v>
      </c>
      <c r="Q160" s="1163"/>
      <c r="R160" s="1269">
        <v>31306000</v>
      </c>
      <c r="S160" s="1357">
        <v>31306000</v>
      </c>
      <c r="T160" s="1357">
        <f>+Tabla16[[#This Row],[CDPS A 31 JULIO 2022]]-Tabla16[[#This Row],[CDP]]</f>
        <v>0</v>
      </c>
      <c r="U160" s="1357">
        <v>31306000</v>
      </c>
      <c r="V160" s="1357">
        <v>12048067</v>
      </c>
      <c r="W160" s="1357"/>
    </row>
    <row r="161" spans="1:23" s="1207" customFormat="1" ht="45" hidden="1" customHeight="1" x14ac:dyDescent="0.3">
      <c r="A161" s="1355">
        <v>2022161</v>
      </c>
      <c r="B161" s="1172">
        <v>7655</v>
      </c>
      <c r="C161" s="1356" t="s">
        <v>668</v>
      </c>
      <c r="D161" s="1190" t="s">
        <v>695</v>
      </c>
      <c r="E161" s="1174">
        <v>80111600</v>
      </c>
      <c r="F161" s="1379" t="s">
        <v>867</v>
      </c>
      <c r="G161" s="1380">
        <v>44562</v>
      </c>
      <c r="H161" s="1380">
        <v>44592</v>
      </c>
      <c r="I161" s="1176">
        <v>8</v>
      </c>
      <c r="J161" s="1176" t="s">
        <v>673</v>
      </c>
      <c r="K161" s="1177" t="s">
        <v>674</v>
      </c>
      <c r="L161" s="1178" t="s">
        <v>675</v>
      </c>
      <c r="M161" s="1179">
        <v>34776000</v>
      </c>
      <c r="N161" s="1376" t="s">
        <v>783</v>
      </c>
      <c r="O161" s="1174" t="s">
        <v>778</v>
      </c>
      <c r="P161" s="1207" t="s">
        <v>678</v>
      </c>
      <c r="Q161" s="1163"/>
      <c r="R161" s="1269">
        <v>34776000</v>
      </c>
      <c r="S161" s="1357">
        <v>34776000</v>
      </c>
      <c r="T161" s="1357">
        <f>+Tabla16[[#This Row],[CDPS A 31 JULIO 2022]]-Tabla16[[#This Row],[CDP]]</f>
        <v>0</v>
      </c>
      <c r="U161" s="1357">
        <v>34776000</v>
      </c>
      <c r="V161" s="1357">
        <v>18402300</v>
      </c>
      <c r="W161" s="1357"/>
    </row>
    <row r="162" spans="1:23" s="1207" customFormat="1" ht="45" hidden="1" customHeight="1" x14ac:dyDescent="0.3">
      <c r="A162" s="1355">
        <v>2022162</v>
      </c>
      <c r="B162" s="1172">
        <v>7655</v>
      </c>
      <c r="C162" s="1356" t="s">
        <v>668</v>
      </c>
      <c r="D162" s="1190" t="s">
        <v>695</v>
      </c>
      <c r="E162" s="1174">
        <v>80111600</v>
      </c>
      <c r="F162" s="1379" t="s">
        <v>868</v>
      </c>
      <c r="G162" s="1380">
        <v>44562</v>
      </c>
      <c r="H162" s="1380">
        <v>44592</v>
      </c>
      <c r="I162" s="1176">
        <v>8</v>
      </c>
      <c r="J162" s="1176" t="s">
        <v>673</v>
      </c>
      <c r="K162" s="1177" t="s">
        <v>674</v>
      </c>
      <c r="L162" s="1178" t="s">
        <v>675</v>
      </c>
      <c r="M162" s="1179">
        <f>34776000-4347000</f>
        <v>30429000</v>
      </c>
      <c r="N162" s="1376" t="s">
        <v>783</v>
      </c>
      <c r="O162" s="1174" t="s">
        <v>778</v>
      </c>
      <c r="P162" s="1207" t="s">
        <v>678</v>
      </c>
      <c r="Q162" s="1163"/>
      <c r="R162" s="1269">
        <v>30429000</v>
      </c>
      <c r="S162" s="1357">
        <v>30429000</v>
      </c>
      <c r="T162" s="1357">
        <f>+Tabla16[[#This Row],[CDPS A 31 JULIO 2022]]-Tabla16[[#This Row],[CDP]]</f>
        <v>0</v>
      </c>
      <c r="U162" s="1357">
        <v>30429000</v>
      </c>
      <c r="V162" s="1357">
        <v>18981900</v>
      </c>
      <c r="W162" s="1357"/>
    </row>
    <row r="163" spans="1:23" s="1207" customFormat="1" ht="45" hidden="1" customHeight="1" x14ac:dyDescent="0.3">
      <c r="A163" s="1355">
        <v>2022163</v>
      </c>
      <c r="B163" s="1172">
        <v>7655</v>
      </c>
      <c r="C163" s="1356" t="s">
        <v>668</v>
      </c>
      <c r="D163" s="1190" t="s">
        <v>695</v>
      </c>
      <c r="E163" s="1174">
        <v>80111600</v>
      </c>
      <c r="F163" s="1379" t="s">
        <v>869</v>
      </c>
      <c r="G163" s="1380">
        <v>44562</v>
      </c>
      <c r="H163" s="1380">
        <v>44592</v>
      </c>
      <c r="I163" s="1176">
        <v>11</v>
      </c>
      <c r="J163" s="1176" t="s">
        <v>673</v>
      </c>
      <c r="K163" s="1177" t="s">
        <v>674</v>
      </c>
      <c r="L163" s="1178" t="s">
        <v>675</v>
      </c>
      <c r="M163" s="1179">
        <v>36850000</v>
      </c>
      <c r="N163" s="1376" t="s">
        <v>783</v>
      </c>
      <c r="O163" s="1174" t="s">
        <v>778</v>
      </c>
      <c r="P163" s="1207" t="s">
        <v>678</v>
      </c>
      <c r="Q163" s="1163"/>
      <c r="R163" s="1269">
        <v>21735000</v>
      </c>
      <c r="S163" s="1357">
        <v>21735000</v>
      </c>
      <c r="T163" s="1357">
        <f>+Tabla16[[#This Row],[CDPS A 31 JULIO 2022]]-Tabla16[[#This Row],[CDP]]</f>
        <v>0</v>
      </c>
      <c r="U163" s="1357">
        <v>21735000</v>
      </c>
      <c r="V163" s="1357">
        <v>13558500</v>
      </c>
      <c r="W163" s="1357"/>
    </row>
    <row r="164" spans="1:23" s="1207" customFormat="1" ht="45" hidden="1" customHeight="1" x14ac:dyDescent="0.3">
      <c r="A164" s="1355">
        <v>2022164</v>
      </c>
      <c r="B164" s="1172">
        <v>7655</v>
      </c>
      <c r="C164" s="1356" t="s">
        <v>668</v>
      </c>
      <c r="D164" s="1190" t="s">
        <v>695</v>
      </c>
      <c r="E164" s="1174">
        <v>80111600</v>
      </c>
      <c r="F164" s="1379" t="s">
        <v>870</v>
      </c>
      <c r="G164" s="1380">
        <v>44562</v>
      </c>
      <c r="H164" s="1380">
        <v>44592</v>
      </c>
      <c r="I164" s="1176">
        <v>7</v>
      </c>
      <c r="J164" s="1176" t="s">
        <v>673</v>
      </c>
      <c r="K164" s="1177" t="s">
        <v>674</v>
      </c>
      <c r="L164" s="1178" t="s">
        <v>675</v>
      </c>
      <c r="M164" s="1179">
        <f>26950000-2100000</f>
        <v>24850000</v>
      </c>
      <c r="N164" s="1376" t="s">
        <v>783</v>
      </c>
      <c r="O164" s="1174" t="s">
        <v>778</v>
      </c>
      <c r="P164" s="1207" t="s">
        <v>678</v>
      </c>
      <c r="Q164" s="1163"/>
      <c r="R164" s="1269">
        <v>24850000</v>
      </c>
      <c r="S164" s="1357">
        <v>24850000</v>
      </c>
      <c r="T164" s="1357">
        <f>+Tabla16[[#This Row],[CDPS A 31 JULIO 2022]]-Tabla16[[#This Row],[CDP]]</f>
        <v>0</v>
      </c>
      <c r="U164" s="1357">
        <v>24850000</v>
      </c>
      <c r="V164" s="1357">
        <v>15383333</v>
      </c>
      <c r="W164" s="1357"/>
    </row>
    <row r="165" spans="1:23" s="1207" customFormat="1" ht="45" hidden="1" customHeight="1" x14ac:dyDescent="0.3">
      <c r="A165" s="1355">
        <v>2022165</v>
      </c>
      <c r="B165" s="1172">
        <v>7655</v>
      </c>
      <c r="C165" s="1356" t="s">
        <v>668</v>
      </c>
      <c r="D165" s="1190" t="s">
        <v>695</v>
      </c>
      <c r="E165" s="1174">
        <v>80111600</v>
      </c>
      <c r="F165" s="1379" t="s">
        <v>871</v>
      </c>
      <c r="G165" s="1380">
        <v>44562</v>
      </c>
      <c r="H165" s="1380">
        <v>44592</v>
      </c>
      <c r="I165" s="1176">
        <v>8</v>
      </c>
      <c r="J165" s="1176" t="s">
        <v>673</v>
      </c>
      <c r="K165" s="1177" t="s">
        <v>674</v>
      </c>
      <c r="L165" s="1178" t="s">
        <v>675</v>
      </c>
      <c r="M165" s="1179">
        <v>41400000</v>
      </c>
      <c r="N165" s="1376" t="s">
        <v>783</v>
      </c>
      <c r="O165" s="1174" t="s">
        <v>778</v>
      </c>
      <c r="P165" s="1207" t="s">
        <v>678</v>
      </c>
      <c r="Q165" s="1163"/>
      <c r="R165" s="1269">
        <v>41400000</v>
      </c>
      <c r="S165" s="1357">
        <v>41400000</v>
      </c>
      <c r="T165" s="1357">
        <f>+Tabla16[[#This Row],[CDPS A 31 JULIO 2022]]-Tabla16[[#This Row],[CDP]]</f>
        <v>0</v>
      </c>
      <c r="U165" s="1357">
        <v>41400000</v>
      </c>
      <c r="V165" s="1357">
        <v>22597500</v>
      </c>
      <c r="W165" s="1357"/>
    </row>
    <row r="166" spans="1:23" s="1207" customFormat="1" ht="45" hidden="1" customHeight="1" x14ac:dyDescent="0.3">
      <c r="A166" s="1355">
        <v>2022166</v>
      </c>
      <c r="B166" s="1172">
        <v>7655</v>
      </c>
      <c r="C166" s="1356" t="s">
        <v>668</v>
      </c>
      <c r="D166" s="1190" t="s">
        <v>695</v>
      </c>
      <c r="E166" s="1174">
        <v>80111600</v>
      </c>
      <c r="F166" s="1379" t="s">
        <v>872</v>
      </c>
      <c r="G166" s="1380">
        <v>44562</v>
      </c>
      <c r="H166" s="1380">
        <v>44592</v>
      </c>
      <c r="I166" s="1176">
        <v>8</v>
      </c>
      <c r="J166" s="1176" t="s">
        <v>673</v>
      </c>
      <c r="K166" s="1177" t="s">
        <v>674</v>
      </c>
      <c r="L166" s="1178" t="s">
        <v>675</v>
      </c>
      <c r="M166" s="1179">
        <f>41400000-13282500</f>
        <v>28117500</v>
      </c>
      <c r="N166" s="1376" t="s">
        <v>783</v>
      </c>
      <c r="O166" s="1174" t="s">
        <v>778</v>
      </c>
      <c r="P166" s="1207" t="s">
        <v>678</v>
      </c>
      <c r="Q166" s="1163"/>
      <c r="R166" s="1269">
        <v>36225000</v>
      </c>
      <c r="S166" s="1357">
        <v>36225000</v>
      </c>
      <c r="T166" s="1357">
        <f>+Tabla16[[#This Row],[CDPS A 31 JULIO 2022]]-Tabla16[[#This Row],[CDP]]</f>
        <v>0</v>
      </c>
      <c r="U166" s="1357">
        <v>36225000</v>
      </c>
      <c r="V166" s="1357">
        <v>22942500</v>
      </c>
      <c r="W166" s="1357"/>
    </row>
    <row r="167" spans="1:23" s="1207" customFormat="1" ht="45" hidden="1" customHeight="1" x14ac:dyDescent="0.3">
      <c r="A167" s="1355">
        <v>2022167</v>
      </c>
      <c r="B167" s="1172">
        <v>7655</v>
      </c>
      <c r="C167" s="1356" t="s">
        <v>668</v>
      </c>
      <c r="D167" s="1190" t="s">
        <v>695</v>
      </c>
      <c r="E167" s="1174">
        <v>80111600</v>
      </c>
      <c r="F167" s="1379" t="s">
        <v>873</v>
      </c>
      <c r="G167" s="1380">
        <v>44562</v>
      </c>
      <c r="H167" s="1380">
        <v>44592</v>
      </c>
      <c r="I167" s="1176">
        <v>11</v>
      </c>
      <c r="J167" s="1176" t="s">
        <v>673</v>
      </c>
      <c r="K167" s="1177" t="s">
        <v>674</v>
      </c>
      <c r="L167" s="1178" t="s">
        <v>675</v>
      </c>
      <c r="M167" s="1179">
        <v>80036000</v>
      </c>
      <c r="N167" s="1376" t="s">
        <v>783</v>
      </c>
      <c r="O167" s="1174" t="s">
        <v>778</v>
      </c>
      <c r="P167" s="1207" t="s">
        <v>678</v>
      </c>
      <c r="Q167" s="1163"/>
      <c r="R167" s="1269">
        <v>80036000</v>
      </c>
      <c r="S167" s="1357">
        <v>80036000</v>
      </c>
      <c r="T167" s="1357">
        <f>+Tabla16[[#This Row],[CDPS A 31 JULIO 2022]]-Tabla16[[#This Row],[CDP]]</f>
        <v>0</v>
      </c>
      <c r="U167" s="1357">
        <v>80036000</v>
      </c>
      <c r="V167" s="1357">
        <v>32499467</v>
      </c>
      <c r="W167" s="1357"/>
    </row>
    <row r="168" spans="1:23" s="1207" customFormat="1" ht="45" hidden="1" customHeight="1" x14ac:dyDescent="0.3">
      <c r="A168" s="1355">
        <v>2022168</v>
      </c>
      <c r="B168" s="1172">
        <v>7655</v>
      </c>
      <c r="C168" s="1356" t="s">
        <v>668</v>
      </c>
      <c r="D168" s="1190" t="s">
        <v>695</v>
      </c>
      <c r="E168" s="1174">
        <v>80111600</v>
      </c>
      <c r="F168" s="1379" t="s">
        <v>871</v>
      </c>
      <c r="G168" s="1380">
        <v>44562</v>
      </c>
      <c r="H168" s="1380">
        <v>44592</v>
      </c>
      <c r="I168" s="1176">
        <v>10</v>
      </c>
      <c r="J168" s="1176" t="s">
        <v>673</v>
      </c>
      <c r="K168" s="1177" t="s">
        <v>674</v>
      </c>
      <c r="L168" s="1178" t="s">
        <v>675</v>
      </c>
      <c r="M168" s="1179">
        <v>60000000</v>
      </c>
      <c r="N168" s="1376" t="s">
        <v>783</v>
      </c>
      <c r="O168" s="1174" t="s">
        <v>778</v>
      </c>
      <c r="P168" s="1207" t="s">
        <v>678</v>
      </c>
      <c r="Q168" s="1163"/>
      <c r="R168" s="1269">
        <v>60000000</v>
      </c>
      <c r="S168" s="1357">
        <v>60000000</v>
      </c>
      <c r="T168" s="1357">
        <f>+Tabla16[[#This Row],[CDPS A 31 JULIO 2022]]-Tabla16[[#This Row],[CDP]]</f>
        <v>0</v>
      </c>
      <c r="U168" s="1357">
        <v>60000000</v>
      </c>
      <c r="V168" s="1357">
        <v>25400000</v>
      </c>
      <c r="W168" s="1357"/>
    </row>
    <row r="169" spans="1:23" s="1207" customFormat="1" ht="45" hidden="1" customHeight="1" x14ac:dyDescent="0.3">
      <c r="A169" s="1355">
        <v>2022169</v>
      </c>
      <c r="B169" s="1172">
        <v>7655</v>
      </c>
      <c r="C169" s="1356" t="s">
        <v>668</v>
      </c>
      <c r="D169" s="1190" t="s">
        <v>695</v>
      </c>
      <c r="E169" s="1174">
        <v>80111600</v>
      </c>
      <c r="F169" s="1379" t="s">
        <v>869</v>
      </c>
      <c r="G169" s="1380">
        <v>44562</v>
      </c>
      <c r="H169" s="1380">
        <v>44592</v>
      </c>
      <c r="I169" s="1176">
        <v>11</v>
      </c>
      <c r="J169" s="1176" t="s">
        <v>673</v>
      </c>
      <c r="K169" s="1177" t="s">
        <v>674</v>
      </c>
      <c r="L169" s="1178" t="s">
        <v>675</v>
      </c>
      <c r="M169" s="1179">
        <f>34155000-11385000-1035000</f>
        <v>21735000</v>
      </c>
      <c r="N169" s="1376" t="s">
        <v>783</v>
      </c>
      <c r="O169" s="1174" t="s">
        <v>778</v>
      </c>
      <c r="P169" s="1207" t="s">
        <v>678</v>
      </c>
      <c r="Q169" s="1163"/>
      <c r="R169" s="1269">
        <v>36850000</v>
      </c>
      <c r="S169" s="1357">
        <v>36850000</v>
      </c>
      <c r="T169" s="1357">
        <f>+Tabla16[[#This Row],[CDPS A 31 JULIO 2022]]-Tabla16[[#This Row],[CDP]]</f>
        <v>0</v>
      </c>
      <c r="U169" s="1357">
        <v>36850000</v>
      </c>
      <c r="V169" s="1357">
        <v>14181667</v>
      </c>
      <c r="W169" s="1357"/>
    </row>
    <row r="170" spans="1:23" s="1207" customFormat="1" ht="45" hidden="1" customHeight="1" x14ac:dyDescent="0.3">
      <c r="A170" s="1355">
        <v>2022170</v>
      </c>
      <c r="B170" s="1172">
        <v>7655</v>
      </c>
      <c r="C170" s="1356" t="s">
        <v>668</v>
      </c>
      <c r="D170" s="1190" t="s">
        <v>695</v>
      </c>
      <c r="E170" s="1174">
        <v>80111600</v>
      </c>
      <c r="F170" s="1379" t="s">
        <v>872</v>
      </c>
      <c r="G170" s="1380">
        <v>44562</v>
      </c>
      <c r="H170" s="1380">
        <v>44592</v>
      </c>
      <c r="I170" s="1176">
        <v>6</v>
      </c>
      <c r="J170" s="1176" t="s">
        <v>673</v>
      </c>
      <c r="K170" s="1177" t="s">
        <v>674</v>
      </c>
      <c r="L170" s="1178" t="s">
        <v>675</v>
      </c>
      <c r="M170" s="1179">
        <v>26082000</v>
      </c>
      <c r="N170" s="1376" t="s">
        <v>783</v>
      </c>
      <c r="O170" s="1174" t="s">
        <v>778</v>
      </c>
      <c r="P170" s="1207" t="s">
        <v>678</v>
      </c>
      <c r="Q170" s="1163"/>
      <c r="R170" s="1269">
        <v>26082000</v>
      </c>
      <c r="S170" s="1357">
        <v>26082000</v>
      </c>
      <c r="T170" s="1357">
        <f>+Tabla16[[#This Row],[CDPS A 31 JULIO 2022]]-Tabla16[[#This Row],[CDP]]</f>
        <v>0</v>
      </c>
      <c r="U170" s="1357">
        <v>26082000</v>
      </c>
      <c r="V170" s="1357">
        <v>18257400</v>
      </c>
      <c r="W170" s="1357"/>
    </row>
    <row r="171" spans="1:23" s="1207" customFormat="1" ht="45" hidden="1" customHeight="1" x14ac:dyDescent="0.3">
      <c r="A171" s="1355">
        <v>2022171</v>
      </c>
      <c r="B171" s="1172">
        <v>7655</v>
      </c>
      <c r="C171" s="1356" t="s">
        <v>668</v>
      </c>
      <c r="D171" s="1190" t="s">
        <v>695</v>
      </c>
      <c r="E171" s="1174">
        <v>80111600</v>
      </c>
      <c r="F171" s="1379" t="s">
        <v>874</v>
      </c>
      <c r="G171" s="1380">
        <v>44562</v>
      </c>
      <c r="H171" s="1380">
        <v>44592</v>
      </c>
      <c r="I171" s="1176">
        <v>7</v>
      </c>
      <c r="J171" s="1176" t="s">
        <v>673</v>
      </c>
      <c r="K171" s="1177" t="s">
        <v>674</v>
      </c>
      <c r="L171" s="1178" t="s">
        <v>675</v>
      </c>
      <c r="M171" s="1179">
        <v>36225000</v>
      </c>
      <c r="N171" s="1376" t="s">
        <v>783</v>
      </c>
      <c r="O171" s="1174" t="s">
        <v>778</v>
      </c>
      <c r="P171" s="1207" t="s">
        <v>678</v>
      </c>
      <c r="Q171" s="1163"/>
      <c r="R171" s="1269">
        <v>36225000</v>
      </c>
      <c r="S171" s="1357">
        <v>36225000</v>
      </c>
      <c r="T171" s="1357">
        <f>+Tabla16[[#This Row],[CDPS A 31 JULIO 2022]]-Tabla16[[#This Row],[CDP]]</f>
        <v>0</v>
      </c>
      <c r="U171" s="1357">
        <v>36225000</v>
      </c>
      <c r="V171" s="1357">
        <v>18975000</v>
      </c>
      <c r="W171" s="1357"/>
    </row>
    <row r="172" spans="1:23" s="1207" customFormat="1" ht="45" hidden="1" customHeight="1" x14ac:dyDescent="0.3">
      <c r="A172" s="1355">
        <v>2022172</v>
      </c>
      <c r="B172" s="1172">
        <v>7655</v>
      </c>
      <c r="C172" s="1356" t="s">
        <v>668</v>
      </c>
      <c r="D172" s="1190" t="s">
        <v>695</v>
      </c>
      <c r="E172" s="1174">
        <v>80111600</v>
      </c>
      <c r="F172" s="1379" t="s">
        <v>871</v>
      </c>
      <c r="G172" s="1380">
        <v>44562</v>
      </c>
      <c r="H172" s="1380">
        <v>44592</v>
      </c>
      <c r="I172" s="1176">
        <v>7</v>
      </c>
      <c r="J172" s="1176" t="s">
        <v>673</v>
      </c>
      <c r="K172" s="1177" t="s">
        <v>674</v>
      </c>
      <c r="L172" s="1178" t="s">
        <v>675</v>
      </c>
      <c r="M172" s="1179">
        <v>36225000</v>
      </c>
      <c r="N172" s="1376" t="s">
        <v>783</v>
      </c>
      <c r="O172" s="1174" t="s">
        <v>778</v>
      </c>
      <c r="P172" s="1207" t="s">
        <v>678</v>
      </c>
      <c r="Q172" s="1163"/>
      <c r="R172" s="1269">
        <v>36225000</v>
      </c>
      <c r="S172" s="1357">
        <v>36225000</v>
      </c>
      <c r="T172" s="1357">
        <f>+Tabla16[[#This Row],[CDPS A 31 JULIO 2022]]-Tabla16[[#This Row],[CDP]]</f>
        <v>0</v>
      </c>
      <c r="U172" s="1357">
        <v>36225000</v>
      </c>
      <c r="V172" s="1357">
        <v>20700000</v>
      </c>
      <c r="W172" s="1357"/>
    </row>
    <row r="173" spans="1:23" s="1207" customFormat="1" ht="45" hidden="1" customHeight="1" x14ac:dyDescent="0.3">
      <c r="A173" s="1355">
        <v>2022173</v>
      </c>
      <c r="B173" s="1172">
        <v>7655</v>
      </c>
      <c r="C173" s="1356" t="s">
        <v>668</v>
      </c>
      <c r="D173" s="1190" t="s">
        <v>695</v>
      </c>
      <c r="E173" s="1174">
        <v>80111600</v>
      </c>
      <c r="F173" s="1379" t="s">
        <v>875</v>
      </c>
      <c r="G173" s="1380">
        <v>44562</v>
      </c>
      <c r="H173" s="1380">
        <v>44592</v>
      </c>
      <c r="I173" s="1176">
        <v>6</v>
      </c>
      <c r="J173" s="1176" t="s">
        <v>673</v>
      </c>
      <c r="K173" s="1177" t="s">
        <v>674</v>
      </c>
      <c r="L173" s="1178" t="s">
        <v>675</v>
      </c>
      <c r="M173" s="1179">
        <f>12000000-1800000</f>
        <v>10200000</v>
      </c>
      <c r="N173" s="1376" t="s">
        <v>783</v>
      </c>
      <c r="O173" s="1174" t="s">
        <v>778</v>
      </c>
      <c r="P173" s="1207" t="s">
        <v>678</v>
      </c>
      <c r="Q173" s="1163"/>
      <c r="R173" s="1269">
        <v>10200000</v>
      </c>
      <c r="S173" s="1357">
        <v>10200000</v>
      </c>
      <c r="T173" s="1357">
        <f>+Tabla16[[#This Row],[CDPS A 31 JULIO 2022]]-Tabla16[[#This Row],[CDP]]</f>
        <v>0</v>
      </c>
      <c r="U173" s="1357">
        <v>10200000</v>
      </c>
      <c r="V173" s="1357">
        <v>6800000</v>
      </c>
      <c r="W173" s="1357"/>
    </row>
    <row r="174" spans="1:23" s="1207" customFormat="1" ht="45" customHeight="1" x14ac:dyDescent="0.3">
      <c r="A174" s="1398">
        <v>2022174</v>
      </c>
      <c r="B174" s="1399">
        <v>7655</v>
      </c>
      <c r="C174" s="1400" t="s">
        <v>668</v>
      </c>
      <c r="D174" s="1401" t="s">
        <v>695</v>
      </c>
      <c r="E174" s="1402">
        <v>80111600</v>
      </c>
      <c r="F174" s="1403" t="s">
        <v>876</v>
      </c>
      <c r="G174" s="1404">
        <v>44562</v>
      </c>
      <c r="H174" s="1404">
        <v>44773</v>
      </c>
      <c r="I174" s="1405">
        <v>5</v>
      </c>
      <c r="J174" s="1405" t="s">
        <v>673</v>
      </c>
      <c r="K174" s="1406" t="s">
        <v>674</v>
      </c>
      <c r="L174" s="1407" t="s">
        <v>675</v>
      </c>
      <c r="M174" s="1408">
        <f>282051000-25000000-7350000-17388000-6800000+1407535-15940000-7350000-10798333-5100000-29200000-16560000-18457500-10143000-20400000-18112500-17325000+11200000+2587500+5100000-550000-20700000-6520500+17325000+10200000+13041000+13282500+10200000+1035000+43826667+21324000+1800000+5100000-12916800-14055300-20010000-15007500-15750633-14055300-7700000-10867500-6520500-17850000-16509700-13400000</f>
        <v>21142136</v>
      </c>
      <c r="N174" s="1409" t="s">
        <v>783</v>
      </c>
      <c r="O174" s="1402" t="s">
        <v>778</v>
      </c>
      <c r="P174" s="1420" t="s">
        <v>678</v>
      </c>
      <c r="Q174" s="1163"/>
      <c r="R174" s="1269">
        <v>0</v>
      </c>
      <c r="S174" s="1357"/>
      <c r="T174" s="1357">
        <f>+Tabla16[[#This Row],[CDPS A 31 JULIO 2022]]-Tabla16[[#This Row],[CDP]]</f>
        <v>0</v>
      </c>
      <c r="U174" s="1357"/>
      <c r="V174" s="1357"/>
      <c r="W174" s="1357"/>
    </row>
    <row r="175" spans="1:23" s="1207" customFormat="1" ht="45" hidden="1" customHeight="1" x14ac:dyDescent="0.3">
      <c r="A175" s="1355">
        <v>2022175</v>
      </c>
      <c r="B175" s="1172">
        <v>7655</v>
      </c>
      <c r="C175" s="1356" t="s">
        <v>668</v>
      </c>
      <c r="D175" s="1190" t="s">
        <v>701</v>
      </c>
      <c r="E175" s="1174">
        <v>80111600</v>
      </c>
      <c r="F175" s="1379" t="s">
        <v>877</v>
      </c>
      <c r="G175" s="1380">
        <v>44747</v>
      </c>
      <c r="H175" s="1380">
        <v>44774</v>
      </c>
      <c r="I175" s="1176">
        <v>6</v>
      </c>
      <c r="J175" s="1176" t="s">
        <v>673</v>
      </c>
      <c r="K175" s="1177" t="s">
        <v>674</v>
      </c>
      <c r="L175" s="1178" t="s">
        <v>675</v>
      </c>
      <c r="M175" s="1179">
        <f>1000000000-61500000</f>
        <v>938500000</v>
      </c>
      <c r="N175" s="1376" t="s">
        <v>790</v>
      </c>
      <c r="O175" s="1174" t="s">
        <v>778</v>
      </c>
      <c r="P175" s="1207" t="s">
        <v>678</v>
      </c>
      <c r="Q175" s="1163"/>
      <c r="R175" s="1269">
        <v>0</v>
      </c>
      <c r="S175" s="1357"/>
      <c r="T175" s="1357">
        <f>+Tabla16[[#This Row],[CDPS A 31 JULIO 2022]]-Tabla16[[#This Row],[CDP]]</f>
        <v>0</v>
      </c>
      <c r="U175" s="1357"/>
      <c r="V175" s="1357"/>
      <c r="W175" s="1357"/>
    </row>
    <row r="176" spans="1:23" s="1207" customFormat="1" ht="45" hidden="1" customHeight="1" x14ac:dyDescent="0.3">
      <c r="A176" s="1355">
        <v>2022176</v>
      </c>
      <c r="B176" s="1172">
        <v>7655</v>
      </c>
      <c r="C176" s="1356" t="s">
        <v>668</v>
      </c>
      <c r="D176" s="1190" t="s">
        <v>701</v>
      </c>
      <c r="E176" s="1174">
        <v>80111600</v>
      </c>
      <c r="F176" s="1379" t="s">
        <v>878</v>
      </c>
      <c r="G176" s="1380">
        <v>44747</v>
      </c>
      <c r="H176" s="1380">
        <v>44762</v>
      </c>
      <c r="I176" s="1176">
        <v>5.5</v>
      </c>
      <c r="J176" s="1176" t="s">
        <v>673</v>
      </c>
      <c r="K176" s="1177" t="s">
        <v>674</v>
      </c>
      <c r="L176" s="1178" t="s">
        <v>675</v>
      </c>
      <c r="M176" s="1179">
        <f>80500000-42000000+900000+900000+900000+900000+825000+825000+825000+825000+825000+750000+750000+1836000+1200000+1485000+28254000-33075000-8925000-38500000</f>
        <v>0</v>
      </c>
      <c r="N176" s="1427" t="s">
        <v>790</v>
      </c>
      <c r="O176" s="1174" t="s">
        <v>778</v>
      </c>
      <c r="P176" s="1428" t="s">
        <v>678</v>
      </c>
      <c r="Q176" s="1163"/>
      <c r="R176" s="1269">
        <v>38500000</v>
      </c>
      <c r="S176" s="1357"/>
      <c r="T176" s="1357">
        <f>+Tabla16[[#This Row],[CDPS A 31 JULIO 2022]]-Tabla16[[#This Row],[CDP]]</f>
        <v>38500000</v>
      </c>
      <c r="U176" s="1357"/>
      <c r="V176" s="1357"/>
      <c r="W176" s="1357"/>
    </row>
    <row r="177" spans="1:23" s="1207" customFormat="1" ht="45" hidden="1" customHeight="1" x14ac:dyDescent="0.3">
      <c r="A177" s="1355">
        <v>2022177</v>
      </c>
      <c r="B177" s="1172">
        <v>7655</v>
      </c>
      <c r="C177" s="1356" t="s">
        <v>668</v>
      </c>
      <c r="D177" s="1190" t="s">
        <v>698</v>
      </c>
      <c r="E177" s="1174">
        <v>80111600</v>
      </c>
      <c r="F177" s="1379" t="s">
        <v>879</v>
      </c>
      <c r="G177" s="1380">
        <v>44562</v>
      </c>
      <c r="H177" s="1380">
        <v>44620</v>
      </c>
      <c r="I177" s="1176">
        <v>11</v>
      </c>
      <c r="J177" s="1176" t="s">
        <v>673</v>
      </c>
      <c r="K177" s="1177" t="s">
        <v>674</v>
      </c>
      <c r="L177" s="1178" t="s">
        <v>675</v>
      </c>
      <c r="M177" s="1179">
        <v>80000000</v>
      </c>
      <c r="N177" s="1376" t="s">
        <v>783</v>
      </c>
      <c r="O177" s="1174" t="s">
        <v>778</v>
      </c>
      <c r="P177" s="1207" t="s">
        <v>678</v>
      </c>
      <c r="Q177" s="1163"/>
      <c r="R177" s="1269">
        <v>62700000</v>
      </c>
      <c r="S177" s="1357">
        <v>62700000</v>
      </c>
      <c r="T177" s="1357">
        <f>+Tabla16[[#This Row],[CDPS A 31 JULIO 2022]]-Tabla16[[#This Row],[CDP]]</f>
        <v>0</v>
      </c>
      <c r="U177" s="1357">
        <v>62700000</v>
      </c>
      <c r="V177" s="1357">
        <v>22990000</v>
      </c>
      <c r="W177" s="1357"/>
    </row>
    <row r="178" spans="1:23" s="1207" customFormat="1" ht="45" customHeight="1" x14ac:dyDescent="0.3">
      <c r="A178" s="1398">
        <v>2022178</v>
      </c>
      <c r="B178" s="1399">
        <v>7655</v>
      </c>
      <c r="C178" s="1400" t="s">
        <v>668</v>
      </c>
      <c r="D178" s="1401" t="s">
        <v>692</v>
      </c>
      <c r="E178" s="1402">
        <v>80111600</v>
      </c>
      <c r="F178" s="1403" t="s">
        <v>880</v>
      </c>
      <c r="G178" s="1404">
        <v>44562</v>
      </c>
      <c r="H178" s="1404">
        <v>44620</v>
      </c>
      <c r="I178" s="1405">
        <v>10</v>
      </c>
      <c r="J178" s="1405" t="s">
        <v>673</v>
      </c>
      <c r="K178" s="1406" t="s">
        <v>674</v>
      </c>
      <c r="L178" s="1407" t="s">
        <v>675</v>
      </c>
      <c r="M178" s="1408">
        <f>80000000+10000000</f>
        <v>90000000</v>
      </c>
      <c r="N178" s="1409" t="s">
        <v>783</v>
      </c>
      <c r="O178" s="1402" t="s">
        <v>778</v>
      </c>
      <c r="P178" s="1410" t="s">
        <v>678</v>
      </c>
      <c r="Q178" s="1163"/>
      <c r="R178" s="1269">
        <v>80000000</v>
      </c>
      <c r="S178" s="1357">
        <v>80000000</v>
      </c>
      <c r="T178" s="1357">
        <f>+Tabla16[[#This Row],[CDPS A 31 JULIO 2022]]-Tabla16[[#This Row],[CDP]]</f>
        <v>0</v>
      </c>
      <c r="U178" s="1357">
        <v>80000000</v>
      </c>
      <c r="V178" s="1357">
        <v>35733333</v>
      </c>
      <c r="W178" s="1357"/>
    </row>
    <row r="179" spans="1:23" s="1207" customFormat="1" ht="45" hidden="1" customHeight="1" x14ac:dyDescent="0.3">
      <c r="A179" s="1355">
        <v>2022179</v>
      </c>
      <c r="B179" s="1172">
        <v>7655</v>
      </c>
      <c r="C179" s="1356" t="s">
        <v>668</v>
      </c>
      <c r="D179" s="1190" t="s">
        <v>686</v>
      </c>
      <c r="E179" s="1174">
        <v>80111600</v>
      </c>
      <c r="F179" s="1379" t="s">
        <v>881</v>
      </c>
      <c r="G179" s="1380">
        <v>44562</v>
      </c>
      <c r="H179" s="1380">
        <v>44592</v>
      </c>
      <c r="I179" s="1176">
        <v>12</v>
      </c>
      <c r="J179" s="1176" t="s">
        <v>673</v>
      </c>
      <c r="K179" s="1177" t="s">
        <v>674</v>
      </c>
      <c r="L179" s="1178" t="s">
        <v>675</v>
      </c>
      <c r="M179" s="1179">
        <f>39371000-13123664</f>
        <v>26247336</v>
      </c>
      <c r="N179" s="1376" t="s">
        <v>783</v>
      </c>
      <c r="O179" s="1174" t="s">
        <v>778</v>
      </c>
      <c r="P179" s="1207" t="s">
        <v>678</v>
      </c>
      <c r="Q179" s="1163"/>
      <c r="R179" s="1269">
        <v>26247328</v>
      </c>
      <c r="S179" s="1357">
        <v>26247328</v>
      </c>
      <c r="T179" s="1357">
        <f>+Tabla16[[#This Row],[CDPS A 31 JULIO 2022]]-Tabla16[[#This Row],[CDP]]</f>
        <v>0</v>
      </c>
      <c r="U179" s="1357">
        <v>26247328</v>
      </c>
      <c r="V179" s="1357">
        <v>14545394</v>
      </c>
      <c r="W179" s="1357"/>
    </row>
    <row r="180" spans="1:23" s="1207" customFormat="1" ht="45" hidden="1" customHeight="1" x14ac:dyDescent="0.3">
      <c r="A180" s="1355">
        <v>2022180</v>
      </c>
      <c r="B180" s="1172">
        <v>7655</v>
      </c>
      <c r="C180" s="1356" t="s">
        <v>668</v>
      </c>
      <c r="D180" s="1190" t="s">
        <v>686</v>
      </c>
      <c r="E180" s="1174">
        <v>80111600</v>
      </c>
      <c r="F180" s="1379" t="s">
        <v>882</v>
      </c>
      <c r="G180" s="1380">
        <v>44562</v>
      </c>
      <c r="H180" s="1380">
        <v>44592</v>
      </c>
      <c r="I180" s="1176">
        <v>12</v>
      </c>
      <c r="J180" s="1176" t="s">
        <v>673</v>
      </c>
      <c r="K180" s="1177" t="s">
        <v>674</v>
      </c>
      <c r="L180" s="1178" t="s">
        <v>675</v>
      </c>
      <c r="M180" s="1179">
        <f>45697000-15232332</f>
        <v>30464668</v>
      </c>
      <c r="N180" s="1376" t="s">
        <v>783</v>
      </c>
      <c r="O180" s="1174" t="s">
        <v>778</v>
      </c>
      <c r="P180" s="1207" t="s">
        <v>678</v>
      </c>
      <c r="Q180" s="1163"/>
      <c r="R180" s="1269">
        <v>30464664</v>
      </c>
      <c r="S180" s="1357">
        <v>30464664</v>
      </c>
      <c r="T180" s="1357">
        <f>+Tabla16[[#This Row],[CDPS A 31 JULIO 2022]]-Tabla16[[#This Row],[CDP]]</f>
        <v>0</v>
      </c>
      <c r="U180" s="1357">
        <v>30464664</v>
      </c>
      <c r="V180" s="1357">
        <v>16882501</v>
      </c>
      <c r="W180" s="1357"/>
    </row>
    <row r="181" spans="1:23" s="1207" customFormat="1" ht="45" hidden="1" customHeight="1" x14ac:dyDescent="0.3">
      <c r="A181" s="1355">
        <v>2022181</v>
      </c>
      <c r="B181" s="1172">
        <v>7655</v>
      </c>
      <c r="C181" s="1356" t="s">
        <v>668</v>
      </c>
      <c r="D181" s="1190" t="s">
        <v>686</v>
      </c>
      <c r="E181" s="1174">
        <v>80111600</v>
      </c>
      <c r="F181" s="1379" t="s">
        <v>882</v>
      </c>
      <c r="G181" s="1380">
        <v>44562</v>
      </c>
      <c r="H181" s="1380">
        <v>44592</v>
      </c>
      <c r="I181" s="1176">
        <v>12</v>
      </c>
      <c r="J181" s="1176" t="s">
        <v>673</v>
      </c>
      <c r="K181" s="1177" t="s">
        <v>674</v>
      </c>
      <c r="L181" s="1178" t="s">
        <v>675</v>
      </c>
      <c r="M181" s="1179">
        <f>79351000-26450332</f>
        <v>52900668</v>
      </c>
      <c r="N181" s="1376" t="s">
        <v>783</v>
      </c>
      <c r="O181" s="1174" t="s">
        <v>778</v>
      </c>
      <c r="P181" s="1207" t="s">
        <v>678</v>
      </c>
      <c r="Q181" s="1163"/>
      <c r="R181" s="1269">
        <v>52900664</v>
      </c>
      <c r="S181" s="1357">
        <v>52900664</v>
      </c>
      <c r="T181" s="1357">
        <f>+Tabla16[[#This Row],[CDPS A 31 JULIO 2022]]-Tabla16[[#This Row],[CDP]]</f>
        <v>0</v>
      </c>
      <c r="U181" s="1357">
        <v>52900664</v>
      </c>
      <c r="V181" s="1357">
        <v>29315785</v>
      </c>
      <c r="W181" s="1357"/>
    </row>
    <row r="182" spans="1:23" s="1207" customFormat="1" ht="45" hidden="1" customHeight="1" x14ac:dyDescent="0.3">
      <c r="A182" s="1355">
        <v>2022182</v>
      </c>
      <c r="B182" s="1172">
        <v>7655</v>
      </c>
      <c r="C182" s="1356" t="s">
        <v>668</v>
      </c>
      <c r="D182" s="1190" t="s">
        <v>686</v>
      </c>
      <c r="E182" s="1174">
        <v>80111600</v>
      </c>
      <c r="F182" s="1379" t="s">
        <v>882</v>
      </c>
      <c r="G182" s="1380">
        <v>44562</v>
      </c>
      <c r="H182" s="1380">
        <v>44592</v>
      </c>
      <c r="I182" s="1176">
        <v>12</v>
      </c>
      <c r="J182" s="1176" t="s">
        <v>673</v>
      </c>
      <c r="K182" s="1177" t="s">
        <v>674</v>
      </c>
      <c r="L182" s="1178" t="s">
        <v>675</v>
      </c>
      <c r="M182" s="1179">
        <f>79351000-22482782</f>
        <v>56868218</v>
      </c>
      <c r="N182" s="1376" t="s">
        <v>783</v>
      </c>
      <c r="O182" s="1174" t="s">
        <v>778</v>
      </c>
      <c r="P182" s="1207" t="s">
        <v>678</v>
      </c>
      <c r="Q182" s="1163"/>
      <c r="R182" s="1269">
        <v>52900664</v>
      </c>
      <c r="S182" s="1357">
        <v>52900664</v>
      </c>
      <c r="T182" s="1357">
        <f>+Tabla16[[#This Row],[CDPS A 31 JULIO 2022]]-Tabla16[[#This Row],[CDP]]</f>
        <v>0</v>
      </c>
      <c r="U182" s="1357">
        <v>52900664</v>
      </c>
      <c r="V182" s="1357">
        <v>29315785</v>
      </c>
      <c r="W182" s="1357"/>
    </row>
    <row r="183" spans="1:23" s="1207" customFormat="1" ht="45" hidden="1" customHeight="1" x14ac:dyDescent="0.3">
      <c r="A183" s="1355">
        <v>2022183</v>
      </c>
      <c r="B183" s="1172">
        <v>7655</v>
      </c>
      <c r="C183" s="1356" t="s">
        <v>668</v>
      </c>
      <c r="D183" s="1190" t="s">
        <v>686</v>
      </c>
      <c r="E183" s="1174">
        <v>80111600</v>
      </c>
      <c r="F183" s="1379" t="s">
        <v>882</v>
      </c>
      <c r="G183" s="1380">
        <v>44562</v>
      </c>
      <c r="H183" s="1380">
        <v>44592</v>
      </c>
      <c r="I183" s="1176">
        <v>12</v>
      </c>
      <c r="J183" s="1176" t="s">
        <v>673</v>
      </c>
      <c r="K183" s="1177" t="s">
        <v>674</v>
      </c>
      <c r="L183" s="1178" t="s">
        <v>675</v>
      </c>
      <c r="M183" s="1179">
        <f>79351000-26450332</f>
        <v>52900668</v>
      </c>
      <c r="N183" s="1376" t="s">
        <v>783</v>
      </c>
      <c r="O183" s="1174" t="s">
        <v>778</v>
      </c>
      <c r="P183" s="1207" t="s">
        <v>678</v>
      </c>
      <c r="Q183" s="1163"/>
      <c r="R183" s="1269">
        <v>52900664</v>
      </c>
      <c r="S183" s="1357">
        <v>52900664</v>
      </c>
      <c r="T183" s="1357">
        <f>+Tabla16[[#This Row],[CDPS A 31 JULIO 2022]]-Tabla16[[#This Row],[CDP]]</f>
        <v>0</v>
      </c>
      <c r="U183" s="1357">
        <v>52900664</v>
      </c>
      <c r="V183" s="1357">
        <v>29315785</v>
      </c>
      <c r="W183" s="1357"/>
    </row>
    <row r="184" spans="1:23" s="1207" customFormat="1" ht="45" hidden="1" customHeight="1" x14ac:dyDescent="0.3">
      <c r="A184" s="1355">
        <v>2022184</v>
      </c>
      <c r="B184" s="1172">
        <v>7655</v>
      </c>
      <c r="C184" s="1356" t="s">
        <v>668</v>
      </c>
      <c r="D184" s="1190" t="s">
        <v>682</v>
      </c>
      <c r="E184" s="1174">
        <v>80111600</v>
      </c>
      <c r="F184" s="1379" t="s">
        <v>883</v>
      </c>
      <c r="G184" s="1380">
        <v>44566</v>
      </c>
      <c r="H184" s="1380">
        <v>44568</v>
      </c>
      <c r="I184" s="1176">
        <v>11.5</v>
      </c>
      <c r="J184" s="1176" t="s">
        <v>673</v>
      </c>
      <c r="K184" s="1177" t="s">
        <v>674</v>
      </c>
      <c r="L184" s="1178" t="s">
        <v>782</v>
      </c>
      <c r="M184" s="1179">
        <v>106950000</v>
      </c>
      <c r="N184" s="1376" t="s">
        <v>783</v>
      </c>
      <c r="O184" s="1174" t="s">
        <v>778</v>
      </c>
      <c r="P184" s="1207" t="s">
        <v>678</v>
      </c>
      <c r="Q184" s="1163"/>
      <c r="R184" s="1269">
        <v>106950000</v>
      </c>
      <c r="S184" s="1357">
        <v>106950000</v>
      </c>
      <c r="T184" s="1357">
        <f>+Tabla16[[#This Row],[CDPS A 31 JULIO 2022]]-Tabla16[[#This Row],[CDP]]</f>
        <v>0</v>
      </c>
      <c r="U184" s="1357">
        <v>106950000</v>
      </c>
      <c r="V184" s="1357">
        <v>43400000</v>
      </c>
      <c r="W184" s="1357"/>
    </row>
    <row r="185" spans="1:23" s="1207" customFormat="1" ht="45" hidden="1" customHeight="1" x14ac:dyDescent="0.3">
      <c r="A185" s="1355">
        <v>2022185</v>
      </c>
      <c r="B185" s="1172">
        <v>7655</v>
      </c>
      <c r="C185" s="1356" t="s">
        <v>668</v>
      </c>
      <c r="D185" s="1190" t="s">
        <v>682</v>
      </c>
      <c r="E185" s="1174">
        <v>80111600</v>
      </c>
      <c r="F185" s="1379" t="s">
        <v>884</v>
      </c>
      <c r="G185" s="1380">
        <v>44566</v>
      </c>
      <c r="H185" s="1380">
        <v>44568</v>
      </c>
      <c r="I185" s="1176">
        <v>11.5</v>
      </c>
      <c r="J185" s="1176" t="s">
        <v>673</v>
      </c>
      <c r="K185" s="1177" t="s">
        <v>674</v>
      </c>
      <c r="L185" s="1178" t="s">
        <v>782</v>
      </c>
      <c r="M185" s="1179">
        <v>78200000</v>
      </c>
      <c r="N185" s="1376" t="s">
        <v>783</v>
      </c>
      <c r="O185" s="1174" t="s">
        <v>778</v>
      </c>
      <c r="P185" s="1207" t="s">
        <v>678</v>
      </c>
      <c r="Q185" s="1163"/>
      <c r="R185" s="1269">
        <v>78200000</v>
      </c>
      <c r="S185" s="1357">
        <v>78200000</v>
      </c>
      <c r="T185" s="1357">
        <f>+Tabla16[[#This Row],[CDPS A 31 JULIO 2022]]-Tabla16[[#This Row],[CDP]]</f>
        <v>0</v>
      </c>
      <c r="U185" s="1357">
        <v>78200000</v>
      </c>
      <c r="V185" s="1357">
        <v>27200000</v>
      </c>
      <c r="W185" s="1357"/>
    </row>
    <row r="186" spans="1:23" s="1207" customFormat="1" ht="45" hidden="1" customHeight="1" x14ac:dyDescent="0.3">
      <c r="A186" s="1355">
        <v>2022186</v>
      </c>
      <c r="B186" s="1172">
        <v>7655</v>
      </c>
      <c r="C186" s="1356" t="s">
        <v>668</v>
      </c>
      <c r="D186" s="1190" t="s">
        <v>682</v>
      </c>
      <c r="E186" s="1174">
        <v>80111600</v>
      </c>
      <c r="F186" s="1379" t="s">
        <v>885</v>
      </c>
      <c r="G186" s="1380">
        <v>44566</v>
      </c>
      <c r="H186" s="1380">
        <v>44568</v>
      </c>
      <c r="I186" s="1176">
        <v>11.5</v>
      </c>
      <c r="J186" s="1176" t="s">
        <v>673</v>
      </c>
      <c r="K186" s="1177" t="s">
        <v>674</v>
      </c>
      <c r="L186" s="1178" t="s">
        <v>782</v>
      </c>
      <c r="M186" s="1179">
        <f>92000000+61500000</f>
        <v>153500000</v>
      </c>
      <c r="N186" s="1376" t="s">
        <v>783</v>
      </c>
      <c r="O186" s="1174" t="s">
        <v>778</v>
      </c>
      <c r="P186" s="1207" t="s">
        <v>678</v>
      </c>
      <c r="Q186" s="1163"/>
      <c r="R186" s="1269">
        <v>92000000</v>
      </c>
      <c r="S186" s="1357">
        <v>92000000</v>
      </c>
      <c r="T186" s="1357">
        <f>+Tabla16[[#This Row],[CDPS A 31 JULIO 2022]]-Tabla16[[#This Row],[CDP]]</f>
        <v>0</v>
      </c>
      <c r="U186" s="1357">
        <v>92000000</v>
      </c>
      <c r="V186" s="1357">
        <v>37333333</v>
      </c>
      <c r="W186" s="1357"/>
    </row>
    <row r="187" spans="1:23" s="1207" customFormat="1" ht="45" hidden="1" customHeight="1" x14ac:dyDescent="0.3">
      <c r="A187" s="1355">
        <v>2022187</v>
      </c>
      <c r="B187" s="1172">
        <v>7655</v>
      </c>
      <c r="C187" s="1356" t="s">
        <v>668</v>
      </c>
      <c r="D187" s="1190" t="s">
        <v>682</v>
      </c>
      <c r="E187" s="1174">
        <v>80111600</v>
      </c>
      <c r="F187" s="1379" t="s">
        <v>886</v>
      </c>
      <c r="G187" s="1380">
        <v>44566</v>
      </c>
      <c r="H187" s="1380">
        <v>44568</v>
      </c>
      <c r="I187" s="1176">
        <v>11.5</v>
      </c>
      <c r="J187" s="1176" t="s">
        <v>673</v>
      </c>
      <c r="K187" s="1177" t="s">
        <v>674</v>
      </c>
      <c r="L187" s="1178" t="s">
        <v>675</v>
      </c>
      <c r="M187" s="1179">
        <v>80500000</v>
      </c>
      <c r="N187" s="1376" t="s">
        <v>783</v>
      </c>
      <c r="O187" s="1174" t="s">
        <v>778</v>
      </c>
      <c r="P187" s="1207" t="s">
        <v>678</v>
      </c>
      <c r="Q187" s="1163"/>
      <c r="R187" s="1269">
        <v>80500000</v>
      </c>
      <c r="S187" s="1357">
        <v>80500000</v>
      </c>
      <c r="T187" s="1357">
        <f>+Tabla16[[#This Row],[CDPS A 31 JULIO 2022]]-Tabla16[[#This Row],[CDP]]</f>
        <v>0</v>
      </c>
      <c r="U187" s="1357">
        <v>80500000</v>
      </c>
      <c r="V187" s="1357">
        <v>31966667</v>
      </c>
      <c r="W187" s="1357"/>
    </row>
    <row r="188" spans="1:23" s="1207" customFormat="1" ht="45" hidden="1" customHeight="1" x14ac:dyDescent="0.3">
      <c r="A188" s="1355">
        <v>2022188</v>
      </c>
      <c r="B188" s="1172">
        <v>7655</v>
      </c>
      <c r="C188" s="1356" t="s">
        <v>668</v>
      </c>
      <c r="D188" s="1190" t="s">
        <v>682</v>
      </c>
      <c r="E188" s="1174">
        <v>80111600</v>
      </c>
      <c r="F188" s="1379" t="s">
        <v>887</v>
      </c>
      <c r="G188" s="1380">
        <v>44566</v>
      </c>
      <c r="H188" s="1380">
        <v>44568</v>
      </c>
      <c r="I188" s="1176">
        <v>11.5</v>
      </c>
      <c r="J188" s="1176" t="s">
        <v>673</v>
      </c>
      <c r="K188" s="1177" t="s">
        <v>674</v>
      </c>
      <c r="L188" s="1178" t="s">
        <v>782</v>
      </c>
      <c r="M188" s="1179">
        <v>87975000</v>
      </c>
      <c r="N188" s="1376" t="s">
        <v>783</v>
      </c>
      <c r="O188" s="1174" t="s">
        <v>778</v>
      </c>
      <c r="P188" s="1207" t="s">
        <v>678</v>
      </c>
      <c r="Q188" s="1163"/>
      <c r="R188" s="1269">
        <v>87975000</v>
      </c>
      <c r="S188" s="1357">
        <v>87975000</v>
      </c>
      <c r="T188" s="1357">
        <f>+Tabla16[[#This Row],[CDPS A 31 JULIO 2022]]-Tabla16[[#This Row],[CDP]]</f>
        <v>0</v>
      </c>
      <c r="U188" s="1357">
        <v>87975000</v>
      </c>
      <c r="V188" s="1357">
        <v>35190000</v>
      </c>
      <c r="W188" s="1357"/>
    </row>
    <row r="189" spans="1:23" s="1207" customFormat="1" ht="45" hidden="1" customHeight="1" x14ac:dyDescent="0.3">
      <c r="A189" s="1355">
        <v>2022189</v>
      </c>
      <c r="B189" s="1172">
        <v>7655</v>
      </c>
      <c r="C189" s="1356" t="s">
        <v>668</v>
      </c>
      <c r="D189" s="1190" t="s">
        <v>682</v>
      </c>
      <c r="E189" s="1174">
        <v>80111600</v>
      </c>
      <c r="F189" s="1379" t="s">
        <v>887</v>
      </c>
      <c r="G189" s="1380">
        <v>44566</v>
      </c>
      <c r="H189" s="1380">
        <v>44568</v>
      </c>
      <c r="I189" s="1176">
        <v>11.5</v>
      </c>
      <c r="J189" s="1176" t="s">
        <v>673</v>
      </c>
      <c r="K189" s="1177" t="s">
        <v>674</v>
      </c>
      <c r="L189" s="1178" t="s">
        <v>782</v>
      </c>
      <c r="M189" s="1179">
        <v>87975000</v>
      </c>
      <c r="N189" s="1376" t="s">
        <v>783</v>
      </c>
      <c r="O189" s="1174" t="s">
        <v>778</v>
      </c>
      <c r="P189" s="1207" t="s">
        <v>678</v>
      </c>
      <c r="Q189" s="1163"/>
      <c r="R189" s="1269">
        <v>87975000</v>
      </c>
      <c r="S189" s="1357">
        <v>87975000</v>
      </c>
      <c r="T189" s="1357">
        <f>+Tabla16[[#This Row],[CDPS A 31 JULIO 2022]]-Tabla16[[#This Row],[CDP]]</f>
        <v>0</v>
      </c>
      <c r="U189" s="1357">
        <v>87975000</v>
      </c>
      <c r="V189" s="1357">
        <v>35700000</v>
      </c>
      <c r="W189" s="1357"/>
    </row>
    <row r="190" spans="1:23" s="1207" customFormat="1" ht="45" hidden="1" customHeight="1" x14ac:dyDescent="0.3">
      <c r="A190" s="1355">
        <v>2022190</v>
      </c>
      <c r="B190" s="1172">
        <v>7655</v>
      </c>
      <c r="C190" s="1356" t="s">
        <v>668</v>
      </c>
      <c r="D190" s="1190" t="s">
        <v>682</v>
      </c>
      <c r="E190" s="1174">
        <v>80111600</v>
      </c>
      <c r="F190" s="1379" t="s">
        <v>887</v>
      </c>
      <c r="G190" s="1380">
        <v>44566</v>
      </c>
      <c r="H190" s="1380">
        <v>44568</v>
      </c>
      <c r="I190" s="1176">
        <v>11.5</v>
      </c>
      <c r="J190" s="1176" t="s">
        <v>673</v>
      </c>
      <c r="K190" s="1177" t="s">
        <v>674</v>
      </c>
      <c r="L190" s="1178" t="s">
        <v>782</v>
      </c>
      <c r="M190" s="1179">
        <v>87975000</v>
      </c>
      <c r="N190" s="1376" t="s">
        <v>783</v>
      </c>
      <c r="O190" s="1174" t="s">
        <v>778</v>
      </c>
      <c r="P190" s="1207" t="s">
        <v>678</v>
      </c>
      <c r="Q190" s="1163"/>
      <c r="R190" s="1269">
        <v>87975000</v>
      </c>
      <c r="S190" s="1357">
        <v>87975000</v>
      </c>
      <c r="T190" s="1357">
        <f>+Tabla16[[#This Row],[CDPS A 31 JULIO 2022]]-Tabla16[[#This Row],[CDP]]</f>
        <v>0</v>
      </c>
      <c r="U190" s="1357">
        <v>87975000</v>
      </c>
      <c r="V190" s="1357">
        <v>35700000</v>
      </c>
      <c r="W190" s="1357"/>
    </row>
    <row r="191" spans="1:23" s="1207" customFormat="1" ht="45" hidden="1" customHeight="1" x14ac:dyDescent="0.3">
      <c r="A191" s="1355">
        <v>2022191</v>
      </c>
      <c r="B191" s="1172">
        <v>7655</v>
      </c>
      <c r="C191" s="1356" t="s">
        <v>668</v>
      </c>
      <c r="D191" s="1190" t="s">
        <v>682</v>
      </c>
      <c r="E191" s="1174">
        <v>80111600</v>
      </c>
      <c r="F191" s="1379" t="s">
        <v>887</v>
      </c>
      <c r="G191" s="1380">
        <v>44566</v>
      </c>
      <c r="H191" s="1380">
        <v>44568</v>
      </c>
      <c r="I191" s="1176">
        <v>11.5</v>
      </c>
      <c r="J191" s="1176" t="s">
        <v>673</v>
      </c>
      <c r="K191" s="1177" t="s">
        <v>674</v>
      </c>
      <c r="L191" s="1178" t="s">
        <v>782</v>
      </c>
      <c r="M191" s="1179">
        <v>87975000</v>
      </c>
      <c r="N191" s="1376" t="s">
        <v>783</v>
      </c>
      <c r="O191" s="1174" t="s">
        <v>778</v>
      </c>
      <c r="P191" s="1207" t="s">
        <v>678</v>
      </c>
      <c r="Q191" s="1163"/>
      <c r="R191" s="1269">
        <v>87975000</v>
      </c>
      <c r="S191" s="1357">
        <v>87975000</v>
      </c>
      <c r="T191" s="1357">
        <f>+Tabla16[[#This Row],[CDPS A 31 JULIO 2022]]-Tabla16[[#This Row],[CDP]]</f>
        <v>0</v>
      </c>
      <c r="U191" s="1357">
        <v>87975000</v>
      </c>
      <c r="V191" s="1357">
        <v>35190000</v>
      </c>
      <c r="W191" s="1357"/>
    </row>
    <row r="192" spans="1:23" s="1207" customFormat="1" ht="45" hidden="1" customHeight="1" x14ac:dyDescent="0.3">
      <c r="A192" s="1355">
        <v>2022192</v>
      </c>
      <c r="B192" s="1172">
        <v>7655</v>
      </c>
      <c r="C192" s="1356" t="s">
        <v>668</v>
      </c>
      <c r="D192" s="1190" t="s">
        <v>682</v>
      </c>
      <c r="E192" s="1174">
        <v>80111600</v>
      </c>
      <c r="F192" s="1379" t="s">
        <v>887</v>
      </c>
      <c r="G192" s="1380">
        <v>44566</v>
      </c>
      <c r="H192" s="1380">
        <v>44568</v>
      </c>
      <c r="I192" s="1176">
        <v>11.5</v>
      </c>
      <c r="J192" s="1176" t="s">
        <v>673</v>
      </c>
      <c r="K192" s="1177" t="s">
        <v>674</v>
      </c>
      <c r="L192" s="1178" t="s">
        <v>782</v>
      </c>
      <c r="M192" s="1179">
        <v>87975000</v>
      </c>
      <c r="N192" s="1376" t="s">
        <v>783</v>
      </c>
      <c r="O192" s="1174" t="s">
        <v>778</v>
      </c>
      <c r="P192" s="1207" t="s">
        <v>678</v>
      </c>
      <c r="Q192" s="1163"/>
      <c r="R192" s="1269">
        <v>87975000</v>
      </c>
      <c r="S192" s="1357">
        <v>87975000</v>
      </c>
      <c r="T192" s="1357">
        <f>+Tabla16[[#This Row],[CDPS A 31 JULIO 2022]]-Tabla16[[#This Row],[CDP]]</f>
        <v>0</v>
      </c>
      <c r="U192" s="1357">
        <v>87975000</v>
      </c>
      <c r="V192" s="1357">
        <v>33660000</v>
      </c>
      <c r="W192" s="1357"/>
    </row>
    <row r="193" spans="1:23" s="1207" customFormat="1" ht="45" hidden="1" customHeight="1" x14ac:dyDescent="0.3">
      <c r="A193" s="1355">
        <v>2022193</v>
      </c>
      <c r="B193" s="1172">
        <v>7655</v>
      </c>
      <c r="C193" s="1356" t="s">
        <v>668</v>
      </c>
      <c r="D193" s="1190" t="s">
        <v>682</v>
      </c>
      <c r="E193" s="1174">
        <v>80111600</v>
      </c>
      <c r="F193" s="1379" t="s">
        <v>887</v>
      </c>
      <c r="G193" s="1380">
        <v>44566</v>
      </c>
      <c r="H193" s="1380">
        <v>44568</v>
      </c>
      <c r="I193" s="1176">
        <v>11.5</v>
      </c>
      <c r="J193" s="1176" t="s">
        <v>673</v>
      </c>
      <c r="K193" s="1177" t="s">
        <v>674</v>
      </c>
      <c r="L193" s="1178" t="s">
        <v>782</v>
      </c>
      <c r="M193" s="1179">
        <v>87975000</v>
      </c>
      <c r="N193" s="1376" t="s">
        <v>783</v>
      </c>
      <c r="O193" s="1174" t="s">
        <v>778</v>
      </c>
      <c r="P193" s="1207" t="s">
        <v>678</v>
      </c>
      <c r="Q193" s="1163"/>
      <c r="R193" s="1269">
        <v>87975000</v>
      </c>
      <c r="S193" s="1357">
        <v>87975000</v>
      </c>
      <c r="T193" s="1357">
        <f>+Tabla16[[#This Row],[CDPS A 31 JULIO 2022]]-Tabla16[[#This Row],[CDP]]</f>
        <v>0</v>
      </c>
      <c r="U193" s="1357">
        <v>87975000</v>
      </c>
      <c r="V193" s="1357">
        <v>35700000</v>
      </c>
      <c r="W193" s="1357"/>
    </row>
    <row r="194" spans="1:23" s="1207" customFormat="1" ht="45" hidden="1" customHeight="1" x14ac:dyDescent="0.3">
      <c r="A194" s="1355">
        <v>2022194</v>
      </c>
      <c r="B194" s="1172">
        <v>7655</v>
      </c>
      <c r="C194" s="1356" t="s">
        <v>668</v>
      </c>
      <c r="D194" s="1190" t="s">
        <v>682</v>
      </c>
      <c r="E194" s="1174">
        <v>80111600</v>
      </c>
      <c r="F194" s="1379" t="s">
        <v>888</v>
      </c>
      <c r="G194" s="1380">
        <v>44566</v>
      </c>
      <c r="H194" s="1380">
        <v>44568</v>
      </c>
      <c r="I194" s="1176">
        <v>11.5</v>
      </c>
      <c r="J194" s="1176" t="s">
        <v>673</v>
      </c>
      <c r="K194" s="1177" t="s">
        <v>674</v>
      </c>
      <c r="L194" s="1178" t="s">
        <v>782</v>
      </c>
      <c r="M194" s="1179">
        <v>42642000</v>
      </c>
      <c r="N194" s="1376" t="s">
        <v>783</v>
      </c>
      <c r="O194" s="1174" t="s">
        <v>778</v>
      </c>
      <c r="P194" s="1207" t="s">
        <v>678</v>
      </c>
      <c r="Q194" s="1163"/>
      <c r="R194" s="1269">
        <v>42642000</v>
      </c>
      <c r="S194" s="1357">
        <v>42642000</v>
      </c>
      <c r="T194" s="1357">
        <f>+Tabla16[[#This Row],[CDPS A 31 JULIO 2022]]-Tabla16[[#This Row],[CDP]]</f>
        <v>0</v>
      </c>
      <c r="U194" s="1357">
        <v>42642000</v>
      </c>
      <c r="V194" s="1357">
        <v>17180400</v>
      </c>
      <c r="W194" s="1357"/>
    </row>
    <row r="195" spans="1:23" s="1207" customFormat="1" ht="45" hidden="1" customHeight="1" x14ac:dyDescent="0.3">
      <c r="A195" s="1355">
        <v>2022195</v>
      </c>
      <c r="B195" s="1172">
        <v>7655</v>
      </c>
      <c r="C195" s="1356" t="s">
        <v>668</v>
      </c>
      <c r="D195" s="1190" t="s">
        <v>682</v>
      </c>
      <c r="E195" s="1174">
        <v>80111600</v>
      </c>
      <c r="F195" s="1379" t="s">
        <v>888</v>
      </c>
      <c r="G195" s="1380">
        <v>44566</v>
      </c>
      <c r="H195" s="1380">
        <v>44568</v>
      </c>
      <c r="I195" s="1176">
        <v>11.5</v>
      </c>
      <c r="J195" s="1176" t="s">
        <v>673</v>
      </c>
      <c r="K195" s="1177" t="s">
        <v>674</v>
      </c>
      <c r="L195" s="1178" t="s">
        <v>782</v>
      </c>
      <c r="M195" s="1179">
        <v>42642000</v>
      </c>
      <c r="N195" s="1376" t="s">
        <v>783</v>
      </c>
      <c r="O195" s="1174" t="s">
        <v>778</v>
      </c>
      <c r="P195" s="1207" t="s">
        <v>678</v>
      </c>
      <c r="Q195" s="1163"/>
      <c r="R195" s="1269">
        <v>42642000</v>
      </c>
      <c r="S195" s="1357">
        <v>42642000</v>
      </c>
      <c r="T195" s="1357">
        <f>+Tabla16[[#This Row],[CDPS A 31 JULIO 2022]]-Tabla16[[#This Row],[CDP]]</f>
        <v>0</v>
      </c>
      <c r="U195" s="1357">
        <v>42642000</v>
      </c>
      <c r="V195" s="1357">
        <v>17180400</v>
      </c>
      <c r="W195" s="1357"/>
    </row>
    <row r="196" spans="1:23" s="1207" customFormat="1" ht="45" hidden="1" customHeight="1" x14ac:dyDescent="0.3">
      <c r="A196" s="1355">
        <v>2022196</v>
      </c>
      <c r="B196" s="1172">
        <v>7655</v>
      </c>
      <c r="C196" s="1356" t="s">
        <v>668</v>
      </c>
      <c r="D196" s="1190" t="s">
        <v>682</v>
      </c>
      <c r="E196" s="1174">
        <v>80111600</v>
      </c>
      <c r="F196" s="1379" t="s">
        <v>887</v>
      </c>
      <c r="G196" s="1380">
        <v>44566</v>
      </c>
      <c r="H196" s="1380">
        <v>44568</v>
      </c>
      <c r="I196" s="1176">
        <v>9.3000000000000007</v>
      </c>
      <c r="J196" s="1176" t="s">
        <v>673</v>
      </c>
      <c r="K196" s="1177" t="s">
        <v>674</v>
      </c>
      <c r="L196" s="1178" t="s">
        <v>782</v>
      </c>
      <c r="M196" s="1179">
        <f>71103000-213000</f>
        <v>70890000</v>
      </c>
      <c r="N196" s="1376" t="s">
        <v>783</v>
      </c>
      <c r="O196" s="1174" t="s">
        <v>778</v>
      </c>
      <c r="P196" s="1207" t="s">
        <v>678</v>
      </c>
      <c r="Q196" s="1163"/>
      <c r="R196" s="1269">
        <v>70890000</v>
      </c>
      <c r="S196" s="1357">
        <v>70890000</v>
      </c>
      <c r="T196" s="1357">
        <f>+Tabla16[[#This Row],[CDPS A 31 JULIO 2022]]-Tabla16[[#This Row],[CDP]]</f>
        <v>0</v>
      </c>
      <c r="U196" s="1357">
        <v>70890000</v>
      </c>
      <c r="V196" s="1357">
        <v>33915000</v>
      </c>
      <c r="W196" s="1357"/>
    </row>
    <row r="197" spans="1:23" s="1207" customFormat="1" ht="45" hidden="1" customHeight="1" x14ac:dyDescent="0.3">
      <c r="A197" s="1355">
        <v>2022197</v>
      </c>
      <c r="B197" s="1172">
        <v>7655</v>
      </c>
      <c r="C197" s="1356" t="s">
        <v>668</v>
      </c>
      <c r="D197" s="1190" t="s">
        <v>682</v>
      </c>
      <c r="E197" s="1174">
        <v>80111600</v>
      </c>
      <c r="F197" s="1379" t="s">
        <v>889</v>
      </c>
      <c r="G197" s="1380">
        <v>44566</v>
      </c>
      <c r="H197" s="1380">
        <v>44568</v>
      </c>
      <c r="I197" s="1176">
        <v>11.5</v>
      </c>
      <c r="J197" s="1176" t="s">
        <v>673</v>
      </c>
      <c r="K197" s="1177" t="s">
        <v>674</v>
      </c>
      <c r="L197" s="1178" t="s">
        <v>782</v>
      </c>
      <c r="M197" s="1179">
        <v>61295000</v>
      </c>
      <c r="N197" s="1376" t="s">
        <v>783</v>
      </c>
      <c r="O197" s="1174" t="s">
        <v>778</v>
      </c>
      <c r="P197" s="1207" t="s">
        <v>678</v>
      </c>
      <c r="Q197" s="1163"/>
      <c r="R197" s="1269">
        <v>61295000</v>
      </c>
      <c r="S197" s="1357">
        <v>61295000</v>
      </c>
      <c r="T197" s="1357">
        <f>+Tabla16[[#This Row],[CDPS A 31 JULIO 2022]]-Tabla16[[#This Row],[CDP]]</f>
        <v>0</v>
      </c>
      <c r="U197" s="1357">
        <v>61295000</v>
      </c>
      <c r="V197" s="1357">
        <v>24873333</v>
      </c>
      <c r="W197" s="1357"/>
    </row>
    <row r="198" spans="1:23" s="1207" customFormat="1" ht="45" hidden="1" customHeight="1" x14ac:dyDescent="0.3">
      <c r="A198" s="1355">
        <v>2022198</v>
      </c>
      <c r="B198" s="1172">
        <v>7655</v>
      </c>
      <c r="C198" s="1356" t="s">
        <v>668</v>
      </c>
      <c r="D198" s="1190" t="s">
        <v>682</v>
      </c>
      <c r="E198" s="1174">
        <v>80111600</v>
      </c>
      <c r="F198" s="1379" t="s">
        <v>890</v>
      </c>
      <c r="G198" s="1380">
        <v>44566</v>
      </c>
      <c r="H198" s="1380">
        <v>44568</v>
      </c>
      <c r="I198" s="1176">
        <v>11.5</v>
      </c>
      <c r="J198" s="1176" t="s">
        <v>673</v>
      </c>
      <c r="K198" s="1177" t="s">
        <v>674</v>
      </c>
      <c r="L198" s="1178" t="s">
        <v>782</v>
      </c>
      <c r="M198" s="1179">
        <v>358041000</v>
      </c>
      <c r="N198" s="1376" t="s">
        <v>783</v>
      </c>
      <c r="O198" s="1174" t="s">
        <v>778</v>
      </c>
      <c r="P198" s="1207" t="s">
        <v>678</v>
      </c>
      <c r="Q198" s="1163"/>
      <c r="R198" s="1269">
        <v>358041000</v>
      </c>
      <c r="S198" s="1357">
        <v>358041000</v>
      </c>
      <c r="T198" s="1357">
        <f>+Tabla16[[#This Row],[CDPS A 31 JULIO 2022]]-Tabla16[[#This Row],[CDP]]</f>
        <v>0</v>
      </c>
      <c r="U198" s="1357">
        <v>358041000</v>
      </c>
      <c r="V198" s="1357">
        <v>99628800</v>
      </c>
      <c r="W198" s="1357"/>
    </row>
    <row r="199" spans="1:23" s="1207" customFormat="1" ht="45" hidden="1" customHeight="1" x14ac:dyDescent="0.3">
      <c r="A199" s="1355">
        <v>2022199</v>
      </c>
      <c r="B199" s="1172">
        <v>7655</v>
      </c>
      <c r="C199" s="1356" t="s">
        <v>668</v>
      </c>
      <c r="D199" s="1190" t="s">
        <v>682</v>
      </c>
      <c r="E199" s="1174">
        <v>80111600</v>
      </c>
      <c r="F199" s="1379" t="s">
        <v>891</v>
      </c>
      <c r="G199" s="1380">
        <v>44566</v>
      </c>
      <c r="H199" s="1380">
        <v>44568</v>
      </c>
      <c r="I199" s="1176">
        <v>11.5</v>
      </c>
      <c r="J199" s="1176" t="s">
        <v>673</v>
      </c>
      <c r="K199" s="1177" t="s">
        <v>674</v>
      </c>
      <c r="L199" s="1178" t="s">
        <v>675</v>
      </c>
      <c r="M199" s="1179">
        <v>38525000</v>
      </c>
      <c r="N199" s="1376" t="s">
        <v>783</v>
      </c>
      <c r="O199" s="1174" t="s">
        <v>778</v>
      </c>
      <c r="P199" s="1207" t="s">
        <v>678</v>
      </c>
      <c r="Q199" s="1163"/>
      <c r="R199" s="1269">
        <v>38525000</v>
      </c>
      <c r="S199" s="1357">
        <v>38525000</v>
      </c>
      <c r="T199" s="1357">
        <f>+Tabla16[[#This Row],[CDPS A 31 JULIO 2022]]-Tabla16[[#This Row],[CDP]]</f>
        <v>0</v>
      </c>
      <c r="U199" s="1357">
        <v>38525000</v>
      </c>
      <c r="V199" s="1357">
        <v>14963333</v>
      </c>
      <c r="W199" s="1357"/>
    </row>
    <row r="200" spans="1:23" s="1207" customFormat="1" ht="45" hidden="1" customHeight="1" x14ac:dyDescent="0.3">
      <c r="A200" s="1355">
        <v>2022200</v>
      </c>
      <c r="B200" s="1172">
        <v>7655</v>
      </c>
      <c r="C200" s="1356" t="s">
        <v>668</v>
      </c>
      <c r="D200" s="1190" t="s">
        <v>682</v>
      </c>
      <c r="E200" s="1174">
        <v>80111600</v>
      </c>
      <c r="F200" s="1379" t="s">
        <v>892</v>
      </c>
      <c r="G200" s="1380">
        <v>44566</v>
      </c>
      <c r="H200" s="1380">
        <v>44568</v>
      </c>
      <c r="I200" s="1176">
        <v>11.5</v>
      </c>
      <c r="J200" s="1176" t="s">
        <v>673</v>
      </c>
      <c r="K200" s="1177" t="s">
        <v>674</v>
      </c>
      <c r="L200" s="1178" t="s">
        <v>675</v>
      </c>
      <c r="M200" s="1179">
        <v>32200000</v>
      </c>
      <c r="N200" s="1376" t="s">
        <v>783</v>
      </c>
      <c r="O200" s="1174" t="s">
        <v>778</v>
      </c>
      <c r="P200" s="1207" t="s">
        <v>678</v>
      </c>
      <c r="Q200" s="1163"/>
      <c r="R200" s="1269">
        <v>32200000</v>
      </c>
      <c r="S200" s="1357">
        <v>32200000</v>
      </c>
      <c r="T200" s="1357">
        <f>+Tabla16[[#This Row],[CDPS A 31 JULIO 2022]]-Tabla16[[#This Row],[CDP]]</f>
        <v>0</v>
      </c>
      <c r="U200" s="1357">
        <v>32200000</v>
      </c>
      <c r="V200" s="1357">
        <v>12973333</v>
      </c>
      <c r="W200" s="1357"/>
    </row>
    <row r="201" spans="1:23" s="1207" customFormat="1" ht="45" hidden="1" customHeight="1" x14ac:dyDescent="0.3">
      <c r="A201" s="1355">
        <v>2022201</v>
      </c>
      <c r="B201" s="1172">
        <v>7655</v>
      </c>
      <c r="C201" s="1356" t="s">
        <v>668</v>
      </c>
      <c r="D201" s="1190" t="s">
        <v>682</v>
      </c>
      <c r="E201" s="1174">
        <v>80111600</v>
      </c>
      <c r="F201" s="1379" t="s">
        <v>892</v>
      </c>
      <c r="G201" s="1380">
        <v>44566</v>
      </c>
      <c r="H201" s="1380">
        <v>44568</v>
      </c>
      <c r="I201" s="1176">
        <v>11.5</v>
      </c>
      <c r="J201" s="1176" t="s">
        <v>673</v>
      </c>
      <c r="K201" s="1177" t="s">
        <v>674</v>
      </c>
      <c r="L201" s="1178" t="s">
        <v>675</v>
      </c>
      <c r="M201" s="1179">
        <v>32200000</v>
      </c>
      <c r="N201" s="1376" t="s">
        <v>783</v>
      </c>
      <c r="O201" s="1174" t="s">
        <v>778</v>
      </c>
      <c r="P201" s="1207" t="s">
        <v>678</v>
      </c>
      <c r="Q201" s="1163"/>
      <c r="R201" s="1269">
        <v>32200000</v>
      </c>
      <c r="S201" s="1357">
        <v>32200000</v>
      </c>
      <c r="T201" s="1357">
        <f>+Tabla16[[#This Row],[CDPS A 31 JULIO 2022]]-Tabla16[[#This Row],[CDP]]</f>
        <v>0</v>
      </c>
      <c r="U201" s="1357">
        <v>32200000</v>
      </c>
      <c r="V201" s="1357">
        <v>12786667</v>
      </c>
      <c r="W201" s="1357"/>
    </row>
    <row r="202" spans="1:23" s="1207" customFormat="1" ht="45" hidden="1" customHeight="1" x14ac:dyDescent="0.3">
      <c r="A202" s="1355">
        <v>2022202</v>
      </c>
      <c r="B202" s="1172">
        <v>7655</v>
      </c>
      <c r="C202" s="1356" t="s">
        <v>668</v>
      </c>
      <c r="D202" s="1190" t="s">
        <v>682</v>
      </c>
      <c r="E202" s="1174">
        <v>80111600</v>
      </c>
      <c r="F202" s="1379" t="s">
        <v>892</v>
      </c>
      <c r="G202" s="1380">
        <v>44566</v>
      </c>
      <c r="H202" s="1380">
        <v>44568</v>
      </c>
      <c r="I202" s="1176">
        <v>11.5</v>
      </c>
      <c r="J202" s="1176" t="s">
        <v>673</v>
      </c>
      <c r="K202" s="1177" t="s">
        <v>674</v>
      </c>
      <c r="L202" s="1178" t="s">
        <v>675</v>
      </c>
      <c r="M202" s="1179">
        <v>32200000</v>
      </c>
      <c r="N202" s="1376" t="s">
        <v>783</v>
      </c>
      <c r="O202" s="1174" t="s">
        <v>778</v>
      </c>
      <c r="P202" s="1207" t="s">
        <v>678</v>
      </c>
      <c r="Q202" s="1163"/>
      <c r="R202" s="1269">
        <v>32200000</v>
      </c>
      <c r="S202" s="1357">
        <v>32200000</v>
      </c>
      <c r="T202" s="1357">
        <f>+Tabla16[[#This Row],[CDPS A 31 JULIO 2022]]-Tabla16[[#This Row],[CDP]]</f>
        <v>0</v>
      </c>
      <c r="U202" s="1357">
        <v>32200000</v>
      </c>
      <c r="V202" s="1357">
        <v>11666667</v>
      </c>
      <c r="W202" s="1357"/>
    </row>
    <row r="203" spans="1:23" s="1207" customFormat="1" ht="45" hidden="1" customHeight="1" x14ac:dyDescent="0.3">
      <c r="A203" s="1355">
        <v>2022203</v>
      </c>
      <c r="B203" s="1172">
        <v>7655</v>
      </c>
      <c r="C203" s="1356" t="s">
        <v>668</v>
      </c>
      <c r="D203" s="1190" t="s">
        <v>682</v>
      </c>
      <c r="E203" s="1174">
        <v>80111600</v>
      </c>
      <c r="F203" s="1379" t="s">
        <v>892</v>
      </c>
      <c r="G203" s="1380">
        <v>44566</v>
      </c>
      <c r="H203" s="1380">
        <v>44568</v>
      </c>
      <c r="I203" s="1176">
        <v>11.5</v>
      </c>
      <c r="J203" s="1176" t="s">
        <v>673</v>
      </c>
      <c r="K203" s="1177" t="s">
        <v>674</v>
      </c>
      <c r="L203" s="1178" t="s">
        <v>675</v>
      </c>
      <c r="M203" s="1179">
        <v>37950000</v>
      </c>
      <c r="N203" s="1376" t="s">
        <v>783</v>
      </c>
      <c r="O203" s="1174" t="s">
        <v>778</v>
      </c>
      <c r="P203" s="1207" t="s">
        <v>678</v>
      </c>
      <c r="Q203" s="1163"/>
      <c r="R203" s="1269">
        <v>37950000</v>
      </c>
      <c r="S203" s="1357">
        <v>37950000</v>
      </c>
      <c r="T203" s="1357">
        <f>+Tabla16[[#This Row],[CDPS A 31 JULIO 2022]]-Tabla16[[#This Row],[CDP]]</f>
        <v>0</v>
      </c>
      <c r="U203" s="1357">
        <v>37950000</v>
      </c>
      <c r="V203" s="1357">
        <v>15180000</v>
      </c>
      <c r="W203" s="1357"/>
    </row>
    <row r="204" spans="1:23" s="1207" customFormat="1" ht="45" hidden="1" customHeight="1" x14ac:dyDescent="0.3">
      <c r="A204" s="1355">
        <v>2022204</v>
      </c>
      <c r="B204" s="1172">
        <v>7655</v>
      </c>
      <c r="C204" s="1356" t="s">
        <v>668</v>
      </c>
      <c r="D204" s="1190" t="s">
        <v>682</v>
      </c>
      <c r="E204" s="1174">
        <v>80111600</v>
      </c>
      <c r="F204" s="1379" t="s">
        <v>893</v>
      </c>
      <c r="G204" s="1380">
        <v>44566</v>
      </c>
      <c r="H204" s="1380">
        <v>44568</v>
      </c>
      <c r="I204" s="1176">
        <v>11.5</v>
      </c>
      <c r="J204" s="1176" t="s">
        <v>673</v>
      </c>
      <c r="K204" s="1177" t="s">
        <v>674</v>
      </c>
      <c r="L204" s="1178" t="s">
        <v>675</v>
      </c>
      <c r="M204" s="1179">
        <f>52900000-1150000</f>
        <v>51750000</v>
      </c>
      <c r="N204" s="1376" t="s">
        <v>783</v>
      </c>
      <c r="O204" s="1174" t="s">
        <v>778</v>
      </c>
      <c r="P204" s="1207" t="s">
        <v>678</v>
      </c>
      <c r="Q204" s="1163"/>
      <c r="R204" s="1269">
        <v>51750000</v>
      </c>
      <c r="S204" s="1357">
        <v>51750000</v>
      </c>
      <c r="T204" s="1357">
        <f>+Tabla16[[#This Row],[CDPS A 31 JULIO 2022]]-Tabla16[[#This Row],[CDP]]</f>
        <v>0</v>
      </c>
      <c r="U204" s="1357">
        <v>51750000</v>
      </c>
      <c r="V204" s="1357">
        <v>20850000</v>
      </c>
      <c r="W204" s="1357"/>
    </row>
    <row r="205" spans="1:23" s="1207" customFormat="1" ht="45" hidden="1" customHeight="1" x14ac:dyDescent="0.3">
      <c r="A205" s="1355">
        <v>2022205</v>
      </c>
      <c r="B205" s="1172">
        <v>7655</v>
      </c>
      <c r="C205" s="1356" t="s">
        <v>668</v>
      </c>
      <c r="D205" s="1190" t="s">
        <v>682</v>
      </c>
      <c r="E205" s="1174">
        <v>80111600</v>
      </c>
      <c r="F205" s="1379" t="s">
        <v>894</v>
      </c>
      <c r="G205" s="1380">
        <v>44566</v>
      </c>
      <c r="H205" s="1380">
        <v>44568</v>
      </c>
      <c r="I205" s="1176">
        <v>6</v>
      </c>
      <c r="J205" s="1176" t="s">
        <v>673</v>
      </c>
      <c r="K205" s="1177" t="s">
        <v>674</v>
      </c>
      <c r="L205" s="1178" t="s">
        <v>675</v>
      </c>
      <c r="M205" s="1179">
        <v>37080000</v>
      </c>
      <c r="N205" s="1376" t="s">
        <v>783</v>
      </c>
      <c r="O205" s="1174" t="s">
        <v>778</v>
      </c>
      <c r="P205" s="1207" t="s">
        <v>678</v>
      </c>
      <c r="Q205" s="1163"/>
      <c r="R205" s="1269">
        <v>37080000</v>
      </c>
      <c r="S205" s="1357">
        <v>37080000</v>
      </c>
      <c r="T205" s="1357">
        <f>+Tabla16[[#This Row],[CDPS A 31 JULIO 2022]]-Tabla16[[#This Row],[CDP]]</f>
        <v>0</v>
      </c>
      <c r="U205" s="1357">
        <v>37080000</v>
      </c>
      <c r="V205" s="1357">
        <v>28428000</v>
      </c>
      <c r="W205" s="1357"/>
    </row>
    <row r="206" spans="1:23" s="1207" customFormat="1" ht="45" hidden="1" customHeight="1" x14ac:dyDescent="0.3">
      <c r="A206" s="1355">
        <v>2022206</v>
      </c>
      <c r="B206" s="1172">
        <v>7655</v>
      </c>
      <c r="C206" s="1356" t="s">
        <v>668</v>
      </c>
      <c r="D206" s="1190" t="s">
        <v>682</v>
      </c>
      <c r="E206" s="1174">
        <v>80111600</v>
      </c>
      <c r="F206" s="1379" t="s">
        <v>895</v>
      </c>
      <c r="G206" s="1380">
        <v>44566</v>
      </c>
      <c r="H206" s="1380">
        <v>44568</v>
      </c>
      <c r="I206" s="1176">
        <v>6</v>
      </c>
      <c r="J206" s="1176" t="s">
        <v>673</v>
      </c>
      <c r="K206" s="1177" t="s">
        <v>674</v>
      </c>
      <c r="L206" s="1178" t="s">
        <v>675</v>
      </c>
      <c r="M206" s="1179">
        <v>16800000</v>
      </c>
      <c r="N206" s="1376" t="s">
        <v>783</v>
      </c>
      <c r="O206" s="1174" t="s">
        <v>778</v>
      </c>
      <c r="P206" s="1207" t="s">
        <v>678</v>
      </c>
      <c r="Q206" s="1163"/>
      <c r="R206" s="1269">
        <v>16800000</v>
      </c>
      <c r="S206" s="1357">
        <v>16800000</v>
      </c>
      <c r="T206" s="1357">
        <f>+Tabla16[[#This Row],[CDPS A 31 JULIO 2022]]-Tabla16[[#This Row],[CDP]]</f>
        <v>0</v>
      </c>
      <c r="U206" s="1357">
        <v>16800000</v>
      </c>
      <c r="V206" s="1357">
        <v>12880000</v>
      </c>
      <c r="W206" s="1357"/>
    </row>
    <row r="207" spans="1:23" s="1207" customFormat="1" ht="45" hidden="1" customHeight="1" x14ac:dyDescent="0.3">
      <c r="A207" s="1355">
        <v>2022207</v>
      </c>
      <c r="B207" s="1172">
        <v>7655</v>
      </c>
      <c r="C207" s="1356" t="s">
        <v>668</v>
      </c>
      <c r="D207" s="1190" t="s">
        <v>682</v>
      </c>
      <c r="E207" s="1174">
        <v>80111600</v>
      </c>
      <c r="F207" s="1379" t="s">
        <v>896</v>
      </c>
      <c r="G207" s="1380">
        <v>44566</v>
      </c>
      <c r="H207" s="1380">
        <v>44568</v>
      </c>
      <c r="I207" s="1176">
        <v>3.5</v>
      </c>
      <c r="J207" s="1176" t="s">
        <v>673</v>
      </c>
      <c r="K207" s="1177" t="s">
        <v>674</v>
      </c>
      <c r="L207" s="1178" t="s">
        <v>675</v>
      </c>
      <c r="M207" s="1179">
        <v>17500000</v>
      </c>
      <c r="N207" s="1376" t="s">
        <v>783</v>
      </c>
      <c r="O207" s="1174" t="s">
        <v>778</v>
      </c>
      <c r="P207" s="1207" t="s">
        <v>678</v>
      </c>
      <c r="Q207" s="1163"/>
      <c r="R207" s="1269">
        <v>17500000</v>
      </c>
      <c r="S207" s="1357">
        <v>17500000</v>
      </c>
      <c r="T207" s="1357">
        <f>+Tabla16[[#This Row],[CDPS A 31 JULIO 2022]]-Tabla16[[#This Row],[CDP]]</f>
        <v>0</v>
      </c>
      <c r="U207" s="1357">
        <v>17500000</v>
      </c>
      <c r="V207" s="1357">
        <v>17500000</v>
      </c>
      <c r="W207" s="1357"/>
    </row>
    <row r="208" spans="1:23" s="1207" customFormat="1" ht="45" customHeight="1" x14ac:dyDescent="0.3">
      <c r="A208" s="1398">
        <v>2022208</v>
      </c>
      <c r="B208" s="1399">
        <v>7655</v>
      </c>
      <c r="C208" s="1400" t="s">
        <v>668</v>
      </c>
      <c r="D208" s="1401" t="s">
        <v>671</v>
      </c>
      <c r="E208" s="1402">
        <v>80111600</v>
      </c>
      <c r="F208" s="1403" t="s">
        <v>897</v>
      </c>
      <c r="G208" s="1404">
        <v>44562</v>
      </c>
      <c r="H208" s="1404">
        <v>44592</v>
      </c>
      <c r="I208" s="1405">
        <v>11.5</v>
      </c>
      <c r="J208" s="1405" t="s">
        <v>673</v>
      </c>
      <c r="K208" s="1406" t="s">
        <v>674</v>
      </c>
      <c r="L208" s="1407" t="s">
        <v>675</v>
      </c>
      <c r="M208" s="1408">
        <f>106950000-4650000</f>
        <v>102300000</v>
      </c>
      <c r="N208" s="1409" t="s">
        <v>783</v>
      </c>
      <c r="O208" s="1402" t="s">
        <v>778</v>
      </c>
      <c r="P208" s="1410" t="s">
        <v>678</v>
      </c>
      <c r="Q208" s="1163"/>
      <c r="R208" s="1269">
        <v>102300000</v>
      </c>
      <c r="S208" s="1357">
        <v>102300000</v>
      </c>
      <c r="T208" s="1357">
        <f>+Tabla16[[#This Row],[CDPS A 31 JULIO 2022]]-Tabla16[[#This Row],[CDP]]</f>
        <v>0</v>
      </c>
      <c r="U208" s="1357">
        <v>102300000</v>
      </c>
      <c r="V208" s="1357">
        <v>38130000</v>
      </c>
      <c r="W208" s="1357"/>
    </row>
    <row r="209" spans="1:23" s="1207" customFormat="1" ht="45" hidden="1" customHeight="1" x14ac:dyDescent="0.3">
      <c r="A209" s="1355">
        <v>2022209</v>
      </c>
      <c r="B209" s="1172">
        <v>7655</v>
      </c>
      <c r="C209" s="1356" t="s">
        <v>668</v>
      </c>
      <c r="D209" s="1190" t="s">
        <v>671</v>
      </c>
      <c r="E209" s="1174">
        <v>80111600</v>
      </c>
      <c r="F209" s="1379" t="s">
        <v>898</v>
      </c>
      <c r="G209" s="1380">
        <v>44562</v>
      </c>
      <c r="H209" s="1380">
        <v>44592</v>
      </c>
      <c r="I209" s="1176">
        <v>11.5</v>
      </c>
      <c r="J209" s="1176" t="s">
        <v>673</v>
      </c>
      <c r="K209" s="1177" t="s">
        <v>674</v>
      </c>
      <c r="L209" s="1178" t="s">
        <v>675</v>
      </c>
      <c r="M209" s="1179">
        <v>97750000</v>
      </c>
      <c r="N209" s="1376" t="s">
        <v>783</v>
      </c>
      <c r="O209" s="1174" t="s">
        <v>778</v>
      </c>
      <c r="P209" s="1207" t="s">
        <v>678</v>
      </c>
      <c r="Q209" s="1163"/>
      <c r="R209" s="1269">
        <v>93500000</v>
      </c>
      <c r="S209" s="1357">
        <v>93500000</v>
      </c>
      <c r="T209" s="1357">
        <f>+Tabla16[[#This Row],[CDPS A 31 JULIO 2022]]-Tabla16[[#This Row],[CDP]]</f>
        <v>0</v>
      </c>
      <c r="U209" s="1357">
        <v>93500000</v>
      </c>
      <c r="V209" s="1357">
        <v>34850000</v>
      </c>
      <c r="W209" s="1357"/>
    </row>
    <row r="210" spans="1:23" s="1207" customFormat="1" ht="45" hidden="1" customHeight="1" x14ac:dyDescent="0.3">
      <c r="A210" s="1355">
        <v>2022210</v>
      </c>
      <c r="B210" s="1172">
        <v>7655</v>
      </c>
      <c r="C210" s="1356" t="s">
        <v>668</v>
      </c>
      <c r="D210" s="1190" t="s">
        <v>671</v>
      </c>
      <c r="E210" s="1174">
        <v>80111600</v>
      </c>
      <c r="F210" s="1379" t="s">
        <v>899</v>
      </c>
      <c r="G210" s="1380">
        <v>44562</v>
      </c>
      <c r="H210" s="1380">
        <v>44592</v>
      </c>
      <c r="I210" s="1176">
        <v>11.5</v>
      </c>
      <c r="J210" s="1176" t="s">
        <v>673</v>
      </c>
      <c r="K210" s="1177" t="s">
        <v>674</v>
      </c>
      <c r="L210" s="1178" t="s">
        <v>675</v>
      </c>
      <c r="M210" s="1179">
        <f>92000000-24000000</f>
        <v>68000000</v>
      </c>
      <c r="N210" s="1376" t="s">
        <v>783</v>
      </c>
      <c r="O210" s="1174" t="s">
        <v>778</v>
      </c>
      <c r="P210" s="1207" t="s">
        <v>678</v>
      </c>
      <c r="Q210" s="1163"/>
      <c r="R210" s="1269">
        <v>68000000</v>
      </c>
      <c r="S210" s="1357">
        <v>68000000</v>
      </c>
      <c r="T210" s="1357">
        <f>+Tabla16[[#This Row],[CDPS A 31 JULIO 2022]]-Tabla16[[#This Row],[CDP]]</f>
        <v>0</v>
      </c>
      <c r="U210" s="1357">
        <v>68000000</v>
      </c>
      <c r="V210" s="1357">
        <v>37683333</v>
      </c>
      <c r="W210" s="1357"/>
    </row>
    <row r="211" spans="1:23" s="1207" customFormat="1" ht="45" hidden="1" customHeight="1" x14ac:dyDescent="0.3">
      <c r="A211" s="1355">
        <v>2022211</v>
      </c>
      <c r="B211" s="1172">
        <v>7655</v>
      </c>
      <c r="C211" s="1356" t="s">
        <v>668</v>
      </c>
      <c r="D211" s="1190" t="s">
        <v>671</v>
      </c>
      <c r="E211" s="1174">
        <v>80111600</v>
      </c>
      <c r="F211" s="1379" t="s">
        <v>900</v>
      </c>
      <c r="G211" s="1380">
        <v>44562</v>
      </c>
      <c r="H211" s="1380">
        <v>44592</v>
      </c>
      <c r="I211" s="1176">
        <v>11.5</v>
      </c>
      <c r="J211" s="1176" t="s">
        <v>673</v>
      </c>
      <c r="K211" s="1177" t="s">
        <v>674</v>
      </c>
      <c r="L211" s="1178" t="s">
        <v>675</v>
      </c>
      <c r="M211" s="1179">
        <v>80500000</v>
      </c>
      <c r="N211" s="1376" t="s">
        <v>783</v>
      </c>
      <c r="O211" s="1174" t="s">
        <v>778</v>
      </c>
      <c r="P211" s="1207" t="s">
        <v>678</v>
      </c>
      <c r="Q211" s="1163"/>
      <c r="R211" s="1269">
        <v>77000000</v>
      </c>
      <c r="S211" s="1357">
        <v>77000000</v>
      </c>
      <c r="T211" s="1357">
        <f>+Tabla16[[#This Row],[CDPS A 31 JULIO 2022]]-Tabla16[[#This Row],[CDP]]</f>
        <v>0</v>
      </c>
      <c r="U211" s="1357">
        <v>77000000</v>
      </c>
      <c r="V211" s="1357">
        <v>28000000</v>
      </c>
      <c r="W211" s="1357"/>
    </row>
    <row r="212" spans="1:23" s="1207" customFormat="1" ht="45" hidden="1" customHeight="1" x14ac:dyDescent="0.3">
      <c r="A212" s="1355">
        <v>2022212</v>
      </c>
      <c r="B212" s="1172">
        <v>7655</v>
      </c>
      <c r="C212" s="1356" t="s">
        <v>668</v>
      </c>
      <c r="D212" s="1190" t="s">
        <v>671</v>
      </c>
      <c r="E212" s="1174">
        <v>80111600</v>
      </c>
      <c r="F212" s="1379" t="s">
        <v>901</v>
      </c>
      <c r="G212" s="1380">
        <v>44562</v>
      </c>
      <c r="H212" s="1380">
        <v>44592</v>
      </c>
      <c r="I212" s="1176">
        <v>11.5</v>
      </c>
      <c r="J212" s="1176" t="s">
        <v>673</v>
      </c>
      <c r="K212" s="1177" t="s">
        <v>674</v>
      </c>
      <c r="L212" s="1178" t="s">
        <v>782</v>
      </c>
      <c r="M212" s="1179">
        <f>92000000-24000000</f>
        <v>68000000</v>
      </c>
      <c r="N212" s="1376" t="s">
        <v>783</v>
      </c>
      <c r="O212" s="1174" t="s">
        <v>778</v>
      </c>
      <c r="P212" s="1298" t="s">
        <v>678</v>
      </c>
      <c r="Q212" s="1163"/>
      <c r="R212" s="1269">
        <v>64000000</v>
      </c>
      <c r="S212" s="1357">
        <v>64000000</v>
      </c>
      <c r="T212" s="1357">
        <f>+Tabla16[[#This Row],[CDPS A 31 JULIO 2022]]-Tabla16[[#This Row],[CDP]]</f>
        <v>0</v>
      </c>
      <c r="U212" s="1357">
        <v>64000000</v>
      </c>
      <c r="V212" s="1357">
        <v>32800000</v>
      </c>
      <c r="W212" s="1357"/>
    </row>
    <row r="213" spans="1:23" s="1207" customFormat="1" ht="45" hidden="1" customHeight="1" x14ac:dyDescent="0.3">
      <c r="A213" s="1355">
        <v>2022213</v>
      </c>
      <c r="B213" s="1172">
        <v>7655</v>
      </c>
      <c r="C213" s="1356" t="s">
        <v>668</v>
      </c>
      <c r="D213" s="1190" t="s">
        <v>671</v>
      </c>
      <c r="E213" s="1174">
        <v>80111600</v>
      </c>
      <c r="F213" s="1379" t="s">
        <v>902</v>
      </c>
      <c r="G213" s="1380">
        <v>44562</v>
      </c>
      <c r="H213" s="1380">
        <v>44592</v>
      </c>
      <c r="I213" s="1176">
        <v>11.5</v>
      </c>
      <c r="J213" s="1176" t="s">
        <v>673</v>
      </c>
      <c r="K213" s="1177" t="s">
        <v>674</v>
      </c>
      <c r="L213" s="1178" t="s">
        <v>782</v>
      </c>
      <c r="M213" s="1179">
        <v>51750000</v>
      </c>
      <c r="N213" s="1376" t="s">
        <v>783</v>
      </c>
      <c r="O213" s="1174" t="s">
        <v>778</v>
      </c>
      <c r="P213" s="1207" t="s">
        <v>678</v>
      </c>
      <c r="Q213" s="1163"/>
      <c r="R213" s="1269">
        <v>49500000</v>
      </c>
      <c r="S213" s="1357">
        <v>49500000</v>
      </c>
      <c r="T213" s="1357">
        <f>+Tabla16[[#This Row],[CDPS A 31 JULIO 2022]]-Tabla16[[#This Row],[CDP]]</f>
        <v>0</v>
      </c>
      <c r="U213" s="1357">
        <v>49500000</v>
      </c>
      <c r="V213" s="1357">
        <v>18000000</v>
      </c>
      <c r="W213" s="1357"/>
    </row>
    <row r="214" spans="1:23" s="1207" customFormat="1" ht="45" hidden="1" customHeight="1" x14ac:dyDescent="0.3">
      <c r="A214" s="1355">
        <v>2022214</v>
      </c>
      <c r="B214" s="1172">
        <v>7655</v>
      </c>
      <c r="C214" s="1356" t="s">
        <v>668</v>
      </c>
      <c r="D214" s="1190" t="s">
        <v>671</v>
      </c>
      <c r="E214" s="1174">
        <v>80111600</v>
      </c>
      <c r="F214" s="1379" t="s">
        <v>903</v>
      </c>
      <c r="G214" s="1380">
        <v>44562</v>
      </c>
      <c r="H214" s="1380">
        <v>44592</v>
      </c>
      <c r="I214" s="1176">
        <v>11.5</v>
      </c>
      <c r="J214" s="1176" t="s">
        <v>673</v>
      </c>
      <c r="K214" s="1177" t="s">
        <v>674</v>
      </c>
      <c r="L214" s="1178" t="s">
        <v>675</v>
      </c>
      <c r="M214" s="1179">
        <f>(4500000*10.6666666)-12000000</f>
        <v>35999999.699999996</v>
      </c>
      <c r="N214" s="1376" t="s">
        <v>783</v>
      </c>
      <c r="O214" s="1174" t="s">
        <v>778</v>
      </c>
      <c r="P214" s="1207" t="s">
        <v>678</v>
      </c>
      <c r="Q214" s="1163"/>
      <c r="R214" s="1269">
        <v>36000000</v>
      </c>
      <c r="S214" s="1357">
        <v>36000000</v>
      </c>
      <c r="T214" s="1357">
        <f>+Tabla16[[#This Row],[CDPS A 31 JULIO 2022]]-Tabla16[[#This Row],[CDP]]</f>
        <v>0</v>
      </c>
      <c r="U214" s="1357">
        <v>36000000</v>
      </c>
      <c r="V214" s="1357">
        <v>18000000</v>
      </c>
      <c r="W214" s="1357"/>
    </row>
    <row r="215" spans="1:23" s="1207" customFormat="1" ht="45" hidden="1" customHeight="1" x14ac:dyDescent="0.3">
      <c r="A215" s="1355">
        <v>2022215</v>
      </c>
      <c r="B215" s="1172">
        <v>7655</v>
      </c>
      <c r="C215" s="1356" t="s">
        <v>668</v>
      </c>
      <c r="D215" s="1190" t="s">
        <v>671</v>
      </c>
      <c r="E215" s="1174">
        <v>80111600</v>
      </c>
      <c r="F215" s="1379" t="s">
        <v>904</v>
      </c>
      <c r="G215" s="1380">
        <v>44562</v>
      </c>
      <c r="H215" s="1380">
        <v>44592</v>
      </c>
      <c r="I215" s="1176">
        <v>11.5</v>
      </c>
      <c r="J215" s="1176" t="s">
        <v>673</v>
      </c>
      <c r="K215" s="1177" t="s">
        <v>674</v>
      </c>
      <c r="L215" s="1178" t="s">
        <v>675</v>
      </c>
      <c r="M215" s="1179">
        <f>57500000-15000000</f>
        <v>42500000</v>
      </c>
      <c r="N215" s="1376" t="s">
        <v>783</v>
      </c>
      <c r="O215" s="1174" t="s">
        <v>778</v>
      </c>
      <c r="P215" s="1207" t="s">
        <v>678</v>
      </c>
      <c r="Q215" s="1163"/>
      <c r="R215" s="1269">
        <v>40000000</v>
      </c>
      <c r="S215" s="1357">
        <v>40000000</v>
      </c>
      <c r="T215" s="1357">
        <f>+Tabla16[[#This Row],[CDPS A 31 JULIO 2022]]-Tabla16[[#This Row],[CDP]]</f>
        <v>0</v>
      </c>
      <c r="U215" s="1357">
        <v>40000000</v>
      </c>
      <c r="V215" s="1357">
        <v>20500000</v>
      </c>
      <c r="W215" s="1357"/>
    </row>
    <row r="216" spans="1:23" s="1207" customFormat="1" ht="45" hidden="1" customHeight="1" x14ac:dyDescent="0.3">
      <c r="A216" s="1355">
        <v>2022216</v>
      </c>
      <c r="B216" s="1172">
        <v>7655</v>
      </c>
      <c r="C216" s="1356" t="s">
        <v>668</v>
      </c>
      <c r="D216" s="1190" t="s">
        <v>671</v>
      </c>
      <c r="E216" s="1174">
        <v>80111600</v>
      </c>
      <c r="F216" s="1379" t="s">
        <v>905</v>
      </c>
      <c r="G216" s="1380">
        <v>44562</v>
      </c>
      <c r="H216" s="1380">
        <v>44592</v>
      </c>
      <c r="I216" s="1176">
        <v>11.5</v>
      </c>
      <c r="J216" s="1176" t="s">
        <v>673</v>
      </c>
      <c r="K216" s="1177" t="s">
        <v>674</v>
      </c>
      <c r="L216" s="1178" t="s">
        <v>675</v>
      </c>
      <c r="M216" s="1179">
        <v>80500000</v>
      </c>
      <c r="N216" s="1376" t="s">
        <v>783</v>
      </c>
      <c r="O216" s="1174" t="s">
        <v>778</v>
      </c>
      <c r="P216" s="1207" t="s">
        <v>678</v>
      </c>
      <c r="Q216" s="1163"/>
      <c r="R216" s="1269">
        <v>77000000</v>
      </c>
      <c r="S216" s="1357">
        <v>77000000</v>
      </c>
      <c r="T216" s="1357">
        <f>+Tabla16[[#This Row],[CDPS A 31 JULIO 2022]]-Tabla16[[#This Row],[CDP]]</f>
        <v>0</v>
      </c>
      <c r="U216" s="1357">
        <v>77000000</v>
      </c>
      <c r="V216" s="1357">
        <v>30566667</v>
      </c>
      <c r="W216" s="1357"/>
    </row>
    <row r="217" spans="1:23" s="1207" customFormat="1" ht="45" hidden="1" customHeight="1" x14ac:dyDescent="0.3">
      <c r="A217" s="1355">
        <v>2022217</v>
      </c>
      <c r="B217" s="1172">
        <v>7655</v>
      </c>
      <c r="C217" s="1356" t="s">
        <v>668</v>
      </c>
      <c r="D217" s="1190" t="s">
        <v>671</v>
      </c>
      <c r="E217" s="1174">
        <v>80111600</v>
      </c>
      <c r="F217" s="1379" t="s">
        <v>906</v>
      </c>
      <c r="G217" s="1380">
        <v>44562</v>
      </c>
      <c r="H217" s="1380">
        <v>44592</v>
      </c>
      <c r="I217" s="1176">
        <v>11.5</v>
      </c>
      <c r="J217" s="1176" t="s">
        <v>673</v>
      </c>
      <c r="K217" s="1177" t="s">
        <v>674</v>
      </c>
      <c r="L217" s="1178" t="s">
        <v>675</v>
      </c>
      <c r="M217" s="1179">
        <v>57500000</v>
      </c>
      <c r="N217" s="1376" t="s">
        <v>783</v>
      </c>
      <c r="O217" s="1174" t="s">
        <v>778</v>
      </c>
      <c r="P217" s="1207" t="s">
        <v>678</v>
      </c>
      <c r="Q217" s="1163"/>
      <c r="R217" s="1269">
        <v>55000000</v>
      </c>
      <c r="S217" s="1357">
        <v>55000000</v>
      </c>
      <c r="T217" s="1357">
        <f>+Tabla16[[#This Row],[CDPS A 31 JULIO 2022]]-Tabla16[[#This Row],[CDP]]</f>
        <v>0</v>
      </c>
      <c r="U217" s="1357">
        <v>55000000</v>
      </c>
      <c r="V217" s="1357">
        <v>21000000</v>
      </c>
      <c r="W217" s="1357"/>
    </row>
    <row r="218" spans="1:23" s="1207" customFormat="1" ht="45" hidden="1" customHeight="1" x14ac:dyDescent="0.3">
      <c r="A218" s="1355">
        <v>2022218</v>
      </c>
      <c r="B218" s="1172">
        <v>7655</v>
      </c>
      <c r="C218" s="1356" t="s">
        <v>668</v>
      </c>
      <c r="D218" s="1190" t="s">
        <v>671</v>
      </c>
      <c r="E218" s="1174">
        <v>80111600</v>
      </c>
      <c r="F218" s="1379" t="s">
        <v>907</v>
      </c>
      <c r="G218" s="1380">
        <v>44562</v>
      </c>
      <c r="H218" s="1380">
        <v>44592</v>
      </c>
      <c r="I218" s="1176">
        <v>11.5</v>
      </c>
      <c r="J218" s="1176" t="s">
        <v>673</v>
      </c>
      <c r="K218" s="1177" t="s">
        <v>674</v>
      </c>
      <c r="L218" s="1178" t="s">
        <v>675</v>
      </c>
      <c r="M218" s="1179">
        <f>57500000-13500000-5750000-1500000</f>
        <v>36750000</v>
      </c>
      <c r="N218" s="1376" t="s">
        <v>783</v>
      </c>
      <c r="O218" s="1174" t="s">
        <v>778</v>
      </c>
      <c r="P218" s="1207" t="s">
        <v>678</v>
      </c>
      <c r="Q218" s="1163"/>
      <c r="R218" s="1269">
        <v>36000000</v>
      </c>
      <c r="S218" s="1357">
        <v>36000000</v>
      </c>
      <c r="T218" s="1357">
        <f>+Tabla16[[#This Row],[CDPS A 31 JULIO 2022]]-Tabla16[[#This Row],[CDP]]</f>
        <v>0</v>
      </c>
      <c r="U218" s="1357">
        <v>36000000</v>
      </c>
      <c r="V218" s="1357">
        <v>18450000</v>
      </c>
      <c r="W218" s="1357"/>
    </row>
    <row r="219" spans="1:23" s="1207" customFormat="1" ht="45" customHeight="1" x14ac:dyDescent="0.3">
      <c r="A219" s="1398">
        <v>2022219</v>
      </c>
      <c r="B219" s="1399">
        <v>7655</v>
      </c>
      <c r="C219" s="1400" t="s">
        <v>668</v>
      </c>
      <c r="D219" s="1401" t="s">
        <v>671</v>
      </c>
      <c r="E219" s="1402">
        <v>80111600</v>
      </c>
      <c r="F219" s="1403" t="s">
        <v>908</v>
      </c>
      <c r="G219" s="1404">
        <v>44562</v>
      </c>
      <c r="H219" s="1404">
        <v>44592</v>
      </c>
      <c r="I219" s="1405">
        <v>11.5</v>
      </c>
      <c r="J219" s="1405" t="s">
        <v>673</v>
      </c>
      <c r="K219" s="1406" t="s">
        <v>674</v>
      </c>
      <c r="L219" s="1407" t="s">
        <v>675</v>
      </c>
      <c r="M219" s="1408">
        <f>57500000-11000000-850000</f>
        <v>45650000</v>
      </c>
      <c r="N219" s="1409" t="s">
        <v>783</v>
      </c>
      <c r="O219" s="1402" t="s">
        <v>778</v>
      </c>
      <c r="P219" s="1410" t="s">
        <v>678</v>
      </c>
      <c r="Q219" s="1163"/>
      <c r="R219" s="1269">
        <v>40000000</v>
      </c>
      <c r="S219" s="1357">
        <v>40000000</v>
      </c>
      <c r="T219" s="1357">
        <f>+Tabla16[[#This Row],[CDPS A 31 JULIO 2022]]-Tabla16[[#This Row],[CDP]]</f>
        <v>0</v>
      </c>
      <c r="U219" s="1357">
        <v>40000000</v>
      </c>
      <c r="V219" s="1357">
        <v>20500000</v>
      </c>
      <c r="W219" s="1357"/>
    </row>
    <row r="220" spans="1:23" s="1207" customFormat="1" ht="45" customHeight="1" x14ac:dyDescent="0.3">
      <c r="A220" s="1398">
        <v>2022220</v>
      </c>
      <c r="B220" s="1399">
        <v>7655</v>
      </c>
      <c r="C220" s="1400" t="s">
        <v>668</v>
      </c>
      <c r="D220" s="1401" t="s">
        <v>671</v>
      </c>
      <c r="E220" s="1402">
        <v>80111600</v>
      </c>
      <c r="F220" s="1403" t="s">
        <v>909</v>
      </c>
      <c r="G220" s="1404">
        <v>44562</v>
      </c>
      <c r="H220" s="1404">
        <v>44592</v>
      </c>
      <c r="I220" s="1405">
        <v>6</v>
      </c>
      <c r="J220" s="1405" t="s">
        <v>673</v>
      </c>
      <c r="K220" s="1406" t="s">
        <v>674</v>
      </c>
      <c r="L220" s="1407" t="s">
        <v>675</v>
      </c>
      <c r="M220" s="1408">
        <f>(10*4500000)-13500000-4500000</f>
        <v>27000000</v>
      </c>
      <c r="N220" s="1409" t="s">
        <v>783</v>
      </c>
      <c r="O220" s="1402" t="s">
        <v>778</v>
      </c>
      <c r="P220" s="1410" t="s">
        <v>678</v>
      </c>
      <c r="Q220" s="1163"/>
      <c r="R220" s="1269">
        <v>27000000</v>
      </c>
      <c r="S220" s="1357">
        <v>27000000</v>
      </c>
      <c r="T220" s="1357">
        <f>+Tabla16[[#This Row],[CDPS A 31 JULIO 2022]]-Tabla16[[#This Row],[CDP]]</f>
        <v>0</v>
      </c>
      <c r="U220" s="1357">
        <v>27000000</v>
      </c>
      <c r="V220" s="1357">
        <v>18000000</v>
      </c>
      <c r="W220" s="1357"/>
    </row>
    <row r="221" spans="1:23" s="1207" customFormat="1" ht="45" hidden="1" customHeight="1" x14ac:dyDescent="0.3">
      <c r="A221" s="1355">
        <v>2022221</v>
      </c>
      <c r="B221" s="1172">
        <v>7655</v>
      </c>
      <c r="C221" s="1356" t="s">
        <v>668</v>
      </c>
      <c r="D221" s="1190" t="s">
        <v>671</v>
      </c>
      <c r="E221" s="1174">
        <v>80111600</v>
      </c>
      <c r="F221" s="1379" t="s">
        <v>910</v>
      </c>
      <c r="G221" s="1380">
        <v>44562</v>
      </c>
      <c r="H221" s="1380">
        <v>44592</v>
      </c>
      <c r="I221" s="1176">
        <v>11.5</v>
      </c>
      <c r="J221" s="1176" t="s">
        <v>673</v>
      </c>
      <c r="K221" s="1177" t="s">
        <v>674</v>
      </c>
      <c r="L221" s="1178" t="s">
        <v>675</v>
      </c>
      <c r="M221" s="1179">
        <v>57500000</v>
      </c>
      <c r="N221" s="1376" t="s">
        <v>783</v>
      </c>
      <c r="O221" s="1174" t="s">
        <v>778</v>
      </c>
      <c r="P221" s="1207" t="s">
        <v>678</v>
      </c>
      <c r="Q221" s="1163"/>
      <c r="R221" s="1269">
        <v>55000000</v>
      </c>
      <c r="S221" s="1357">
        <v>55000000</v>
      </c>
      <c r="T221" s="1357">
        <f>+Tabla16[[#This Row],[CDPS A 31 JULIO 2022]]-Tabla16[[#This Row],[CDP]]</f>
        <v>0</v>
      </c>
      <c r="U221" s="1357">
        <v>55000000</v>
      </c>
      <c r="V221" s="1357">
        <v>21666667</v>
      </c>
      <c r="W221" s="1357"/>
    </row>
    <row r="222" spans="1:23" s="1207" customFormat="1" ht="45" hidden="1" customHeight="1" x14ac:dyDescent="0.3">
      <c r="A222" s="1355">
        <v>2022222</v>
      </c>
      <c r="B222" s="1172">
        <v>7655</v>
      </c>
      <c r="C222" s="1356" t="s">
        <v>668</v>
      </c>
      <c r="D222" s="1190" t="s">
        <v>671</v>
      </c>
      <c r="E222" s="1174">
        <v>80111600</v>
      </c>
      <c r="F222" s="1379" t="s">
        <v>911</v>
      </c>
      <c r="G222" s="1380">
        <v>44562</v>
      </c>
      <c r="H222" s="1380">
        <v>44592</v>
      </c>
      <c r="I222" s="1176">
        <v>11.5</v>
      </c>
      <c r="J222" s="1176" t="s">
        <v>673</v>
      </c>
      <c r="K222" s="1177" t="s">
        <v>674</v>
      </c>
      <c r="L222" s="1178" t="s">
        <v>675</v>
      </c>
      <c r="M222" s="1179">
        <f>57500000-13500000-4500000</f>
        <v>39500000</v>
      </c>
      <c r="N222" s="1376" t="s">
        <v>783</v>
      </c>
      <c r="O222" s="1174" t="s">
        <v>778</v>
      </c>
      <c r="P222" s="1207" t="s">
        <v>678</v>
      </c>
      <c r="Q222" s="1163"/>
      <c r="R222" s="1269">
        <v>36000000</v>
      </c>
      <c r="S222" s="1357">
        <v>36000000</v>
      </c>
      <c r="T222" s="1357">
        <f>+Tabla16[[#This Row],[CDPS A 31 JULIO 2022]]-Tabla16[[#This Row],[CDP]]</f>
        <v>0</v>
      </c>
      <c r="U222" s="1357">
        <v>36000000</v>
      </c>
      <c r="V222" s="1357">
        <v>18000000</v>
      </c>
      <c r="W222" s="1357"/>
    </row>
    <row r="223" spans="1:23" s="1207" customFormat="1" ht="45" hidden="1" customHeight="1" x14ac:dyDescent="0.3">
      <c r="A223" s="1355">
        <v>2022223</v>
      </c>
      <c r="B223" s="1172">
        <v>7655</v>
      </c>
      <c r="C223" s="1356" t="s">
        <v>668</v>
      </c>
      <c r="D223" s="1190" t="s">
        <v>671</v>
      </c>
      <c r="E223" s="1174">
        <v>80111600</v>
      </c>
      <c r="F223" s="1379" t="s">
        <v>912</v>
      </c>
      <c r="G223" s="1380">
        <v>44562</v>
      </c>
      <c r="H223" s="1380">
        <v>44592</v>
      </c>
      <c r="I223" s="1176">
        <v>11.5</v>
      </c>
      <c r="J223" s="1176" t="s">
        <v>673</v>
      </c>
      <c r="K223" s="1177" t="s">
        <v>674</v>
      </c>
      <c r="L223" s="1178" t="s">
        <v>675</v>
      </c>
      <c r="M223" s="1179">
        <f>72450000-3000000</f>
        <v>69450000</v>
      </c>
      <c r="N223" s="1376" t="s">
        <v>783</v>
      </c>
      <c r="O223" s="1174" t="s">
        <v>778</v>
      </c>
      <c r="P223" s="1207" t="s">
        <v>678</v>
      </c>
      <c r="Q223" s="1163"/>
      <c r="R223" s="1269">
        <v>69300000</v>
      </c>
      <c r="S223" s="1357">
        <v>69300000</v>
      </c>
      <c r="T223" s="1357">
        <f>+Tabla16[[#This Row],[CDPS A 31 JULIO 2022]]-Tabla16[[#This Row],[CDP]]</f>
        <v>0</v>
      </c>
      <c r="U223" s="1357">
        <v>69300000</v>
      </c>
      <c r="V223" s="1357">
        <v>24570000</v>
      </c>
      <c r="W223" s="1357"/>
    </row>
    <row r="224" spans="1:23" s="1207" customFormat="1" ht="45" hidden="1" customHeight="1" x14ac:dyDescent="0.3">
      <c r="A224" s="1355">
        <v>2022224</v>
      </c>
      <c r="B224" s="1172">
        <v>7655</v>
      </c>
      <c r="C224" s="1356" t="s">
        <v>668</v>
      </c>
      <c r="D224" s="1190" t="s">
        <v>671</v>
      </c>
      <c r="E224" s="1174">
        <v>80111600</v>
      </c>
      <c r="F224" s="1379" t="s">
        <v>913</v>
      </c>
      <c r="G224" s="1380">
        <v>44562</v>
      </c>
      <c r="H224" s="1380">
        <v>44592</v>
      </c>
      <c r="I224" s="1176">
        <v>11.5</v>
      </c>
      <c r="J224" s="1176" t="s">
        <v>673</v>
      </c>
      <c r="K224" s="1177" t="s">
        <v>674</v>
      </c>
      <c r="L224" s="1178" t="s">
        <v>675</v>
      </c>
      <c r="M224" s="1179">
        <f>59800000-1407535</f>
        <v>58392465</v>
      </c>
      <c r="N224" s="1376" t="s">
        <v>783</v>
      </c>
      <c r="O224" s="1174" t="s">
        <v>778</v>
      </c>
      <c r="P224" s="1207" t="s">
        <v>678</v>
      </c>
      <c r="Q224" s="1163"/>
      <c r="R224" s="1269">
        <v>57200000</v>
      </c>
      <c r="S224" s="1357">
        <v>57200000</v>
      </c>
      <c r="T224" s="1357">
        <f>+Tabla16[[#This Row],[CDPS A 31 JULIO 2022]]-Tabla16[[#This Row],[CDP]]</f>
        <v>0</v>
      </c>
      <c r="U224" s="1357">
        <v>57200000</v>
      </c>
      <c r="V224" s="1357">
        <v>21320000</v>
      </c>
      <c r="W224" s="1357"/>
    </row>
    <row r="225" spans="1:23" s="1207" customFormat="1" ht="45" hidden="1" customHeight="1" x14ac:dyDescent="0.3">
      <c r="A225" s="1355">
        <v>2022225</v>
      </c>
      <c r="B225" s="1172">
        <v>7655</v>
      </c>
      <c r="C225" s="1356" t="s">
        <v>668</v>
      </c>
      <c r="D225" s="1190" t="s">
        <v>671</v>
      </c>
      <c r="E225" s="1174">
        <v>80111600</v>
      </c>
      <c r="F225" s="1379" t="s">
        <v>914</v>
      </c>
      <c r="G225" s="1380">
        <v>44562</v>
      </c>
      <c r="H225" s="1380">
        <v>44592</v>
      </c>
      <c r="I225" s="1176">
        <v>9.5</v>
      </c>
      <c r="J225" s="1176" t="s">
        <v>673</v>
      </c>
      <c r="K225" s="1177" t="s">
        <v>674</v>
      </c>
      <c r="L225" s="1178" t="s">
        <v>675</v>
      </c>
      <c r="M225" s="1179">
        <f>57000000-14400000-31000000</f>
        <v>11600000</v>
      </c>
      <c r="N225" s="1376" t="s">
        <v>783</v>
      </c>
      <c r="O225" s="1174" t="s">
        <v>778</v>
      </c>
      <c r="P225" s="1207" t="s">
        <v>678</v>
      </c>
      <c r="Q225" s="1163"/>
      <c r="R225" s="1269">
        <v>40000000</v>
      </c>
      <c r="S225" s="1357">
        <v>40000000</v>
      </c>
      <c r="T225" s="1357">
        <f>+Tabla16[[#This Row],[CDPS A 31 JULIO 2022]]-Tabla16[[#This Row],[CDP]]</f>
        <v>0</v>
      </c>
      <c r="U225" s="1357">
        <v>40000000</v>
      </c>
      <c r="V225" s="1357">
        <v>5000000</v>
      </c>
      <c r="W225" s="1357"/>
    </row>
    <row r="226" spans="1:23" s="1207" customFormat="1" ht="45" hidden="1" customHeight="1" x14ac:dyDescent="0.3">
      <c r="A226" s="1355">
        <v>2022226</v>
      </c>
      <c r="B226" s="1172">
        <v>7655</v>
      </c>
      <c r="C226" s="1356" t="s">
        <v>668</v>
      </c>
      <c r="D226" s="1190" t="s">
        <v>671</v>
      </c>
      <c r="E226" s="1174">
        <v>80111600</v>
      </c>
      <c r="F226" s="1379" t="s">
        <v>915</v>
      </c>
      <c r="G226" s="1380"/>
      <c r="H226" s="1380"/>
      <c r="I226" s="1176"/>
      <c r="J226" s="1176" t="s">
        <v>673</v>
      </c>
      <c r="K226" s="1177" t="s">
        <v>674</v>
      </c>
      <c r="L226" s="1178" t="s">
        <v>675</v>
      </c>
      <c r="M226" s="1179">
        <v>13800000</v>
      </c>
      <c r="N226" s="1376" t="s">
        <v>783</v>
      </c>
      <c r="O226" s="1174" t="s">
        <v>778</v>
      </c>
      <c r="P226" s="1207" t="s">
        <v>748</v>
      </c>
      <c r="Q226" s="1163"/>
      <c r="R226" s="1269">
        <v>0</v>
      </c>
      <c r="S226" s="1357"/>
      <c r="T226" s="1357">
        <f>+Tabla16[[#This Row],[CDPS A 31 JULIO 2022]]-Tabla16[[#This Row],[CDP]]</f>
        <v>0</v>
      </c>
      <c r="U226" s="1357"/>
      <c r="V226" s="1357"/>
      <c r="W226" s="1357"/>
    </row>
    <row r="227" spans="1:23" s="1207" customFormat="1" ht="45" hidden="1" customHeight="1" x14ac:dyDescent="0.3">
      <c r="A227" s="1355">
        <v>2022227</v>
      </c>
      <c r="B227" s="1172">
        <v>7655</v>
      </c>
      <c r="C227" s="1356" t="s">
        <v>668</v>
      </c>
      <c r="D227" s="1190" t="s">
        <v>669</v>
      </c>
      <c r="E227" s="1174">
        <v>80111600</v>
      </c>
      <c r="F227" s="1379" t="s">
        <v>916</v>
      </c>
      <c r="G227" s="1380">
        <v>44562</v>
      </c>
      <c r="H227" s="1380">
        <v>44592</v>
      </c>
      <c r="I227" s="1176">
        <v>11</v>
      </c>
      <c r="J227" s="1176" t="s">
        <v>673</v>
      </c>
      <c r="K227" s="1177" t="s">
        <v>674</v>
      </c>
      <c r="L227" s="1178" t="s">
        <v>675</v>
      </c>
      <c r="M227" s="1179">
        <f>29920000-2920000</f>
        <v>27000000</v>
      </c>
      <c r="N227" s="1376" t="s">
        <v>783</v>
      </c>
      <c r="O227" s="1174" t="s">
        <v>778</v>
      </c>
      <c r="P227" s="1207" t="s">
        <v>678</v>
      </c>
      <c r="Q227" s="1163"/>
      <c r="R227" s="1269">
        <v>27000000</v>
      </c>
      <c r="S227" s="1357">
        <v>27000000</v>
      </c>
      <c r="T227" s="1357">
        <f>+Tabla16[[#This Row],[CDPS A 31 JULIO 2022]]-Tabla16[[#This Row],[CDP]]</f>
        <v>0</v>
      </c>
      <c r="U227" s="1357">
        <v>27000000</v>
      </c>
      <c r="V227" s="1357">
        <v>13300000</v>
      </c>
      <c r="W227" s="1357"/>
    </row>
    <row r="228" spans="1:23" s="1207" customFormat="1" ht="45" hidden="1" customHeight="1" x14ac:dyDescent="0.3">
      <c r="A228" s="1355">
        <v>2022228</v>
      </c>
      <c r="B228" s="1172">
        <v>7655</v>
      </c>
      <c r="C228" s="1356" t="s">
        <v>668</v>
      </c>
      <c r="D228" s="1190" t="s">
        <v>669</v>
      </c>
      <c r="E228" s="1174">
        <v>80111600</v>
      </c>
      <c r="F228" s="1379" t="s">
        <v>917</v>
      </c>
      <c r="G228" s="1380">
        <v>44562</v>
      </c>
      <c r="H228" s="1380">
        <v>44592</v>
      </c>
      <c r="I228" s="1176">
        <v>11</v>
      </c>
      <c r="J228" s="1176" t="s">
        <v>673</v>
      </c>
      <c r="K228" s="1177" t="s">
        <v>674</v>
      </c>
      <c r="L228" s="1178" t="s">
        <v>675</v>
      </c>
      <c r="M228" s="1179">
        <v>30800000</v>
      </c>
      <c r="N228" s="1376" t="s">
        <v>783</v>
      </c>
      <c r="O228" s="1174" t="s">
        <v>778</v>
      </c>
      <c r="P228" s="1207" t="s">
        <v>678</v>
      </c>
      <c r="Q228" s="1163"/>
      <c r="R228" s="1269">
        <v>30800000</v>
      </c>
      <c r="S228" s="1357">
        <v>30800000</v>
      </c>
      <c r="T228" s="1357">
        <f>+Tabla16[[#This Row],[CDPS A 31 JULIO 2022]]-Tabla16[[#This Row],[CDP]]</f>
        <v>0</v>
      </c>
      <c r="U228" s="1357">
        <v>30800000</v>
      </c>
      <c r="V228" s="1357">
        <v>11760000</v>
      </c>
      <c r="W228" s="1357"/>
    </row>
    <row r="229" spans="1:23" s="1207" customFormat="1" ht="45" hidden="1" customHeight="1" x14ac:dyDescent="0.3">
      <c r="A229" s="1355">
        <v>2022229</v>
      </c>
      <c r="B229" s="1172">
        <v>7655</v>
      </c>
      <c r="C229" s="1356" t="s">
        <v>668</v>
      </c>
      <c r="D229" s="1190" t="s">
        <v>669</v>
      </c>
      <c r="E229" s="1174">
        <v>80111600</v>
      </c>
      <c r="F229" s="1379" t="s">
        <v>918</v>
      </c>
      <c r="G229" s="1380">
        <v>44562</v>
      </c>
      <c r="H229" s="1380">
        <v>44592</v>
      </c>
      <c r="I229" s="1176">
        <v>11</v>
      </c>
      <c r="J229" s="1176" t="s">
        <v>673</v>
      </c>
      <c r="K229" s="1177" t="s">
        <v>674</v>
      </c>
      <c r="L229" s="1178" t="s">
        <v>675</v>
      </c>
      <c r="M229" s="1179">
        <f>78320000-35600000</f>
        <v>42720000</v>
      </c>
      <c r="N229" s="1376" t="s">
        <v>783</v>
      </c>
      <c r="O229" s="1174" t="s">
        <v>778</v>
      </c>
      <c r="P229" s="1207" t="s">
        <v>678</v>
      </c>
      <c r="Q229" s="1163"/>
      <c r="R229" s="1269">
        <v>42720000</v>
      </c>
      <c r="S229" s="1357">
        <v>42720000</v>
      </c>
      <c r="T229" s="1357">
        <f>+Tabla16[[#This Row],[CDPS A 31 JULIO 2022]]-Tabla16[[#This Row],[CDP]]</f>
        <v>0</v>
      </c>
      <c r="U229" s="1357">
        <v>42720000</v>
      </c>
      <c r="V229" s="1357">
        <v>31802667</v>
      </c>
      <c r="W229" s="1357"/>
    </row>
    <row r="230" spans="1:23" s="1207" customFormat="1" ht="45" hidden="1" customHeight="1" x14ac:dyDescent="0.3">
      <c r="A230" s="1355">
        <v>2022230</v>
      </c>
      <c r="B230" s="1172">
        <v>7655</v>
      </c>
      <c r="C230" s="1356" t="s">
        <v>668</v>
      </c>
      <c r="D230" s="1190" t="s">
        <v>669</v>
      </c>
      <c r="E230" s="1174">
        <v>80111600</v>
      </c>
      <c r="F230" s="1379" t="s">
        <v>919</v>
      </c>
      <c r="G230" s="1380">
        <v>44562</v>
      </c>
      <c r="H230" s="1380">
        <v>44592</v>
      </c>
      <c r="I230" s="1176">
        <v>11</v>
      </c>
      <c r="J230" s="1176" t="s">
        <v>673</v>
      </c>
      <c r="K230" s="1177" t="s">
        <v>674</v>
      </c>
      <c r="L230" s="1178" t="s">
        <v>675</v>
      </c>
      <c r="M230" s="1179">
        <v>102520000</v>
      </c>
      <c r="N230" s="1376" t="s">
        <v>783</v>
      </c>
      <c r="O230" s="1174" t="s">
        <v>778</v>
      </c>
      <c r="P230" s="1207" t="s">
        <v>678</v>
      </c>
      <c r="Q230" s="1163"/>
      <c r="R230" s="1269">
        <v>205040000</v>
      </c>
      <c r="S230" s="1357">
        <v>205040000</v>
      </c>
      <c r="T230" s="1357">
        <f>+Tabla16[[#This Row],[CDPS A 31 JULIO 2022]]-Tabla16[[#This Row],[CDP]]</f>
        <v>0</v>
      </c>
      <c r="U230" s="1357">
        <v>102520000</v>
      </c>
      <c r="V230" s="1357">
        <v>41008000</v>
      </c>
      <c r="W230" s="1357"/>
    </row>
    <row r="231" spans="1:23" s="1207" customFormat="1" ht="45" hidden="1" customHeight="1" x14ac:dyDescent="0.3">
      <c r="A231" s="1355">
        <v>2022231</v>
      </c>
      <c r="B231" s="1172">
        <v>7655</v>
      </c>
      <c r="C231" s="1356" t="s">
        <v>668</v>
      </c>
      <c r="D231" s="1190" t="s">
        <v>669</v>
      </c>
      <c r="E231" s="1174">
        <v>80111600</v>
      </c>
      <c r="F231" s="1379" t="s">
        <v>920</v>
      </c>
      <c r="G231" s="1380">
        <v>44562</v>
      </c>
      <c r="H231" s="1380">
        <v>44592</v>
      </c>
      <c r="I231" s="1176">
        <v>11</v>
      </c>
      <c r="J231" s="1176" t="s">
        <v>673</v>
      </c>
      <c r="K231" s="1177" t="s">
        <v>674</v>
      </c>
      <c r="L231" s="1178" t="s">
        <v>675</v>
      </c>
      <c r="M231" s="1179">
        <f>101200000-8800000-19200000</f>
        <v>73200000</v>
      </c>
      <c r="N231" s="1376" t="s">
        <v>783</v>
      </c>
      <c r="O231" s="1174" t="s">
        <v>778</v>
      </c>
      <c r="P231" s="1207" t="s">
        <v>678</v>
      </c>
      <c r="Q231" s="1163"/>
      <c r="R231" s="1269">
        <v>55200000</v>
      </c>
      <c r="S231" s="1357">
        <v>55200000</v>
      </c>
      <c r="T231" s="1357">
        <f>+Tabla16[[#This Row],[CDPS A 31 JULIO 2022]]-Tabla16[[#This Row],[CDP]]</f>
        <v>0</v>
      </c>
      <c r="U231" s="1357">
        <v>55200000</v>
      </c>
      <c r="V231" s="1357">
        <v>40786667</v>
      </c>
      <c r="W231" s="1357"/>
    </row>
    <row r="232" spans="1:23" s="1207" customFormat="1" ht="45" hidden="1" customHeight="1" x14ac:dyDescent="0.3">
      <c r="A232" s="1355">
        <v>2022232</v>
      </c>
      <c r="B232" s="1172">
        <v>7655</v>
      </c>
      <c r="C232" s="1356" t="s">
        <v>668</v>
      </c>
      <c r="D232" s="1190" t="s">
        <v>669</v>
      </c>
      <c r="E232" s="1174">
        <v>80111600</v>
      </c>
      <c r="F232" s="1379" t="s">
        <v>921</v>
      </c>
      <c r="G232" s="1380">
        <v>44562</v>
      </c>
      <c r="H232" s="1380">
        <v>44592</v>
      </c>
      <c r="I232" s="1176">
        <v>11</v>
      </c>
      <c r="J232" s="1176" t="s">
        <v>673</v>
      </c>
      <c r="K232" s="1177" t="s">
        <v>674</v>
      </c>
      <c r="L232" s="1178" t="s">
        <v>675</v>
      </c>
      <c r="M232" s="1179">
        <v>58080000</v>
      </c>
      <c r="N232" s="1376" t="s">
        <v>783</v>
      </c>
      <c r="O232" s="1174" t="s">
        <v>778</v>
      </c>
      <c r="P232" s="1207" t="s">
        <v>678</v>
      </c>
      <c r="Q232" s="1163"/>
      <c r="R232" s="1269">
        <v>58080000</v>
      </c>
      <c r="S232" s="1357">
        <v>58080000</v>
      </c>
      <c r="T232" s="1357">
        <f>+Tabla16[[#This Row],[CDPS A 31 JULIO 2022]]-Tabla16[[#This Row],[CDP]]</f>
        <v>0</v>
      </c>
      <c r="U232" s="1357">
        <v>58080000</v>
      </c>
      <c r="V232" s="1357">
        <v>24112000</v>
      </c>
      <c r="W232" s="1357"/>
    </row>
    <row r="233" spans="1:23" s="1207" customFormat="1" ht="45" hidden="1" customHeight="1" x14ac:dyDescent="0.3">
      <c r="A233" s="1355">
        <v>2022233</v>
      </c>
      <c r="B233" s="1172">
        <v>7655</v>
      </c>
      <c r="C233" s="1356" t="s">
        <v>668</v>
      </c>
      <c r="D233" s="1190" t="s">
        <v>669</v>
      </c>
      <c r="E233" s="1174">
        <v>80111600</v>
      </c>
      <c r="F233" s="1379" t="s">
        <v>922</v>
      </c>
      <c r="G233" s="1380">
        <v>44562</v>
      </c>
      <c r="H233" s="1380">
        <v>44592</v>
      </c>
      <c r="I233" s="1176">
        <v>11</v>
      </c>
      <c r="J233" s="1176" t="s">
        <v>673</v>
      </c>
      <c r="K233" s="1177" t="s">
        <v>674</v>
      </c>
      <c r="L233" s="1178" t="s">
        <v>675</v>
      </c>
      <c r="M233" s="1179">
        <v>42350000</v>
      </c>
      <c r="N233" s="1376" t="s">
        <v>783</v>
      </c>
      <c r="O233" s="1174" t="s">
        <v>778</v>
      </c>
      <c r="P233" s="1207" t="s">
        <v>678</v>
      </c>
      <c r="Q233" s="1163"/>
      <c r="R233" s="1269">
        <v>42350000</v>
      </c>
      <c r="S233" s="1357">
        <v>42350000</v>
      </c>
      <c r="T233" s="1357">
        <f>+Tabla16[[#This Row],[CDPS A 31 JULIO 2022]]-Tabla16[[#This Row],[CDP]]</f>
        <v>0</v>
      </c>
      <c r="U233" s="1357">
        <v>42350000</v>
      </c>
      <c r="V233" s="1357">
        <v>17068333</v>
      </c>
      <c r="W233" s="1357"/>
    </row>
    <row r="234" spans="1:23" s="1207" customFormat="1" ht="45" hidden="1" customHeight="1" x14ac:dyDescent="0.3">
      <c r="A234" s="1355">
        <v>2022234</v>
      </c>
      <c r="B234" s="1172">
        <v>7655</v>
      </c>
      <c r="C234" s="1356" t="s">
        <v>668</v>
      </c>
      <c r="D234" s="1190" t="s">
        <v>669</v>
      </c>
      <c r="E234" s="1174">
        <v>80111600</v>
      </c>
      <c r="F234" s="1379" t="s">
        <v>923</v>
      </c>
      <c r="G234" s="1380">
        <v>44562</v>
      </c>
      <c r="H234" s="1380">
        <v>44592</v>
      </c>
      <c r="I234" s="1176">
        <v>11</v>
      </c>
      <c r="J234" s="1176" t="s">
        <v>673</v>
      </c>
      <c r="K234" s="1177" t="s">
        <v>674</v>
      </c>
      <c r="L234" s="1178" t="s">
        <v>675</v>
      </c>
      <c r="M234" s="1179">
        <f>39600000-11500000-5480000</f>
        <v>22620000</v>
      </c>
      <c r="N234" s="1376" t="s">
        <v>783</v>
      </c>
      <c r="O234" s="1174" t="s">
        <v>778</v>
      </c>
      <c r="P234" s="1207" t="s">
        <v>678</v>
      </c>
      <c r="Q234" s="1163"/>
      <c r="R234" s="1269">
        <v>13800000</v>
      </c>
      <c r="S234" s="1357">
        <v>13800000</v>
      </c>
      <c r="T234" s="1357">
        <f>+Tabla16[[#This Row],[CDPS A 31 JULIO 2022]]-Tabla16[[#This Row],[CDP]]</f>
        <v>0</v>
      </c>
      <c r="U234" s="1357">
        <v>13800000</v>
      </c>
      <c r="V234" s="1357">
        <v>9046667</v>
      </c>
      <c r="W234" s="1357"/>
    </row>
    <row r="235" spans="1:23" s="1207" customFormat="1" ht="45" hidden="1" customHeight="1" x14ac:dyDescent="0.3">
      <c r="A235" s="1355">
        <v>2022235</v>
      </c>
      <c r="B235" s="1172">
        <v>7655</v>
      </c>
      <c r="C235" s="1356" t="s">
        <v>668</v>
      </c>
      <c r="D235" s="1190" t="s">
        <v>669</v>
      </c>
      <c r="E235" s="1174">
        <v>80111600</v>
      </c>
      <c r="F235" s="1379" t="s">
        <v>924</v>
      </c>
      <c r="G235" s="1380">
        <v>44562</v>
      </c>
      <c r="H235" s="1380">
        <v>44592</v>
      </c>
      <c r="I235" s="1176">
        <v>11</v>
      </c>
      <c r="J235" s="1176" t="s">
        <v>673</v>
      </c>
      <c r="K235" s="1177" t="s">
        <v>674</v>
      </c>
      <c r="L235" s="1178" t="s">
        <v>675</v>
      </c>
      <c r="M235" s="1179">
        <v>39600000</v>
      </c>
      <c r="N235" s="1376" t="s">
        <v>783</v>
      </c>
      <c r="O235" s="1174" t="s">
        <v>778</v>
      </c>
      <c r="P235" s="1207" t="s">
        <v>678</v>
      </c>
      <c r="Q235" s="1163"/>
      <c r="R235" s="1269">
        <v>39600000</v>
      </c>
      <c r="S235" s="1357">
        <v>39600000</v>
      </c>
      <c r="T235" s="1357">
        <f>+Tabla16[[#This Row],[CDPS A 31 JULIO 2022]]-Tabla16[[#This Row],[CDP]]</f>
        <v>0</v>
      </c>
      <c r="U235" s="1357">
        <v>39600000</v>
      </c>
      <c r="V235" s="1357">
        <v>15840000</v>
      </c>
      <c r="W235" s="1357"/>
    </row>
    <row r="236" spans="1:23" s="1207" customFormat="1" ht="45" hidden="1" customHeight="1" x14ac:dyDescent="0.3">
      <c r="A236" s="1355">
        <v>2022236</v>
      </c>
      <c r="B236" s="1172">
        <v>7658</v>
      </c>
      <c r="C236" s="1356" t="s">
        <v>679</v>
      </c>
      <c r="D236" s="1190" t="s">
        <v>698</v>
      </c>
      <c r="E236" s="1174">
        <v>80111600</v>
      </c>
      <c r="F236" s="1379" t="s">
        <v>925</v>
      </c>
      <c r="G236" s="1380">
        <v>44562</v>
      </c>
      <c r="H236" s="1380">
        <v>44592</v>
      </c>
      <c r="I236" s="1176">
        <v>11.5</v>
      </c>
      <c r="J236" s="1176" t="s">
        <v>673</v>
      </c>
      <c r="K236" s="1177" t="s">
        <v>674</v>
      </c>
      <c r="L236" s="1178" t="s">
        <v>675</v>
      </c>
      <c r="M236" s="1179">
        <f>39100000-1700000</f>
        <v>37400000</v>
      </c>
      <c r="N236" s="1376" t="s">
        <v>784</v>
      </c>
      <c r="O236" s="1174" t="s">
        <v>771</v>
      </c>
      <c r="P236" s="1163" t="s">
        <v>678</v>
      </c>
      <c r="Q236" s="1163"/>
      <c r="R236" s="1357">
        <v>37400000</v>
      </c>
      <c r="S236" s="1357">
        <v>37400000</v>
      </c>
      <c r="T236" s="1357">
        <f>+Tabla16[[#This Row],[CDPS A 31 JULIO 2022]]-Tabla16[[#This Row],[CDP]]</f>
        <v>0</v>
      </c>
      <c r="U236" s="1357">
        <v>37400000</v>
      </c>
      <c r="V236" s="1357">
        <v>14053333</v>
      </c>
      <c r="W236" s="1357"/>
    </row>
    <row r="237" spans="1:23" s="1207" customFormat="1" ht="45" hidden="1" customHeight="1" x14ac:dyDescent="0.3">
      <c r="A237" s="1355">
        <v>2022237</v>
      </c>
      <c r="B237" s="1172">
        <v>7655</v>
      </c>
      <c r="C237" s="1356" t="s">
        <v>668</v>
      </c>
      <c r="D237" s="1190" t="s">
        <v>669</v>
      </c>
      <c r="E237" s="1174">
        <v>80111600</v>
      </c>
      <c r="F237" s="1379" t="s">
        <v>926</v>
      </c>
      <c r="G237" s="1380">
        <v>44562</v>
      </c>
      <c r="H237" s="1380">
        <v>44592</v>
      </c>
      <c r="I237" s="1176">
        <v>11</v>
      </c>
      <c r="J237" s="1176" t="s">
        <v>673</v>
      </c>
      <c r="K237" s="1177" t="s">
        <v>674</v>
      </c>
      <c r="L237" s="1178" t="s">
        <v>675</v>
      </c>
      <c r="M237" s="1179">
        <v>48735000</v>
      </c>
      <c r="N237" s="1376" t="s">
        <v>783</v>
      </c>
      <c r="O237" s="1174" t="s">
        <v>778</v>
      </c>
      <c r="P237" s="1163" t="s">
        <v>678</v>
      </c>
      <c r="Q237" s="1163"/>
      <c r="R237" s="1269">
        <v>0</v>
      </c>
      <c r="S237" s="1357"/>
      <c r="T237" s="1357">
        <f>+Tabla16[[#This Row],[CDPS A 31 JULIO 2022]]-Tabla16[[#This Row],[CDP]]</f>
        <v>0</v>
      </c>
      <c r="U237" s="1357"/>
      <c r="V237" s="1357"/>
      <c r="W237" s="1357"/>
    </row>
    <row r="238" spans="1:23" s="1207" customFormat="1" ht="45" hidden="1" customHeight="1" x14ac:dyDescent="0.3">
      <c r="A238" s="1355">
        <v>2022238</v>
      </c>
      <c r="B238" s="1172">
        <v>7655</v>
      </c>
      <c r="C238" s="1356" t="s">
        <v>668</v>
      </c>
      <c r="D238" s="1190" t="s">
        <v>669</v>
      </c>
      <c r="E238" s="1174">
        <v>80111600</v>
      </c>
      <c r="F238" s="1379" t="s">
        <v>927</v>
      </c>
      <c r="G238" s="1380">
        <v>44562</v>
      </c>
      <c r="H238" s="1380">
        <v>44592</v>
      </c>
      <c r="I238" s="1176">
        <v>11</v>
      </c>
      <c r="J238" s="1176" t="s">
        <v>673</v>
      </c>
      <c r="K238" s="1177" t="s">
        <v>674</v>
      </c>
      <c r="L238" s="1178" t="s">
        <v>675</v>
      </c>
      <c r="M238" s="1179">
        <f>44000000+8800000-24000000</f>
        <v>28800000</v>
      </c>
      <c r="N238" s="1376" t="s">
        <v>783</v>
      </c>
      <c r="O238" s="1174" t="s">
        <v>778</v>
      </c>
      <c r="P238" s="1163" t="s">
        <v>678</v>
      </c>
      <c r="Q238" s="1163"/>
      <c r="R238" s="1269">
        <v>28800000</v>
      </c>
      <c r="S238" s="1357">
        <v>28800000</v>
      </c>
      <c r="T238" s="1357">
        <f>+Tabla16[[#This Row],[CDPS A 31 JULIO 2022]]-Tabla16[[#This Row],[CDP]]</f>
        <v>0</v>
      </c>
      <c r="U238" s="1357">
        <v>28800000</v>
      </c>
      <c r="V238" s="1357">
        <v>18880000</v>
      </c>
      <c r="W238" s="1357"/>
    </row>
    <row r="239" spans="1:23" s="1207" customFormat="1" ht="45" hidden="1" customHeight="1" x14ac:dyDescent="0.3">
      <c r="A239" s="1355">
        <v>2022239</v>
      </c>
      <c r="B239" s="1172">
        <v>7655</v>
      </c>
      <c r="C239" s="1356" t="s">
        <v>668</v>
      </c>
      <c r="D239" s="1190" t="s">
        <v>644</v>
      </c>
      <c r="E239" s="1174">
        <v>80111600</v>
      </c>
      <c r="F239" s="1379" t="s">
        <v>928</v>
      </c>
      <c r="G239" s="1380">
        <v>44562</v>
      </c>
      <c r="H239" s="1380">
        <v>44592</v>
      </c>
      <c r="I239" s="1176">
        <v>11</v>
      </c>
      <c r="J239" s="1176" t="s">
        <v>673</v>
      </c>
      <c r="K239" s="1177" t="s">
        <v>674</v>
      </c>
      <c r="L239" s="1178" t="s">
        <v>675</v>
      </c>
      <c r="M239" s="1179">
        <v>102520000</v>
      </c>
      <c r="N239" s="1376" t="s">
        <v>783</v>
      </c>
      <c r="O239" s="1174" t="s">
        <v>778</v>
      </c>
      <c r="P239" s="1163" t="s">
        <v>678</v>
      </c>
      <c r="Q239" s="1163"/>
      <c r="R239" s="1269">
        <v>102520000</v>
      </c>
      <c r="S239" s="1357">
        <v>102520000</v>
      </c>
      <c r="T239" s="1357">
        <f>+Tabla16[[#This Row],[CDPS A 31 JULIO 2022]]-Tabla16[[#This Row],[CDP]]</f>
        <v>0</v>
      </c>
      <c r="U239" s="1357">
        <v>102520000</v>
      </c>
      <c r="V239" s="1357">
        <v>37901334</v>
      </c>
      <c r="W239" s="1357"/>
    </row>
    <row r="240" spans="1:23" s="1207" customFormat="1" ht="45" hidden="1" customHeight="1" x14ac:dyDescent="0.3">
      <c r="A240" s="1355">
        <v>2022240</v>
      </c>
      <c r="B240" s="1172">
        <v>7655</v>
      </c>
      <c r="C240" s="1356" t="s">
        <v>668</v>
      </c>
      <c r="D240" s="1190" t="s">
        <v>644</v>
      </c>
      <c r="E240" s="1174">
        <v>80111600</v>
      </c>
      <c r="F240" s="1379" t="s">
        <v>929</v>
      </c>
      <c r="G240" s="1380">
        <v>44562</v>
      </c>
      <c r="H240" s="1380">
        <v>44592</v>
      </c>
      <c r="I240" s="1176">
        <v>11</v>
      </c>
      <c r="J240" s="1176" t="s">
        <v>673</v>
      </c>
      <c r="K240" s="1177" t="s">
        <v>674</v>
      </c>
      <c r="L240" s="1178" t="s">
        <v>675</v>
      </c>
      <c r="M240" s="1179">
        <v>90200000</v>
      </c>
      <c r="N240" s="1376" t="s">
        <v>783</v>
      </c>
      <c r="O240" s="1174" t="s">
        <v>778</v>
      </c>
      <c r="P240" s="1163" t="s">
        <v>678</v>
      </c>
      <c r="Q240" s="1163"/>
      <c r="R240" s="1269">
        <v>90200000</v>
      </c>
      <c r="S240" s="1357">
        <v>90200000</v>
      </c>
      <c r="T240" s="1357">
        <f>+Tabla16[[#This Row],[CDPS A 31 JULIO 2022]]-Tabla16[[#This Row],[CDP]]</f>
        <v>0</v>
      </c>
      <c r="U240" s="1357">
        <v>90200000</v>
      </c>
      <c r="V240" s="1357">
        <v>37720000</v>
      </c>
      <c r="W240" s="1357"/>
    </row>
    <row r="241" spans="1:23" s="1207" customFormat="1" ht="45" hidden="1" customHeight="1" x14ac:dyDescent="0.3">
      <c r="A241" s="1355">
        <v>2022241</v>
      </c>
      <c r="B241" s="1172">
        <v>7655</v>
      </c>
      <c r="C241" s="1356" t="s">
        <v>668</v>
      </c>
      <c r="D241" s="1190" t="s">
        <v>644</v>
      </c>
      <c r="E241" s="1174">
        <v>80111600</v>
      </c>
      <c r="F241" s="1379" t="s">
        <v>930</v>
      </c>
      <c r="G241" s="1380">
        <v>44562</v>
      </c>
      <c r="H241" s="1380">
        <v>44592</v>
      </c>
      <c r="I241" s="1176">
        <v>11</v>
      </c>
      <c r="J241" s="1176" t="s">
        <v>673</v>
      </c>
      <c r="K241" s="1177" t="s">
        <v>674</v>
      </c>
      <c r="L241" s="1178" t="s">
        <v>675</v>
      </c>
      <c r="M241" s="1179">
        <v>82500000</v>
      </c>
      <c r="N241" s="1376" t="s">
        <v>783</v>
      </c>
      <c r="O241" s="1174" t="s">
        <v>778</v>
      </c>
      <c r="P241" s="1163" t="s">
        <v>678</v>
      </c>
      <c r="Q241" s="1163"/>
      <c r="R241" s="1269">
        <v>82500000</v>
      </c>
      <c r="S241" s="1357">
        <v>82500000</v>
      </c>
      <c r="T241" s="1357">
        <f>+Tabla16[[#This Row],[CDPS A 31 JULIO 2022]]-Tabla16[[#This Row],[CDP]]</f>
        <v>0</v>
      </c>
      <c r="U241" s="1357">
        <v>82500000</v>
      </c>
      <c r="V241" s="1357">
        <v>32750000</v>
      </c>
      <c r="W241" s="1357"/>
    </row>
    <row r="242" spans="1:23" s="1207" customFormat="1" ht="45" hidden="1" customHeight="1" x14ac:dyDescent="0.3">
      <c r="A242" s="1355">
        <v>2022242</v>
      </c>
      <c r="B242" s="1172">
        <v>7655</v>
      </c>
      <c r="C242" s="1356" t="s">
        <v>668</v>
      </c>
      <c r="D242" s="1190" t="s">
        <v>644</v>
      </c>
      <c r="E242" s="1174">
        <v>80111600</v>
      </c>
      <c r="F242" s="1379" t="s">
        <v>931</v>
      </c>
      <c r="G242" s="1380">
        <v>44562</v>
      </c>
      <c r="H242" s="1380">
        <v>44592</v>
      </c>
      <c r="I242" s="1176">
        <v>11</v>
      </c>
      <c r="J242" s="1176" t="s">
        <v>673</v>
      </c>
      <c r="K242" s="1177" t="s">
        <v>674</v>
      </c>
      <c r="L242" s="1178" t="s">
        <v>675</v>
      </c>
      <c r="M242" s="1179">
        <v>50600000</v>
      </c>
      <c r="N242" s="1376" t="s">
        <v>783</v>
      </c>
      <c r="O242" s="1174" t="s">
        <v>778</v>
      </c>
      <c r="P242" s="1163" t="s">
        <v>678</v>
      </c>
      <c r="Q242" s="1163"/>
      <c r="R242" s="1269">
        <v>50600000</v>
      </c>
      <c r="S242" s="1357">
        <v>50600000</v>
      </c>
      <c r="T242" s="1357">
        <f>+Tabla16[[#This Row],[CDPS A 31 JULIO 2022]]-Tabla16[[#This Row],[CDP]]</f>
        <v>0</v>
      </c>
      <c r="U242" s="1357">
        <v>50600000</v>
      </c>
      <c r="V242" s="1357">
        <v>19320000</v>
      </c>
      <c r="W242" s="1357"/>
    </row>
    <row r="243" spans="1:23" s="1207" customFormat="1" ht="45" hidden="1" customHeight="1" x14ac:dyDescent="0.3">
      <c r="A243" s="1355">
        <v>2022243</v>
      </c>
      <c r="B243" s="1172">
        <v>7655</v>
      </c>
      <c r="C243" s="1356" t="s">
        <v>668</v>
      </c>
      <c r="D243" s="1190" t="s">
        <v>644</v>
      </c>
      <c r="E243" s="1174">
        <v>80111600</v>
      </c>
      <c r="F243" s="1379" t="s">
        <v>932</v>
      </c>
      <c r="G243" s="1380">
        <v>44562</v>
      </c>
      <c r="H243" s="1380">
        <v>44592</v>
      </c>
      <c r="I243" s="1176">
        <v>11</v>
      </c>
      <c r="J243" s="1176" t="s">
        <v>673</v>
      </c>
      <c r="K243" s="1177" t="s">
        <v>674</v>
      </c>
      <c r="L243" s="1178" t="s">
        <v>675</v>
      </c>
      <c r="M243" s="1179">
        <v>35200000</v>
      </c>
      <c r="N243" s="1376" t="s">
        <v>783</v>
      </c>
      <c r="O243" s="1174" t="s">
        <v>778</v>
      </c>
      <c r="P243" s="1163" t="s">
        <v>678</v>
      </c>
      <c r="Q243" s="1163"/>
      <c r="R243" s="1269">
        <v>30250000</v>
      </c>
      <c r="S243" s="1357">
        <v>30250000</v>
      </c>
      <c r="T243" s="1357">
        <f>+Tabla16[[#This Row],[CDPS A 31 JULIO 2022]]-Tabla16[[#This Row],[CDP]]</f>
        <v>0</v>
      </c>
      <c r="U243" s="1357">
        <v>30250000</v>
      </c>
      <c r="V243" s="1357">
        <v>10450000</v>
      </c>
      <c r="W243" s="1357"/>
    </row>
    <row r="244" spans="1:23" s="1207" customFormat="1" ht="45" hidden="1" customHeight="1" x14ac:dyDescent="0.3">
      <c r="A244" s="1355">
        <v>2022244</v>
      </c>
      <c r="B244" s="1172">
        <v>7655</v>
      </c>
      <c r="C244" s="1356" t="s">
        <v>668</v>
      </c>
      <c r="D244" s="1190" t="s">
        <v>644</v>
      </c>
      <c r="E244" s="1174">
        <v>80111600</v>
      </c>
      <c r="F244" s="1379" t="s">
        <v>933</v>
      </c>
      <c r="G244" s="1380">
        <v>44562</v>
      </c>
      <c r="H244" s="1380">
        <v>44592</v>
      </c>
      <c r="I244" s="1176">
        <v>11</v>
      </c>
      <c r="J244" s="1176" t="s">
        <v>673</v>
      </c>
      <c r="K244" s="1177" t="s">
        <v>674</v>
      </c>
      <c r="L244" s="1178" t="s">
        <v>675</v>
      </c>
      <c r="M244" s="1179">
        <v>39050000</v>
      </c>
      <c r="N244" s="1376" t="s">
        <v>783</v>
      </c>
      <c r="O244" s="1174" t="s">
        <v>778</v>
      </c>
      <c r="P244" s="1163" t="s">
        <v>678</v>
      </c>
      <c r="Q244" s="1163"/>
      <c r="R244" s="1269">
        <v>39050000</v>
      </c>
      <c r="S244" s="1357">
        <v>39050000</v>
      </c>
      <c r="T244" s="1357">
        <f>+Tabla16[[#This Row],[CDPS A 31 JULIO 2022]]-Tabla16[[#This Row],[CDP]]</f>
        <v>0</v>
      </c>
      <c r="U244" s="1357">
        <v>39050000</v>
      </c>
      <c r="V244" s="1357">
        <v>15501667</v>
      </c>
      <c r="W244" s="1357"/>
    </row>
    <row r="245" spans="1:23" s="1207" customFormat="1" ht="45" hidden="1" customHeight="1" x14ac:dyDescent="0.3">
      <c r="A245" s="1355">
        <v>2022245</v>
      </c>
      <c r="B245" s="1172">
        <v>7655</v>
      </c>
      <c r="C245" s="1356" t="s">
        <v>668</v>
      </c>
      <c r="D245" s="1190" t="s">
        <v>644</v>
      </c>
      <c r="E245" s="1174">
        <v>80111600</v>
      </c>
      <c r="F245" s="1379" t="s">
        <v>934</v>
      </c>
      <c r="G245" s="1380">
        <v>44562</v>
      </c>
      <c r="H245" s="1380">
        <v>44592</v>
      </c>
      <c r="I245" s="1176">
        <v>11</v>
      </c>
      <c r="J245" s="1176" t="s">
        <v>673</v>
      </c>
      <c r="K245" s="1177" t="s">
        <v>674</v>
      </c>
      <c r="L245" s="1178" t="s">
        <v>675</v>
      </c>
      <c r="M245" s="1179">
        <v>39050000</v>
      </c>
      <c r="N245" s="1376" t="s">
        <v>783</v>
      </c>
      <c r="O245" s="1174" t="s">
        <v>778</v>
      </c>
      <c r="P245" s="1163" t="s">
        <v>678</v>
      </c>
      <c r="Q245" s="1163"/>
      <c r="R245" s="1269">
        <v>39050000</v>
      </c>
      <c r="S245" s="1357">
        <v>39050000</v>
      </c>
      <c r="T245" s="1357">
        <f>+Tabla16[[#This Row],[CDPS A 31 JULIO 2022]]-Tabla16[[#This Row],[CDP]]</f>
        <v>0</v>
      </c>
      <c r="U245" s="1357">
        <v>39050000</v>
      </c>
      <c r="V245" s="1357">
        <v>15620000</v>
      </c>
      <c r="W245" s="1357"/>
    </row>
    <row r="246" spans="1:23" s="1207" customFormat="1" ht="45" hidden="1" customHeight="1" x14ac:dyDescent="0.3">
      <c r="A246" s="1355">
        <v>2022246</v>
      </c>
      <c r="B246" s="1172">
        <v>7655</v>
      </c>
      <c r="C246" s="1356" t="s">
        <v>668</v>
      </c>
      <c r="D246" s="1190" t="s">
        <v>644</v>
      </c>
      <c r="E246" s="1174">
        <v>80111600</v>
      </c>
      <c r="F246" s="1379" t="s">
        <v>935</v>
      </c>
      <c r="G246" s="1380">
        <v>44562</v>
      </c>
      <c r="H246" s="1380">
        <v>44592</v>
      </c>
      <c r="I246" s="1176">
        <v>11</v>
      </c>
      <c r="J246" s="1176" t="s">
        <v>673</v>
      </c>
      <c r="K246" s="1177" t="s">
        <v>674</v>
      </c>
      <c r="L246" s="1178" t="s">
        <v>675</v>
      </c>
      <c r="M246" s="1179">
        <v>39050000</v>
      </c>
      <c r="N246" s="1376" t="s">
        <v>783</v>
      </c>
      <c r="O246" s="1174" t="s">
        <v>778</v>
      </c>
      <c r="P246" s="1163" t="s">
        <v>678</v>
      </c>
      <c r="Q246" s="1163"/>
      <c r="R246" s="1269">
        <v>39050000</v>
      </c>
      <c r="S246" s="1357">
        <v>39050000</v>
      </c>
      <c r="T246" s="1357">
        <f>+Tabla16[[#This Row],[CDPS A 31 JULIO 2022]]-Tabla16[[#This Row],[CDP]]</f>
        <v>0</v>
      </c>
      <c r="U246" s="1357">
        <v>39050000</v>
      </c>
      <c r="V246" s="1357">
        <v>15501667</v>
      </c>
      <c r="W246" s="1357"/>
    </row>
    <row r="247" spans="1:23" s="1207" customFormat="1" ht="45" hidden="1" customHeight="1" x14ac:dyDescent="0.3">
      <c r="A247" s="1355">
        <v>2022247</v>
      </c>
      <c r="B247" s="1172">
        <v>7655</v>
      </c>
      <c r="C247" s="1356" t="s">
        <v>668</v>
      </c>
      <c r="D247" s="1190" t="s">
        <v>644</v>
      </c>
      <c r="E247" s="1174">
        <v>80111600</v>
      </c>
      <c r="F247" s="1379" t="s">
        <v>936</v>
      </c>
      <c r="G247" s="1380">
        <v>44562</v>
      </c>
      <c r="H247" s="1380">
        <v>44592</v>
      </c>
      <c r="I247" s="1176">
        <v>11</v>
      </c>
      <c r="J247" s="1176" t="s">
        <v>673</v>
      </c>
      <c r="K247" s="1177" t="s">
        <v>674</v>
      </c>
      <c r="L247" s="1178" t="s">
        <v>675</v>
      </c>
      <c r="M247" s="1179">
        <v>30250000</v>
      </c>
      <c r="N247" s="1376" t="s">
        <v>783</v>
      </c>
      <c r="O247" s="1174" t="s">
        <v>778</v>
      </c>
      <c r="P247" s="1159" t="s">
        <v>678</v>
      </c>
      <c r="Q247" s="1163"/>
      <c r="R247" s="1269">
        <v>30250000</v>
      </c>
      <c r="S247" s="1357">
        <v>30250000</v>
      </c>
      <c r="T247" s="1357">
        <f>+Tabla16[[#This Row],[CDPS A 31 JULIO 2022]]-Tabla16[[#This Row],[CDP]]</f>
        <v>0</v>
      </c>
      <c r="U247" s="1357">
        <v>30250000</v>
      </c>
      <c r="V247" s="1357">
        <v>12100000</v>
      </c>
      <c r="W247" s="1357"/>
    </row>
    <row r="248" spans="1:23" s="1207" customFormat="1" ht="45" hidden="1" customHeight="1" x14ac:dyDescent="0.3">
      <c r="A248" s="1355">
        <v>2022248</v>
      </c>
      <c r="B248" s="1172">
        <v>7655</v>
      </c>
      <c r="C248" s="1356" t="s">
        <v>668</v>
      </c>
      <c r="D248" s="1190" t="s">
        <v>644</v>
      </c>
      <c r="E248" s="1174">
        <v>80111600</v>
      </c>
      <c r="F248" s="1379" t="s">
        <v>937</v>
      </c>
      <c r="G248" s="1380">
        <v>44562</v>
      </c>
      <c r="H248" s="1380">
        <v>44592</v>
      </c>
      <c r="I248" s="1176">
        <v>11</v>
      </c>
      <c r="J248" s="1176" t="s">
        <v>673</v>
      </c>
      <c r="K248" s="1177" t="s">
        <v>674</v>
      </c>
      <c r="L248" s="1178" t="s">
        <v>675</v>
      </c>
      <c r="M248" s="1179">
        <v>36850000</v>
      </c>
      <c r="N248" s="1376" t="s">
        <v>783</v>
      </c>
      <c r="O248" s="1174" t="s">
        <v>778</v>
      </c>
      <c r="P248" s="1159" t="s">
        <v>678</v>
      </c>
      <c r="Q248" s="1163"/>
      <c r="R248" s="1269">
        <v>36850000</v>
      </c>
      <c r="S248" s="1357">
        <v>36850000</v>
      </c>
      <c r="T248" s="1357">
        <f>+Tabla16[[#This Row],[CDPS A 31 JULIO 2022]]-Tabla16[[#This Row],[CDP]]</f>
        <v>0</v>
      </c>
      <c r="U248" s="1357">
        <v>36850000</v>
      </c>
      <c r="V248" s="1357">
        <v>14628333</v>
      </c>
      <c r="W248" s="1357"/>
    </row>
    <row r="249" spans="1:23" s="1207" customFormat="1" ht="45" hidden="1" customHeight="1" x14ac:dyDescent="0.3">
      <c r="A249" s="1355">
        <v>2022249</v>
      </c>
      <c r="B249" s="1172">
        <v>7655</v>
      </c>
      <c r="C249" s="1356" t="s">
        <v>668</v>
      </c>
      <c r="D249" s="1190" t="s">
        <v>644</v>
      </c>
      <c r="E249" s="1174">
        <v>80111600</v>
      </c>
      <c r="F249" s="1379" t="s">
        <v>938</v>
      </c>
      <c r="G249" s="1380">
        <v>44562</v>
      </c>
      <c r="H249" s="1380">
        <v>44592</v>
      </c>
      <c r="I249" s="1176">
        <v>11</v>
      </c>
      <c r="J249" s="1176" t="s">
        <v>673</v>
      </c>
      <c r="K249" s="1177" t="s">
        <v>674</v>
      </c>
      <c r="L249" s="1178" t="s">
        <v>675</v>
      </c>
      <c r="M249" s="1179">
        <v>38500000</v>
      </c>
      <c r="N249" s="1376" t="s">
        <v>783</v>
      </c>
      <c r="O249" s="1174" t="s">
        <v>778</v>
      </c>
      <c r="P249" s="1159" t="s">
        <v>678</v>
      </c>
      <c r="Q249" s="1163"/>
      <c r="R249" s="1269">
        <v>38500000</v>
      </c>
      <c r="S249" s="1357">
        <v>38500000</v>
      </c>
      <c r="T249" s="1357">
        <f>+Tabla16[[#This Row],[CDPS A 31 JULIO 2022]]-Tabla16[[#This Row],[CDP]]</f>
        <v>0</v>
      </c>
      <c r="U249" s="1357">
        <v>38500000</v>
      </c>
      <c r="V249" s="1357">
        <v>14700000</v>
      </c>
      <c r="W249" s="1357"/>
    </row>
    <row r="250" spans="1:23" s="1207" customFormat="1" ht="45" hidden="1" customHeight="1" x14ac:dyDescent="0.3">
      <c r="A250" s="1355">
        <v>2022250</v>
      </c>
      <c r="B250" s="1172">
        <v>7655</v>
      </c>
      <c r="C250" s="1356" t="s">
        <v>668</v>
      </c>
      <c r="D250" s="1190" t="s">
        <v>644</v>
      </c>
      <c r="E250" s="1174">
        <v>80111600</v>
      </c>
      <c r="F250" s="1379" t="s">
        <v>939</v>
      </c>
      <c r="G250" s="1380">
        <v>44562</v>
      </c>
      <c r="H250" s="1380">
        <v>44592</v>
      </c>
      <c r="I250" s="1176">
        <v>11</v>
      </c>
      <c r="J250" s="1176" t="s">
        <v>673</v>
      </c>
      <c r="K250" s="1177" t="s">
        <v>674</v>
      </c>
      <c r="L250" s="1178" t="s">
        <v>675</v>
      </c>
      <c r="M250" s="1179">
        <v>95700000</v>
      </c>
      <c r="N250" s="1376" t="s">
        <v>783</v>
      </c>
      <c r="O250" s="1174" t="s">
        <v>778</v>
      </c>
      <c r="P250" s="1159" t="s">
        <v>678</v>
      </c>
      <c r="Q250" s="1163"/>
      <c r="R250" s="1269">
        <v>95700000</v>
      </c>
      <c r="S250" s="1357">
        <v>95700000</v>
      </c>
      <c r="T250" s="1357">
        <f>+Tabla16[[#This Row],[CDPS A 31 JULIO 2022]]-Tabla16[[#This Row],[CDP]]</f>
        <v>0</v>
      </c>
      <c r="U250" s="1357">
        <v>95700000</v>
      </c>
      <c r="V250" s="1357">
        <v>37700000</v>
      </c>
      <c r="W250" s="1357"/>
    </row>
    <row r="251" spans="1:23" s="1207" customFormat="1" ht="45" customHeight="1" x14ac:dyDescent="0.3">
      <c r="A251" s="1398">
        <v>2022251</v>
      </c>
      <c r="B251" s="1399">
        <v>7658</v>
      </c>
      <c r="C251" s="1400" t="s">
        <v>679</v>
      </c>
      <c r="D251" s="1401" t="s">
        <v>689</v>
      </c>
      <c r="E251" s="1402">
        <v>80111600</v>
      </c>
      <c r="F251" s="1403" t="s">
        <v>940</v>
      </c>
      <c r="G251" s="1404">
        <v>44575</v>
      </c>
      <c r="H251" s="1404">
        <v>44575</v>
      </c>
      <c r="I251" s="1405">
        <v>11.5</v>
      </c>
      <c r="J251" s="1405" t="s">
        <v>673</v>
      </c>
      <c r="K251" s="1406" t="s">
        <v>674</v>
      </c>
      <c r="L251" s="1407" t="s">
        <v>675</v>
      </c>
      <c r="M251" s="1408">
        <f>103500000-52400000</f>
        <v>51100000</v>
      </c>
      <c r="N251" s="1409" t="s">
        <v>772</v>
      </c>
      <c r="O251" s="1402" t="s">
        <v>771</v>
      </c>
      <c r="P251" s="1432" t="s">
        <v>678</v>
      </c>
      <c r="Q251" s="1163"/>
      <c r="R251" s="1269">
        <v>0</v>
      </c>
      <c r="S251" s="1357"/>
      <c r="T251" s="1357">
        <f>+Tabla16[[#This Row],[CDPS A 31 JULIO 2022]]-Tabla16[[#This Row],[CDP]]</f>
        <v>0</v>
      </c>
      <c r="U251" s="1357"/>
      <c r="V251" s="1357"/>
      <c r="W251" s="1357"/>
    </row>
    <row r="252" spans="1:23" s="1207" customFormat="1" ht="45" hidden="1" customHeight="1" x14ac:dyDescent="0.3">
      <c r="A252" s="1355">
        <v>2022252</v>
      </c>
      <c r="B252" s="1172">
        <v>7658</v>
      </c>
      <c r="C252" s="1356" t="s">
        <v>679</v>
      </c>
      <c r="D252" s="1190" t="s">
        <v>689</v>
      </c>
      <c r="E252" s="1174">
        <v>80111600</v>
      </c>
      <c r="F252" s="1379" t="s">
        <v>941</v>
      </c>
      <c r="G252" s="1380">
        <v>44575</v>
      </c>
      <c r="H252" s="1380">
        <v>44575</v>
      </c>
      <c r="I252" s="1176">
        <v>11.5</v>
      </c>
      <c r="J252" s="1176" t="s">
        <v>673</v>
      </c>
      <c r="K252" s="1177" t="s">
        <v>674</v>
      </c>
      <c r="L252" s="1178" t="s">
        <v>782</v>
      </c>
      <c r="M252" s="1179">
        <v>103500000</v>
      </c>
      <c r="N252" s="1376" t="s">
        <v>772</v>
      </c>
      <c r="O252" s="1174" t="s">
        <v>771</v>
      </c>
      <c r="P252" s="1163" t="s">
        <v>678</v>
      </c>
      <c r="Q252" s="1163"/>
      <c r="R252" s="1357">
        <v>103500000</v>
      </c>
      <c r="S252" s="1357">
        <v>103500000</v>
      </c>
      <c r="T252" s="1357">
        <f>+Tabla16[[#This Row],[CDPS A 31 JULIO 2022]]-Tabla16[[#This Row],[CDP]]</f>
        <v>0</v>
      </c>
      <c r="U252" s="1357">
        <v>103500000</v>
      </c>
      <c r="V252" s="1357">
        <v>39900000</v>
      </c>
      <c r="W252" s="1357"/>
    </row>
    <row r="253" spans="1:23" s="1207" customFormat="1" ht="45" hidden="1" customHeight="1" x14ac:dyDescent="0.3">
      <c r="A253" s="1355">
        <v>2022253</v>
      </c>
      <c r="B253" s="1172">
        <v>7658</v>
      </c>
      <c r="C253" s="1356" t="s">
        <v>679</v>
      </c>
      <c r="D253" s="1190" t="s">
        <v>689</v>
      </c>
      <c r="E253" s="1174">
        <v>80111600</v>
      </c>
      <c r="F253" s="1379" t="s">
        <v>942</v>
      </c>
      <c r="G253" s="1380">
        <v>44575</v>
      </c>
      <c r="H253" s="1380">
        <v>44575</v>
      </c>
      <c r="I253" s="1176">
        <v>11.5</v>
      </c>
      <c r="J253" s="1176" t="s">
        <v>673</v>
      </c>
      <c r="K253" s="1177" t="s">
        <v>674</v>
      </c>
      <c r="L253" s="1178" t="s">
        <v>675</v>
      </c>
      <c r="M253" s="1179">
        <v>32775000</v>
      </c>
      <c r="N253" s="1376" t="s">
        <v>772</v>
      </c>
      <c r="O253" s="1174" t="s">
        <v>771</v>
      </c>
      <c r="P253" s="1163" t="s">
        <v>678</v>
      </c>
      <c r="Q253" s="1163"/>
      <c r="R253" s="1357">
        <v>32200000</v>
      </c>
      <c r="S253" s="1357">
        <v>32200000</v>
      </c>
      <c r="T253" s="1357">
        <f>+Tabla16[[#This Row],[CDPS A 31 JULIO 2022]]-Tabla16[[#This Row],[CDP]]</f>
        <v>0</v>
      </c>
      <c r="U253" s="1357">
        <v>32200000</v>
      </c>
      <c r="V253" s="1357">
        <v>11293333</v>
      </c>
      <c r="W253" s="1357"/>
    </row>
    <row r="254" spans="1:23" s="1207" customFormat="1" ht="45" hidden="1" customHeight="1" x14ac:dyDescent="0.3">
      <c r="A254" s="1355">
        <v>2022255</v>
      </c>
      <c r="B254" s="1172">
        <v>7658</v>
      </c>
      <c r="C254" s="1356" t="s">
        <v>679</v>
      </c>
      <c r="D254" s="1190" t="s">
        <v>689</v>
      </c>
      <c r="E254" s="1174">
        <v>80111600</v>
      </c>
      <c r="F254" s="1379" t="s">
        <v>943</v>
      </c>
      <c r="G254" s="1380">
        <v>44575</v>
      </c>
      <c r="H254" s="1380">
        <v>44575</v>
      </c>
      <c r="I254" s="1176">
        <v>11.5</v>
      </c>
      <c r="J254" s="1176" t="s">
        <v>673</v>
      </c>
      <c r="K254" s="1177" t="s">
        <v>674</v>
      </c>
      <c r="L254" s="1178" t="s">
        <v>675</v>
      </c>
      <c r="M254" s="1179">
        <v>83950000</v>
      </c>
      <c r="N254" s="1376" t="s">
        <v>772</v>
      </c>
      <c r="O254" s="1174" t="s">
        <v>771</v>
      </c>
      <c r="P254" s="1163" t="s">
        <v>678</v>
      </c>
      <c r="Q254" s="1163"/>
      <c r="R254" s="1357">
        <v>83950000</v>
      </c>
      <c r="S254" s="1357">
        <v>83950000</v>
      </c>
      <c r="T254" s="1357">
        <f>+Tabla16[[#This Row],[CDPS A 31 JULIO 2022]]-Tabla16[[#This Row],[CDP]]</f>
        <v>0</v>
      </c>
      <c r="U254" s="1357">
        <v>83950000</v>
      </c>
      <c r="V254" s="1357">
        <v>31876667</v>
      </c>
      <c r="W254" s="1357"/>
    </row>
    <row r="255" spans="1:23" s="1207" customFormat="1" ht="45" hidden="1" customHeight="1" x14ac:dyDescent="0.3">
      <c r="A255" s="1355">
        <v>2022257</v>
      </c>
      <c r="B255" s="1172">
        <v>7658</v>
      </c>
      <c r="C255" s="1356" t="s">
        <v>679</v>
      </c>
      <c r="D255" s="1190" t="s">
        <v>689</v>
      </c>
      <c r="E255" s="1174">
        <v>80111600</v>
      </c>
      <c r="F255" s="1379" t="s">
        <v>944</v>
      </c>
      <c r="G255" s="1380">
        <v>44575</v>
      </c>
      <c r="H255" s="1380">
        <v>44575</v>
      </c>
      <c r="I255" s="1176">
        <v>11.5</v>
      </c>
      <c r="J255" s="1176" t="s">
        <v>673</v>
      </c>
      <c r="K255" s="1177" t="s">
        <v>674</v>
      </c>
      <c r="L255" s="1178" t="s">
        <v>675</v>
      </c>
      <c r="M255" s="1179">
        <v>83950000</v>
      </c>
      <c r="N255" s="1376" t="s">
        <v>772</v>
      </c>
      <c r="O255" s="1174" t="s">
        <v>771</v>
      </c>
      <c r="P255" s="1163" t="s">
        <v>678</v>
      </c>
      <c r="Q255" s="1163"/>
      <c r="R255" s="1357">
        <v>65700000</v>
      </c>
      <c r="S255" s="1357">
        <v>65700000</v>
      </c>
      <c r="T255" s="1357">
        <f>+Tabla16[[#This Row],[CDPS A 31 JULIO 2022]]-Tabla16[[#This Row],[CDP]]</f>
        <v>0</v>
      </c>
      <c r="U255" s="1357">
        <v>65700000</v>
      </c>
      <c r="V255" s="1357">
        <v>20440000</v>
      </c>
      <c r="W255" s="1357"/>
    </row>
    <row r="256" spans="1:23" s="1207" customFormat="1" ht="45" customHeight="1" x14ac:dyDescent="0.3">
      <c r="A256" s="1398">
        <v>2022258</v>
      </c>
      <c r="B256" s="1399">
        <v>7658</v>
      </c>
      <c r="C256" s="1400" t="s">
        <v>679</v>
      </c>
      <c r="D256" s="1401" t="s">
        <v>689</v>
      </c>
      <c r="E256" s="1402">
        <v>80111600</v>
      </c>
      <c r="F256" s="1403" t="s">
        <v>945</v>
      </c>
      <c r="G256" s="1404">
        <v>44575</v>
      </c>
      <c r="H256" s="1404">
        <v>44575</v>
      </c>
      <c r="I256" s="1405">
        <v>11.5</v>
      </c>
      <c r="J256" s="1405" t="s">
        <v>673</v>
      </c>
      <c r="K256" s="1406" t="s">
        <v>674</v>
      </c>
      <c r="L256" s="1407" t="s">
        <v>675</v>
      </c>
      <c r="M256" s="1408">
        <f>83950000-4450000-35700000</f>
        <v>43800000</v>
      </c>
      <c r="N256" s="1409" t="s">
        <v>772</v>
      </c>
      <c r="O256" s="1402" t="s">
        <v>771</v>
      </c>
      <c r="P256" s="1411" t="s">
        <v>678</v>
      </c>
      <c r="Q256" s="1163"/>
      <c r="R256" s="1357">
        <v>83950000</v>
      </c>
      <c r="S256" s="1357">
        <v>83950000</v>
      </c>
      <c r="T256" s="1357">
        <f>+Tabla16[[#This Row],[CDPS A 31 JULIO 2022]]-Tabla16[[#This Row],[CDP]]</f>
        <v>0</v>
      </c>
      <c r="U256" s="1357">
        <v>43800000</v>
      </c>
      <c r="V256" s="1357">
        <v>30903333</v>
      </c>
      <c r="W256" s="1357"/>
    </row>
    <row r="257" spans="1:23" s="1207" customFormat="1" ht="45" customHeight="1" x14ac:dyDescent="0.3">
      <c r="A257" s="1398">
        <v>2022260</v>
      </c>
      <c r="B257" s="1399">
        <v>7658</v>
      </c>
      <c r="C257" s="1400" t="s">
        <v>679</v>
      </c>
      <c r="D257" s="1401" t="s">
        <v>689</v>
      </c>
      <c r="E257" s="1402">
        <v>80111600</v>
      </c>
      <c r="F257" s="1403" t="s">
        <v>945</v>
      </c>
      <c r="G257" s="1404">
        <v>44575</v>
      </c>
      <c r="H257" s="1404">
        <v>44575</v>
      </c>
      <c r="I257" s="1405">
        <v>11.5</v>
      </c>
      <c r="J257" s="1405" t="s">
        <v>673</v>
      </c>
      <c r="K257" s="1406" t="s">
        <v>674</v>
      </c>
      <c r="L257" s="1407" t="s">
        <v>675</v>
      </c>
      <c r="M257" s="1408">
        <f>83950000-40150000</f>
        <v>43800000</v>
      </c>
      <c r="N257" s="1409" t="s">
        <v>772</v>
      </c>
      <c r="O257" s="1402" t="s">
        <v>771</v>
      </c>
      <c r="P257" s="1411" t="s">
        <v>678</v>
      </c>
      <c r="Q257" s="1163"/>
      <c r="R257" s="1357">
        <v>51100000</v>
      </c>
      <c r="S257" s="1357">
        <v>51100000</v>
      </c>
      <c r="T257" s="1357">
        <f>+Tabla16[[#This Row],[CDPS A 31 JULIO 2022]]-Tabla16[[#This Row],[CDP]]</f>
        <v>0</v>
      </c>
      <c r="U257" s="1357">
        <v>51100000</v>
      </c>
      <c r="V257" s="1357">
        <v>29930000</v>
      </c>
      <c r="W257" s="1357"/>
    </row>
    <row r="258" spans="1:23" s="1207" customFormat="1" ht="45" customHeight="1" x14ac:dyDescent="0.3">
      <c r="A258" s="1398">
        <v>2022261</v>
      </c>
      <c r="B258" s="1399">
        <v>7658</v>
      </c>
      <c r="C258" s="1400" t="s">
        <v>679</v>
      </c>
      <c r="D258" s="1401" t="s">
        <v>689</v>
      </c>
      <c r="E258" s="1402">
        <v>80111600</v>
      </c>
      <c r="F258" s="1403" t="s">
        <v>945</v>
      </c>
      <c r="G258" s="1404">
        <v>44575</v>
      </c>
      <c r="H258" s="1404">
        <v>44575</v>
      </c>
      <c r="I258" s="1405">
        <v>11.5</v>
      </c>
      <c r="J258" s="1405" t="s">
        <v>673</v>
      </c>
      <c r="K258" s="1406" t="s">
        <v>674</v>
      </c>
      <c r="L258" s="1407" t="s">
        <v>675</v>
      </c>
      <c r="M258" s="1408">
        <f>83950000-32850000</f>
        <v>51100000</v>
      </c>
      <c r="N258" s="1409" t="s">
        <v>772</v>
      </c>
      <c r="O258" s="1402" t="s">
        <v>771</v>
      </c>
      <c r="P258" s="1411" t="s">
        <v>678</v>
      </c>
      <c r="Q258" s="1163"/>
      <c r="R258" s="1357">
        <v>78200000</v>
      </c>
      <c r="S258" s="1357">
        <v>78200000</v>
      </c>
      <c r="T258" s="1357">
        <f>+Tabla16[[#This Row],[CDPS A 31 JULIO 2022]]-Tabla16[[#This Row],[CDP]]</f>
        <v>0</v>
      </c>
      <c r="U258" s="1357">
        <v>78200000</v>
      </c>
      <c r="V258" s="1357">
        <v>30373333</v>
      </c>
      <c r="W258" s="1357"/>
    </row>
    <row r="259" spans="1:23" s="1207" customFormat="1" ht="45" customHeight="1" x14ac:dyDescent="0.3">
      <c r="A259" s="1398">
        <v>2022262</v>
      </c>
      <c r="B259" s="1399">
        <v>7658</v>
      </c>
      <c r="C259" s="1400" t="s">
        <v>679</v>
      </c>
      <c r="D259" s="1401" t="s">
        <v>689</v>
      </c>
      <c r="E259" s="1402">
        <v>80111600</v>
      </c>
      <c r="F259" s="1403" t="s">
        <v>945</v>
      </c>
      <c r="G259" s="1404">
        <v>44575</v>
      </c>
      <c r="H259" s="1404">
        <v>44575</v>
      </c>
      <c r="I259" s="1405">
        <v>11.5</v>
      </c>
      <c r="J259" s="1405" t="s">
        <v>673</v>
      </c>
      <c r="K259" s="1406" t="s">
        <v>674</v>
      </c>
      <c r="L259" s="1407" t="s">
        <v>675</v>
      </c>
      <c r="M259" s="1408">
        <f>83950000-11791270</f>
        <v>72158730</v>
      </c>
      <c r="N259" s="1409" t="s">
        <v>772</v>
      </c>
      <c r="O259" s="1402" t="s">
        <v>771</v>
      </c>
      <c r="P259" s="1411" t="s">
        <v>678</v>
      </c>
      <c r="Q259" s="1163"/>
      <c r="R259" s="1357">
        <v>83950000</v>
      </c>
      <c r="S259" s="1357">
        <v>83950000</v>
      </c>
      <c r="T259" s="1357">
        <f>+Tabla16[[#This Row],[CDPS A 31 JULIO 2022]]-Tabla16[[#This Row],[CDP]]</f>
        <v>0</v>
      </c>
      <c r="U259" s="1357">
        <v>83950000</v>
      </c>
      <c r="V259" s="1357">
        <v>31876667</v>
      </c>
      <c r="W259" s="1357"/>
    </row>
    <row r="260" spans="1:23" s="1207" customFormat="1" ht="45" hidden="1" customHeight="1" x14ac:dyDescent="0.3">
      <c r="A260" s="1355">
        <v>2022263</v>
      </c>
      <c r="B260" s="1172">
        <v>7658</v>
      </c>
      <c r="C260" s="1356" t="s">
        <v>679</v>
      </c>
      <c r="D260" s="1190" t="s">
        <v>689</v>
      </c>
      <c r="E260" s="1174">
        <v>80111600</v>
      </c>
      <c r="F260" s="1379" t="s">
        <v>944</v>
      </c>
      <c r="G260" s="1380">
        <v>44575</v>
      </c>
      <c r="H260" s="1380">
        <v>44575</v>
      </c>
      <c r="I260" s="1176">
        <v>11.5</v>
      </c>
      <c r="J260" s="1176" t="s">
        <v>673</v>
      </c>
      <c r="K260" s="1177" t="s">
        <v>674</v>
      </c>
      <c r="L260" s="1178" t="s">
        <v>675</v>
      </c>
      <c r="M260" s="1179">
        <v>78200000</v>
      </c>
      <c r="N260" s="1376" t="s">
        <v>772</v>
      </c>
      <c r="O260" s="1174" t="s">
        <v>771</v>
      </c>
      <c r="P260" s="1163" t="s">
        <v>678</v>
      </c>
      <c r="Q260" s="1163"/>
      <c r="R260" s="1357">
        <v>43800000</v>
      </c>
      <c r="S260" s="1357">
        <v>43800000</v>
      </c>
      <c r="T260" s="1357">
        <f>+Tabla16[[#This Row],[CDPS A 31 JULIO 2022]]-Tabla16[[#This Row],[CDP]]</f>
        <v>0</v>
      </c>
      <c r="U260" s="1357">
        <v>43800000</v>
      </c>
      <c r="V260" s="1357">
        <v>28956667</v>
      </c>
      <c r="W260" s="1357"/>
    </row>
    <row r="261" spans="1:23" s="1207" customFormat="1" ht="45" hidden="1" customHeight="1" x14ac:dyDescent="0.3">
      <c r="A261" s="1355">
        <v>2022264</v>
      </c>
      <c r="B261" s="1172">
        <v>7658</v>
      </c>
      <c r="C261" s="1356" t="s">
        <v>679</v>
      </c>
      <c r="D261" s="1190" t="s">
        <v>689</v>
      </c>
      <c r="E261" s="1174">
        <v>80111600</v>
      </c>
      <c r="F261" s="1379" t="s">
        <v>946</v>
      </c>
      <c r="G261" s="1380">
        <v>44575</v>
      </c>
      <c r="H261" s="1380">
        <v>44575</v>
      </c>
      <c r="I261" s="1176">
        <v>11.5</v>
      </c>
      <c r="J261" s="1176" t="s">
        <v>673</v>
      </c>
      <c r="K261" s="1177" t="s">
        <v>674</v>
      </c>
      <c r="L261" s="1178" t="s">
        <v>675</v>
      </c>
      <c r="M261" s="1179">
        <v>44275000</v>
      </c>
      <c r="N261" s="1376" t="s">
        <v>772</v>
      </c>
      <c r="O261" s="1174" t="s">
        <v>771</v>
      </c>
      <c r="P261" s="1163" t="s">
        <v>678</v>
      </c>
      <c r="Q261" s="1163"/>
      <c r="R261" s="1357">
        <v>44275000</v>
      </c>
      <c r="S261" s="1357">
        <v>44275000</v>
      </c>
      <c r="T261" s="1357">
        <f>+Tabla16[[#This Row],[CDPS A 31 JULIO 2022]]-Tabla16[[#This Row],[CDP]]</f>
        <v>0</v>
      </c>
      <c r="U261" s="1357">
        <v>44275000</v>
      </c>
      <c r="V261" s="1357">
        <v>11935000</v>
      </c>
      <c r="W261" s="1357"/>
    </row>
    <row r="262" spans="1:23" s="1207" customFormat="1" ht="45" hidden="1" customHeight="1" x14ac:dyDescent="0.3">
      <c r="A262" s="1355">
        <v>2022265</v>
      </c>
      <c r="B262" s="1172">
        <v>7658</v>
      </c>
      <c r="C262" s="1356" t="s">
        <v>679</v>
      </c>
      <c r="D262" s="1190" t="s">
        <v>689</v>
      </c>
      <c r="E262" s="1174">
        <v>80111600</v>
      </c>
      <c r="F262" s="1379" t="s">
        <v>947</v>
      </c>
      <c r="G262" s="1380">
        <v>44575</v>
      </c>
      <c r="H262" s="1380">
        <v>44575</v>
      </c>
      <c r="I262" s="1176">
        <v>11.5</v>
      </c>
      <c r="J262" s="1176" t="s">
        <v>673</v>
      </c>
      <c r="K262" s="1177" t="s">
        <v>674</v>
      </c>
      <c r="L262" s="1178" t="s">
        <v>675</v>
      </c>
      <c r="M262" s="1179">
        <v>28175000</v>
      </c>
      <c r="N262" s="1376" t="s">
        <v>772</v>
      </c>
      <c r="O262" s="1174" t="s">
        <v>771</v>
      </c>
      <c r="P262" s="1163" t="s">
        <v>678</v>
      </c>
      <c r="Q262" s="1163"/>
      <c r="R262" s="1357">
        <v>28175000</v>
      </c>
      <c r="S262" s="1357">
        <v>28175000</v>
      </c>
      <c r="T262" s="1357">
        <f>+Tabla16[[#This Row],[CDPS A 31 JULIO 2022]]-Tabla16[[#This Row],[CDP]]</f>
        <v>0</v>
      </c>
      <c r="U262" s="1357">
        <v>28175000</v>
      </c>
      <c r="V262" s="1357">
        <v>10616667</v>
      </c>
      <c r="W262" s="1357"/>
    </row>
    <row r="263" spans="1:23" s="1207" customFormat="1" ht="45" hidden="1" customHeight="1" x14ac:dyDescent="0.3">
      <c r="A263" s="1355">
        <v>2022266</v>
      </c>
      <c r="B263" s="1172">
        <v>7658</v>
      </c>
      <c r="C263" s="1356" t="s">
        <v>679</v>
      </c>
      <c r="D263" s="1190" t="s">
        <v>689</v>
      </c>
      <c r="E263" s="1174">
        <v>80111600</v>
      </c>
      <c r="F263" s="1379" t="s">
        <v>948</v>
      </c>
      <c r="G263" s="1380">
        <v>44575</v>
      </c>
      <c r="H263" s="1380">
        <v>44575</v>
      </c>
      <c r="I263" s="1176">
        <v>11.5</v>
      </c>
      <c r="J263" s="1176" t="s">
        <v>673</v>
      </c>
      <c r="K263" s="1177" t="s">
        <v>674</v>
      </c>
      <c r="L263" s="1178" t="s">
        <v>675</v>
      </c>
      <c r="M263" s="1179">
        <v>63250000</v>
      </c>
      <c r="N263" s="1376" t="s">
        <v>772</v>
      </c>
      <c r="O263" s="1174" t="s">
        <v>771</v>
      </c>
      <c r="P263" s="1163" t="s">
        <v>678</v>
      </c>
      <c r="Q263" s="1163"/>
      <c r="R263" s="1357">
        <v>63250000</v>
      </c>
      <c r="S263" s="1357">
        <v>63250000</v>
      </c>
      <c r="T263" s="1357">
        <f>+Tabla16[[#This Row],[CDPS A 31 JULIO 2022]]-Tabla16[[#This Row],[CDP]]</f>
        <v>0</v>
      </c>
      <c r="U263" s="1357">
        <v>63250000</v>
      </c>
      <c r="V263" s="1357">
        <v>24383333</v>
      </c>
      <c r="W263" s="1357"/>
    </row>
    <row r="264" spans="1:23" s="1207" customFormat="1" ht="45" hidden="1" customHeight="1" x14ac:dyDescent="0.3">
      <c r="A264" s="1355">
        <v>2022267</v>
      </c>
      <c r="B264" s="1172">
        <v>7658</v>
      </c>
      <c r="C264" s="1356" t="s">
        <v>679</v>
      </c>
      <c r="D264" s="1190" t="s">
        <v>689</v>
      </c>
      <c r="E264" s="1174">
        <v>80111600</v>
      </c>
      <c r="F264" s="1379" t="s">
        <v>949</v>
      </c>
      <c r="G264" s="1380">
        <v>44575</v>
      </c>
      <c r="H264" s="1380">
        <v>44575</v>
      </c>
      <c r="I264" s="1176">
        <v>11.5</v>
      </c>
      <c r="J264" s="1176" t="s">
        <v>673</v>
      </c>
      <c r="K264" s="1177" t="s">
        <v>674</v>
      </c>
      <c r="L264" s="1178" t="s">
        <v>675</v>
      </c>
      <c r="M264" s="1179">
        <v>28175000</v>
      </c>
      <c r="N264" s="1376" t="s">
        <v>772</v>
      </c>
      <c r="O264" s="1174" t="s">
        <v>771</v>
      </c>
      <c r="P264" s="1163" t="s">
        <v>678</v>
      </c>
      <c r="Q264" s="1163"/>
      <c r="R264" s="1357">
        <v>28175000</v>
      </c>
      <c r="S264" s="1357">
        <v>28175000</v>
      </c>
      <c r="T264" s="1357">
        <f>+Tabla16[[#This Row],[CDPS A 31 JULIO 2022]]-Tabla16[[#This Row],[CDP]]</f>
        <v>0</v>
      </c>
      <c r="U264" s="1357">
        <v>28175000</v>
      </c>
      <c r="V264" s="1357">
        <v>9555000</v>
      </c>
      <c r="W264" s="1357"/>
    </row>
    <row r="265" spans="1:23" s="1207" customFormat="1" ht="45" hidden="1" customHeight="1" x14ac:dyDescent="0.3">
      <c r="A265" s="1355">
        <v>2022268</v>
      </c>
      <c r="B265" s="1172">
        <v>7658</v>
      </c>
      <c r="C265" s="1356" t="s">
        <v>679</v>
      </c>
      <c r="D265" s="1190" t="s">
        <v>689</v>
      </c>
      <c r="E265" s="1174">
        <v>80111600</v>
      </c>
      <c r="F265" s="1379" t="s">
        <v>949</v>
      </c>
      <c r="G265" s="1380">
        <v>44575</v>
      </c>
      <c r="H265" s="1380">
        <v>44575</v>
      </c>
      <c r="I265" s="1176">
        <v>11.5</v>
      </c>
      <c r="J265" s="1176" t="s">
        <v>673</v>
      </c>
      <c r="K265" s="1177" t="s">
        <v>674</v>
      </c>
      <c r="L265" s="1178" t="s">
        <v>675</v>
      </c>
      <c r="M265" s="1179">
        <v>28175000</v>
      </c>
      <c r="N265" s="1376" t="s">
        <v>772</v>
      </c>
      <c r="O265" s="1174" t="s">
        <v>771</v>
      </c>
      <c r="P265" s="1163" t="s">
        <v>678</v>
      </c>
      <c r="Q265" s="1163"/>
      <c r="R265" s="1357">
        <v>28175000</v>
      </c>
      <c r="S265" s="1357">
        <v>28175000</v>
      </c>
      <c r="T265" s="1357">
        <f>+Tabla16[[#This Row],[CDPS A 31 JULIO 2022]]-Tabla16[[#This Row],[CDP]]</f>
        <v>0</v>
      </c>
      <c r="U265" s="1357">
        <v>28175000</v>
      </c>
      <c r="V265" s="1357">
        <v>8738333</v>
      </c>
      <c r="W265" s="1357"/>
    </row>
    <row r="266" spans="1:23" s="1207" customFormat="1" ht="45" hidden="1" customHeight="1" x14ac:dyDescent="0.3">
      <c r="A266" s="1355">
        <v>2022269</v>
      </c>
      <c r="B266" s="1172">
        <v>7658</v>
      </c>
      <c r="C266" s="1356" t="s">
        <v>679</v>
      </c>
      <c r="D266" s="1190" t="s">
        <v>689</v>
      </c>
      <c r="E266" s="1174">
        <v>80111600</v>
      </c>
      <c r="F266" s="1379" t="s">
        <v>949</v>
      </c>
      <c r="G266" s="1380">
        <v>44575</v>
      </c>
      <c r="H266" s="1380">
        <v>44575</v>
      </c>
      <c r="I266" s="1176">
        <v>11.5</v>
      </c>
      <c r="J266" s="1176" t="s">
        <v>673</v>
      </c>
      <c r="K266" s="1177" t="s">
        <v>674</v>
      </c>
      <c r="L266" s="1178" t="s">
        <v>675</v>
      </c>
      <c r="M266" s="1179">
        <v>28175000</v>
      </c>
      <c r="N266" s="1376" t="s">
        <v>772</v>
      </c>
      <c r="O266" s="1174" t="s">
        <v>771</v>
      </c>
      <c r="P266" s="1163" t="s">
        <v>678</v>
      </c>
      <c r="Q266" s="1163"/>
      <c r="R266" s="1357">
        <v>28175000</v>
      </c>
      <c r="S266" s="1357">
        <v>28175000</v>
      </c>
      <c r="T266" s="1357">
        <f>+Tabla16[[#This Row],[CDPS A 31 JULIO 2022]]-Tabla16[[#This Row],[CDP]]</f>
        <v>0</v>
      </c>
      <c r="U266" s="1357">
        <v>28175000</v>
      </c>
      <c r="V266" s="1357">
        <v>9718333</v>
      </c>
      <c r="W266" s="1357"/>
    </row>
    <row r="267" spans="1:23" s="1207" customFormat="1" ht="45" hidden="1" customHeight="1" x14ac:dyDescent="0.3">
      <c r="A267" s="1355">
        <v>2022270</v>
      </c>
      <c r="B267" s="1172">
        <v>7658</v>
      </c>
      <c r="C267" s="1356" t="s">
        <v>679</v>
      </c>
      <c r="D267" s="1190" t="s">
        <v>689</v>
      </c>
      <c r="E267" s="1174">
        <v>80111600</v>
      </c>
      <c r="F267" s="1379" t="s">
        <v>949</v>
      </c>
      <c r="G267" s="1380">
        <v>44575</v>
      </c>
      <c r="H267" s="1380">
        <v>44575</v>
      </c>
      <c r="I267" s="1176">
        <v>11.5</v>
      </c>
      <c r="J267" s="1176" t="s">
        <v>673</v>
      </c>
      <c r="K267" s="1177" t="s">
        <v>674</v>
      </c>
      <c r="L267" s="1178" t="s">
        <v>675</v>
      </c>
      <c r="M267" s="1179">
        <v>28175000</v>
      </c>
      <c r="N267" s="1376" t="s">
        <v>772</v>
      </c>
      <c r="O267" s="1174" t="s">
        <v>771</v>
      </c>
      <c r="P267" s="1163" t="s">
        <v>678</v>
      </c>
      <c r="Q267" s="1163"/>
      <c r="R267" s="1357">
        <v>28175000</v>
      </c>
      <c r="S267" s="1357">
        <v>28175000</v>
      </c>
      <c r="T267" s="1357">
        <f>+Tabla16[[#This Row],[CDPS A 31 JULIO 2022]]-Tabla16[[#This Row],[CDP]]</f>
        <v>0</v>
      </c>
      <c r="U267" s="1357">
        <v>28175000</v>
      </c>
      <c r="V267" s="1357">
        <v>9555000</v>
      </c>
      <c r="W267" s="1357"/>
    </row>
    <row r="268" spans="1:23" s="1207" customFormat="1" ht="45" hidden="1" customHeight="1" x14ac:dyDescent="0.3">
      <c r="A268" s="1355">
        <v>2022271</v>
      </c>
      <c r="B268" s="1172">
        <v>7658</v>
      </c>
      <c r="C268" s="1356" t="s">
        <v>679</v>
      </c>
      <c r="D268" s="1190" t="s">
        <v>689</v>
      </c>
      <c r="E268" s="1174">
        <v>80111600</v>
      </c>
      <c r="F268" s="1379" t="s">
        <v>949</v>
      </c>
      <c r="G268" s="1380">
        <v>44575</v>
      </c>
      <c r="H268" s="1380">
        <v>44575</v>
      </c>
      <c r="I268" s="1176">
        <v>11.5</v>
      </c>
      <c r="J268" s="1176" t="s">
        <v>673</v>
      </c>
      <c r="K268" s="1177" t="s">
        <v>674</v>
      </c>
      <c r="L268" s="1178" t="s">
        <v>675</v>
      </c>
      <c r="M268" s="1179">
        <v>28175000</v>
      </c>
      <c r="N268" s="1376" t="s">
        <v>772</v>
      </c>
      <c r="O268" s="1174" t="s">
        <v>771</v>
      </c>
      <c r="P268" s="1163" t="s">
        <v>678</v>
      </c>
      <c r="Q268" s="1163"/>
      <c r="R268" s="1357">
        <v>28175000</v>
      </c>
      <c r="S268" s="1357">
        <v>28175000</v>
      </c>
      <c r="T268" s="1357">
        <f>+Tabla16[[#This Row],[CDPS A 31 JULIO 2022]]-Tabla16[[#This Row],[CDP]]</f>
        <v>0</v>
      </c>
      <c r="U268" s="1357">
        <v>28175000</v>
      </c>
      <c r="V268" s="1357">
        <v>7350000</v>
      </c>
      <c r="W268" s="1357"/>
    </row>
    <row r="269" spans="1:23" s="1207" customFormat="1" ht="45" hidden="1" customHeight="1" x14ac:dyDescent="0.3">
      <c r="A269" s="1355">
        <v>2022272</v>
      </c>
      <c r="B269" s="1172">
        <v>7658</v>
      </c>
      <c r="C269" s="1356" t="s">
        <v>679</v>
      </c>
      <c r="D269" s="1190" t="s">
        <v>689</v>
      </c>
      <c r="E269" s="1174">
        <v>80111600</v>
      </c>
      <c r="F269" s="1379" t="s">
        <v>949</v>
      </c>
      <c r="G269" s="1380">
        <v>44575</v>
      </c>
      <c r="H269" s="1380">
        <v>44575</v>
      </c>
      <c r="I269" s="1176">
        <v>11.5</v>
      </c>
      <c r="J269" s="1176" t="s">
        <v>673</v>
      </c>
      <c r="K269" s="1177" t="s">
        <v>674</v>
      </c>
      <c r="L269" s="1178" t="s">
        <v>675</v>
      </c>
      <c r="M269" s="1179">
        <v>28175000</v>
      </c>
      <c r="N269" s="1376" t="s">
        <v>772</v>
      </c>
      <c r="O269" s="1174" t="s">
        <v>771</v>
      </c>
      <c r="P269" s="1163" t="s">
        <v>678</v>
      </c>
      <c r="Q269" s="1163"/>
      <c r="R269" s="1357">
        <v>28175000</v>
      </c>
      <c r="S269" s="1357">
        <v>28175000</v>
      </c>
      <c r="T269" s="1357">
        <f>+Tabla16[[#This Row],[CDPS A 31 JULIO 2022]]-Tabla16[[#This Row],[CDP]]</f>
        <v>0</v>
      </c>
      <c r="U269" s="1357">
        <v>28175000</v>
      </c>
      <c r="V269" s="1357">
        <v>9310000</v>
      </c>
      <c r="W269" s="1357"/>
    </row>
    <row r="270" spans="1:23" s="1207" customFormat="1" ht="45" hidden="1" customHeight="1" x14ac:dyDescent="0.3">
      <c r="A270" s="1355">
        <v>2022273</v>
      </c>
      <c r="B270" s="1172">
        <v>7658</v>
      </c>
      <c r="C270" s="1356" t="s">
        <v>679</v>
      </c>
      <c r="D270" s="1190" t="s">
        <v>689</v>
      </c>
      <c r="E270" s="1174">
        <v>80111600</v>
      </c>
      <c r="F270" s="1379" t="s">
        <v>949</v>
      </c>
      <c r="G270" s="1380">
        <v>44575</v>
      </c>
      <c r="H270" s="1380">
        <v>44575</v>
      </c>
      <c r="I270" s="1176">
        <v>11.5</v>
      </c>
      <c r="J270" s="1176" t="s">
        <v>673</v>
      </c>
      <c r="K270" s="1177" t="s">
        <v>674</v>
      </c>
      <c r="L270" s="1178" t="s">
        <v>675</v>
      </c>
      <c r="M270" s="1179">
        <v>28175000</v>
      </c>
      <c r="N270" s="1376" t="s">
        <v>772</v>
      </c>
      <c r="O270" s="1174" t="s">
        <v>771</v>
      </c>
      <c r="P270" s="1163" t="s">
        <v>678</v>
      </c>
      <c r="Q270" s="1163"/>
      <c r="R270" s="1357">
        <v>28175000</v>
      </c>
      <c r="S270" s="1357">
        <v>28175000</v>
      </c>
      <c r="T270" s="1357">
        <f>+Tabla16[[#This Row],[CDPS A 31 JULIO 2022]]-Tabla16[[#This Row],[CDP]]</f>
        <v>0</v>
      </c>
      <c r="U270" s="1357">
        <v>28175000</v>
      </c>
      <c r="V270" s="1357">
        <v>9555000</v>
      </c>
      <c r="W270" s="1357"/>
    </row>
    <row r="271" spans="1:23" s="1207" customFormat="1" ht="45" hidden="1" customHeight="1" x14ac:dyDescent="0.3">
      <c r="A271" s="1355">
        <v>2022274</v>
      </c>
      <c r="B271" s="1172">
        <v>7658</v>
      </c>
      <c r="C271" s="1356" t="s">
        <v>679</v>
      </c>
      <c r="D271" s="1190" t="s">
        <v>689</v>
      </c>
      <c r="E271" s="1174">
        <v>80111600</v>
      </c>
      <c r="F271" s="1379" t="s">
        <v>949</v>
      </c>
      <c r="G271" s="1380">
        <v>44575</v>
      </c>
      <c r="H271" s="1380">
        <v>44575</v>
      </c>
      <c r="I271" s="1176">
        <v>11.5</v>
      </c>
      <c r="J271" s="1176" t="s">
        <v>673</v>
      </c>
      <c r="K271" s="1177" t="s">
        <v>674</v>
      </c>
      <c r="L271" s="1178" t="s">
        <v>675</v>
      </c>
      <c r="M271" s="1179">
        <v>28175000</v>
      </c>
      <c r="N271" s="1376" t="s">
        <v>772</v>
      </c>
      <c r="O271" s="1174" t="s">
        <v>771</v>
      </c>
      <c r="P271" s="1163" t="s">
        <v>678</v>
      </c>
      <c r="Q271" s="1163"/>
      <c r="R271" s="1357">
        <v>28175000</v>
      </c>
      <c r="S271" s="1357">
        <v>28175000</v>
      </c>
      <c r="T271" s="1357">
        <f>+Tabla16[[#This Row],[CDPS A 31 JULIO 2022]]-Tabla16[[#This Row],[CDP]]</f>
        <v>0</v>
      </c>
      <c r="U271" s="1357">
        <v>28175000</v>
      </c>
      <c r="V271" s="1357"/>
      <c r="W271" s="1357"/>
    </row>
    <row r="272" spans="1:23" s="1207" customFormat="1" ht="45" hidden="1" customHeight="1" x14ac:dyDescent="0.3">
      <c r="A272" s="1355">
        <v>2022275</v>
      </c>
      <c r="B272" s="1172">
        <v>7658</v>
      </c>
      <c r="C272" s="1356" t="s">
        <v>679</v>
      </c>
      <c r="D272" s="1190" t="s">
        <v>689</v>
      </c>
      <c r="E272" s="1174">
        <v>80111600</v>
      </c>
      <c r="F272" s="1379" t="s">
        <v>949</v>
      </c>
      <c r="G272" s="1380">
        <v>44575</v>
      </c>
      <c r="H272" s="1380">
        <v>44575</v>
      </c>
      <c r="I272" s="1176">
        <v>11.5</v>
      </c>
      <c r="J272" s="1176" t="s">
        <v>673</v>
      </c>
      <c r="K272" s="1177" t="s">
        <v>674</v>
      </c>
      <c r="L272" s="1178" t="s">
        <v>675</v>
      </c>
      <c r="M272" s="1179">
        <v>28175000</v>
      </c>
      <c r="N272" s="1376" t="s">
        <v>772</v>
      </c>
      <c r="O272" s="1174" t="s">
        <v>771</v>
      </c>
      <c r="P272" s="1163" t="s">
        <v>678</v>
      </c>
      <c r="Q272" s="1163"/>
      <c r="R272" s="1357">
        <v>28175000</v>
      </c>
      <c r="S272" s="1357">
        <v>28175000</v>
      </c>
      <c r="T272" s="1357">
        <f>+Tabla16[[#This Row],[CDPS A 31 JULIO 2022]]-Tabla16[[#This Row],[CDP]]</f>
        <v>0</v>
      </c>
      <c r="U272" s="1357">
        <v>28175000</v>
      </c>
      <c r="V272" s="1357">
        <v>7595000</v>
      </c>
      <c r="W272" s="1357"/>
    </row>
    <row r="273" spans="1:23" s="1207" customFormat="1" ht="45" hidden="1" customHeight="1" x14ac:dyDescent="0.3">
      <c r="A273" s="1355">
        <v>2022276</v>
      </c>
      <c r="B273" s="1172">
        <v>7658</v>
      </c>
      <c r="C273" s="1356" t="s">
        <v>679</v>
      </c>
      <c r="D273" s="1190" t="s">
        <v>689</v>
      </c>
      <c r="E273" s="1174">
        <v>80111600</v>
      </c>
      <c r="F273" s="1379" t="s">
        <v>949</v>
      </c>
      <c r="G273" s="1380">
        <v>44575</v>
      </c>
      <c r="H273" s="1380">
        <v>44575</v>
      </c>
      <c r="I273" s="1176">
        <v>11.5</v>
      </c>
      <c r="J273" s="1176" t="s">
        <v>673</v>
      </c>
      <c r="K273" s="1177" t="s">
        <v>674</v>
      </c>
      <c r="L273" s="1178" t="s">
        <v>675</v>
      </c>
      <c r="M273" s="1179">
        <v>24150000</v>
      </c>
      <c r="N273" s="1376" t="s">
        <v>772</v>
      </c>
      <c r="O273" s="1174" t="s">
        <v>771</v>
      </c>
      <c r="P273" s="1163" t="s">
        <v>678</v>
      </c>
      <c r="Q273" s="1163"/>
      <c r="R273" s="1357">
        <v>24150000</v>
      </c>
      <c r="S273" s="1357">
        <v>24150000</v>
      </c>
      <c r="T273" s="1357">
        <f>+Tabla16[[#This Row],[CDPS A 31 JULIO 2022]]-Tabla16[[#This Row],[CDP]]</f>
        <v>0</v>
      </c>
      <c r="U273" s="1357">
        <v>24150000</v>
      </c>
      <c r="V273" s="1357">
        <v>8400000</v>
      </c>
      <c r="W273" s="1357"/>
    </row>
    <row r="274" spans="1:23" s="1207" customFormat="1" ht="45" hidden="1" customHeight="1" x14ac:dyDescent="0.3">
      <c r="A274" s="1355">
        <v>2022277</v>
      </c>
      <c r="B274" s="1172">
        <v>7658</v>
      </c>
      <c r="C274" s="1356" t="s">
        <v>679</v>
      </c>
      <c r="D274" s="1190" t="s">
        <v>689</v>
      </c>
      <c r="E274" s="1174">
        <v>80111600</v>
      </c>
      <c r="F274" s="1379" t="s">
        <v>949</v>
      </c>
      <c r="G274" s="1380">
        <v>44575</v>
      </c>
      <c r="H274" s="1380">
        <v>44575</v>
      </c>
      <c r="I274" s="1176">
        <v>11.5</v>
      </c>
      <c r="J274" s="1176" t="s">
        <v>673</v>
      </c>
      <c r="K274" s="1177" t="s">
        <v>674</v>
      </c>
      <c r="L274" s="1178" t="s">
        <v>675</v>
      </c>
      <c r="M274" s="1179">
        <v>28175000</v>
      </c>
      <c r="N274" s="1376" t="s">
        <v>772</v>
      </c>
      <c r="O274" s="1174" t="s">
        <v>771</v>
      </c>
      <c r="P274" s="1163" t="s">
        <v>678</v>
      </c>
      <c r="Q274" s="1163"/>
      <c r="R274" s="1357">
        <v>28175000</v>
      </c>
      <c r="S274" s="1357">
        <v>28175000</v>
      </c>
      <c r="T274" s="1357">
        <f>+Tabla16[[#This Row],[CDPS A 31 JULIO 2022]]-Tabla16[[#This Row],[CDP]]</f>
        <v>0</v>
      </c>
      <c r="U274" s="1357">
        <v>28175000</v>
      </c>
      <c r="V274" s="1357">
        <v>9718333</v>
      </c>
      <c r="W274" s="1357"/>
    </row>
    <row r="275" spans="1:23" s="1207" customFormat="1" ht="45" hidden="1" customHeight="1" x14ac:dyDescent="0.3">
      <c r="A275" s="1355">
        <v>2022278</v>
      </c>
      <c r="B275" s="1172">
        <v>7658</v>
      </c>
      <c r="C275" s="1356" t="s">
        <v>679</v>
      </c>
      <c r="D275" s="1190" t="s">
        <v>689</v>
      </c>
      <c r="E275" s="1174">
        <v>80111600</v>
      </c>
      <c r="F275" s="1379" t="s">
        <v>949</v>
      </c>
      <c r="G275" s="1380">
        <v>44575</v>
      </c>
      <c r="H275" s="1380">
        <v>44575</v>
      </c>
      <c r="I275" s="1176">
        <v>11.5</v>
      </c>
      <c r="J275" s="1176" t="s">
        <v>673</v>
      </c>
      <c r="K275" s="1177" t="s">
        <v>674</v>
      </c>
      <c r="L275" s="1178" t="s">
        <v>675</v>
      </c>
      <c r="M275" s="1179">
        <v>28175000</v>
      </c>
      <c r="N275" s="1376" t="s">
        <v>772</v>
      </c>
      <c r="O275" s="1174" t="s">
        <v>771</v>
      </c>
      <c r="P275" s="1163" t="s">
        <v>678</v>
      </c>
      <c r="Q275" s="1163"/>
      <c r="R275" s="1357">
        <v>28175000</v>
      </c>
      <c r="S275" s="1357">
        <v>28175000</v>
      </c>
      <c r="T275" s="1357">
        <f>+Tabla16[[#This Row],[CDPS A 31 JULIO 2022]]-Tabla16[[#This Row],[CDP]]</f>
        <v>0</v>
      </c>
      <c r="U275" s="1357">
        <v>28175000</v>
      </c>
      <c r="V275" s="1357">
        <v>9718333</v>
      </c>
      <c r="W275" s="1357"/>
    </row>
    <row r="276" spans="1:23" s="1207" customFormat="1" ht="45" hidden="1" customHeight="1" x14ac:dyDescent="0.3">
      <c r="A276" s="1355">
        <v>2022279</v>
      </c>
      <c r="B276" s="1172">
        <v>7658</v>
      </c>
      <c r="C276" s="1356" t="s">
        <v>679</v>
      </c>
      <c r="D276" s="1190" t="s">
        <v>689</v>
      </c>
      <c r="E276" s="1174">
        <v>80111600</v>
      </c>
      <c r="F276" s="1379" t="s">
        <v>949</v>
      </c>
      <c r="G276" s="1380">
        <v>44575</v>
      </c>
      <c r="H276" s="1380">
        <v>44575</v>
      </c>
      <c r="I276" s="1176">
        <v>11.5</v>
      </c>
      <c r="J276" s="1176" t="s">
        <v>673</v>
      </c>
      <c r="K276" s="1177" t="s">
        <v>674</v>
      </c>
      <c r="L276" s="1178" t="s">
        <v>675</v>
      </c>
      <c r="M276" s="1179">
        <v>28175000</v>
      </c>
      <c r="N276" s="1376" t="s">
        <v>772</v>
      </c>
      <c r="O276" s="1174" t="s">
        <v>771</v>
      </c>
      <c r="P276" s="1163" t="s">
        <v>678</v>
      </c>
      <c r="Q276" s="1163"/>
      <c r="R276" s="1269">
        <v>0</v>
      </c>
      <c r="S276" s="1357"/>
      <c r="T276" s="1357">
        <f>+Tabla16[[#This Row],[CDPS A 31 JULIO 2022]]-Tabla16[[#This Row],[CDP]]</f>
        <v>0</v>
      </c>
      <c r="U276" s="1357"/>
      <c r="V276" s="1357"/>
      <c r="W276" s="1357"/>
    </row>
    <row r="277" spans="1:23" s="1207" customFormat="1" ht="45" hidden="1" customHeight="1" x14ac:dyDescent="0.3">
      <c r="A277" s="1355">
        <v>2022280</v>
      </c>
      <c r="B277" s="1172">
        <v>7658</v>
      </c>
      <c r="C277" s="1356" t="s">
        <v>679</v>
      </c>
      <c r="D277" s="1190" t="s">
        <v>689</v>
      </c>
      <c r="E277" s="1174">
        <v>80111600</v>
      </c>
      <c r="F277" s="1379" t="s">
        <v>949</v>
      </c>
      <c r="G277" s="1380">
        <v>44575</v>
      </c>
      <c r="H277" s="1380">
        <v>44575</v>
      </c>
      <c r="I277" s="1176">
        <v>11.5</v>
      </c>
      <c r="J277" s="1176" t="s">
        <v>673</v>
      </c>
      <c r="K277" s="1177" t="s">
        <v>674</v>
      </c>
      <c r="L277" s="1178" t="s">
        <v>675</v>
      </c>
      <c r="M277" s="1179">
        <v>28175000</v>
      </c>
      <c r="N277" s="1376" t="s">
        <v>772</v>
      </c>
      <c r="O277" s="1174" t="s">
        <v>771</v>
      </c>
      <c r="P277" s="1163" t="s">
        <v>678</v>
      </c>
      <c r="Q277" s="1163"/>
      <c r="R277" s="1357">
        <v>28175000</v>
      </c>
      <c r="S277" s="1357">
        <v>28175000</v>
      </c>
      <c r="T277" s="1357">
        <f>+Tabla16[[#This Row],[CDPS A 31 JULIO 2022]]-Tabla16[[#This Row],[CDP]]</f>
        <v>0</v>
      </c>
      <c r="U277" s="1357">
        <v>28175000</v>
      </c>
      <c r="V277" s="1357">
        <v>9718333</v>
      </c>
      <c r="W277" s="1357"/>
    </row>
    <row r="278" spans="1:23" s="1207" customFormat="1" ht="45" hidden="1" customHeight="1" x14ac:dyDescent="0.3">
      <c r="A278" s="1355">
        <v>2022281</v>
      </c>
      <c r="B278" s="1172">
        <v>7658</v>
      </c>
      <c r="C278" s="1356" t="s">
        <v>679</v>
      </c>
      <c r="D278" s="1190" t="s">
        <v>689</v>
      </c>
      <c r="E278" s="1174">
        <v>80111600</v>
      </c>
      <c r="F278" s="1379" t="s">
        <v>949</v>
      </c>
      <c r="G278" s="1380">
        <v>44575</v>
      </c>
      <c r="H278" s="1380">
        <v>44575</v>
      </c>
      <c r="I278" s="1176">
        <v>11.5</v>
      </c>
      <c r="J278" s="1176" t="s">
        <v>673</v>
      </c>
      <c r="K278" s="1177" t="s">
        <v>674</v>
      </c>
      <c r="L278" s="1178" t="s">
        <v>675</v>
      </c>
      <c r="M278" s="1179">
        <v>28175000</v>
      </c>
      <c r="N278" s="1376" t="s">
        <v>772</v>
      </c>
      <c r="O278" s="1174" t="s">
        <v>771</v>
      </c>
      <c r="P278" s="1163" t="s">
        <v>678</v>
      </c>
      <c r="Q278" s="1163"/>
      <c r="R278" s="1357">
        <v>28175000</v>
      </c>
      <c r="S278" s="1357">
        <v>28175000</v>
      </c>
      <c r="T278" s="1357">
        <f>+Tabla16[[#This Row],[CDPS A 31 JULIO 2022]]-Tabla16[[#This Row],[CDP]]</f>
        <v>0</v>
      </c>
      <c r="U278" s="1357">
        <v>28175000</v>
      </c>
      <c r="V278" s="1357">
        <v>8983333</v>
      </c>
      <c r="W278" s="1357"/>
    </row>
    <row r="279" spans="1:23" s="1207" customFormat="1" ht="45" hidden="1" customHeight="1" x14ac:dyDescent="0.3">
      <c r="A279" s="1355">
        <v>2022283</v>
      </c>
      <c r="B279" s="1172">
        <v>7658</v>
      </c>
      <c r="C279" s="1356" t="s">
        <v>679</v>
      </c>
      <c r="D279" s="1190" t="s">
        <v>689</v>
      </c>
      <c r="E279" s="1174">
        <v>80111600</v>
      </c>
      <c r="F279" s="1379" t="s">
        <v>950</v>
      </c>
      <c r="G279" s="1380">
        <v>44575</v>
      </c>
      <c r="H279" s="1380">
        <v>44575</v>
      </c>
      <c r="I279" s="1176">
        <v>11.5</v>
      </c>
      <c r="J279" s="1176" t="s">
        <v>673</v>
      </c>
      <c r="K279" s="1177" t="s">
        <v>674</v>
      </c>
      <c r="L279" s="1178" t="s">
        <v>675</v>
      </c>
      <c r="M279" s="1179">
        <v>47150000</v>
      </c>
      <c r="N279" s="1376" t="s">
        <v>772</v>
      </c>
      <c r="O279" s="1174" t="s">
        <v>771</v>
      </c>
      <c r="P279" s="1163" t="s">
        <v>678</v>
      </c>
      <c r="Q279" s="1163"/>
      <c r="R279" s="1357">
        <v>44275000</v>
      </c>
      <c r="S279" s="1357">
        <v>44275000</v>
      </c>
      <c r="T279" s="1357">
        <f>+Tabla16[[#This Row],[CDPS A 31 JULIO 2022]]-Tabla16[[#This Row],[CDP]]</f>
        <v>0</v>
      </c>
      <c r="U279" s="1357">
        <v>44275000</v>
      </c>
      <c r="V279" s="1357">
        <v>14501667</v>
      </c>
      <c r="W279" s="1357"/>
    </row>
    <row r="280" spans="1:23" s="1207" customFormat="1" ht="45" hidden="1" customHeight="1" x14ac:dyDescent="0.3">
      <c r="A280" s="1358">
        <v>2022285</v>
      </c>
      <c r="B280" s="1172">
        <v>7658</v>
      </c>
      <c r="C280" s="1356" t="s">
        <v>679</v>
      </c>
      <c r="D280" s="1190" t="s">
        <v>689</v>
      </c>
      <c r="E280" s="1174" t="s">
        <v>951</v>
      </c>
      <c r="F280" s="1379" t="s">
        <v>952</v>
      </c>
      <c r="G280" s="1380">
        <v>44774</v>
      </c>
      <c r="H280" s="1380">
        <v>44774</v>
      </c>
      <c r="I280" s="1176">
        <v>5</v>
      </c>
      <c r="J280" s="1176" t="s">
        <v>687</v>
      </c>
      <c r="K280" s="1177" t="s">
        <v>674</v>
      </c>
      <c r="L280" s="1178" t="s">
        <v>953</v>
      </c>
      <c r="M280" s="1179">
        <f>100000000-80000000</f>
        <v>20000000</v>
      </c>
      <c r="N280" s="1376" t="s">
        <v>772</v>
      </c>
      <c r="O280" s="1174" t="s">
        <v>771</v>
      </c>
      <c r="P280" s="1163" t="s">
        <v>748</v>
      </c>
      <c r="Q280" s="1163" t="s">
        <v>954</v>
      </c>
      <c r="R280" s="1357">
        <v>20000000</v>
      </c>
      <c r="S280" s="1357">
        <v>20000000</v>
      </c>
      <c r="T280" s="1357">
        <f>+Tabla16[[#This Row],[CDPS A 31 JULIO 2022]]-Tabla16[[#This Row],[CDP]]</f>
        <v>0</v>
      </c>
      <c r="U280" s="1357"/>
      <c r="V280" s="1357"/>
      <c r="W280" s="1357"/>
    </row>
    <row r="281" spans="1:23" s="1207" customFormat="1" ht="45" hidden="1" customHeight="1" x14ac:dyDescent="0.3">
      <c r="A281" s="1358">
        <v>2022286</v>
      </c>
      <c r="B281" s="1172">
        <v>7658</v>
      </c>
      <c r="C281" s="1356" t="s">
        <v>679</v>
      </c>
      <c r="D281" s="1190" t="s">
        <v>689</v>
      </c>
      <c r="E281" s="1174" t="s">
        <v>955</v>
      </c>
      <c r="F281" s="1379" t="s">
        <v>956</v>
      </c>
      <c r="G281" s="1380">
        <v>44774</v>
      </c>
      <c r="H281" s="1380">
        <v>44774</v>
      </c>
      <c r="I281" s="1176">
        <v>7</v>
      </c>
      <c r="J281" s="1176" t="s">
        <v>687</v>
      </c>
      <c r="K281" s="1177" t="s">
        <v>674</v>
      </c>
      <c r="L281" s="1178" t="s">
        <v>957</v>
      </c>
      <c r="M281" s="1179">
        <f>150000000-50000000</f>
        <v>100000000</v>
      </c>
      <c r="N281" s="1376" t="s">
        <v>772</v>
      </c>
      <c r="O281" s="1174" t="s">
        <v>771</v>
      </c>
      <c r="P281" s="1163" t="s">
        <v>678</v>
      </c>
      <c r="Q281" s="1163"/>
      <c r="R281" s="1357">
        <v>100000000</v>
      </c>
      <c r="S281" s="1357">
        <v>100000000</v>
      </c>
      <c r="T281" s="1357">
        <f>+Tabla16[[#This Row],[CDPS A 31 JULIO 2022]]-Tabla16[[#This Row],[CDP]]</f>
        <v>0</v>
      </c>
      <c r="U281" s="1357"/>
      <c r="V281" s="1357"/>
      <c r="W281" s="1357"/>
    </row>
    <row r="282" spans="1:23" s="1207" customFormat="1" ht="45" hidden="1" customHeight="1" x14ac:dyDescent="0.3">
      <c r="A282" s="1355">
        <v>2022287</v>
      </c>
      <c r="B282" s="1172">
        <v>7658</v>
      </c>
      <c r="C282" s="1356" t="s">
        <v>679</v>
      </c>
      <c r="D282" s="1190" t="s">
        <v>689</v>
      </c>
      <c r="E282" s="1174" t="s">
        <v>958</v>
      </c>
      <c r="F282" s="1379" t="s">
        <v>959</v>
      </c>
      <c r="G282" s="1380">
        <v>44788</v>
      </c>
      <c r="H282" s="1380">
        <v>44768</v>
      </c>
      <c r="I282" s="1176">
        <v>6</v>
      </c>
      <c r="J282" s="1176" t="s">
        <v>699</v>
      </c>
      <c r="K282" s="1177" t="s">
        <v>674</v>
      </c>
      <c r="L282" s="1178" t="s">
        <v>957</v>
      </c>
      <c r="M282" s="1179">
        <f>100000000-60000000</f>
        <v>40000000</v>
      </c>
      <c r="N282" s="1376" t="s">
        <v>772</v>
      </c>
      <c r="O282" s="1174" t="s">
        <v>771</v>
      </c>
      <c r="P282" s="1163" t="s">
        <v>678</v>
      </c>
      <c r="Q282" s="1163"/>
      <c r="R282" s="1269">
        <v>0</v>
      </c>
      <c r="S282" s="1357"/>
      <c r="T282" s="1357">
        <f>+Tabla16[[#This Row],[CDPS A 31 JULIO 2022]]-Tabla16[[#This Row],[CDP]]</f>
        <v>0</v>
      </c>
      <c r="U282" s="1357"/>
      <c r="V282" s="1357"/>
      <c r="W282" s="1357"/>
    </row>
    <row r="283" spans="1:23" s="1207" customFormat="1" ht="45" customHeight="1" x14ac:dyDescent="0.3">
      <c r="A283" s="1433">
        <v>2022288</v>
      </c>
      <c r="B283" s="1399">
        <v>7658</v>
      </c>
      <c r="C283" s="1400" t="s">
        <v>679</v>
      </c>
      <c r="D283" s="1401" t="s">
        <v>689</v>
      </c>
      <c r="E283" s="1402" t="s">
        <v>960</v>
      </c>
      <c r="F283" s="1403" t="s">
        <v>961</v>
      </c>
      <c r="G283" s="1404">
        <v>44743</v>
      </c>
      <c r="H283" s="1404">
        <v>44743</v>
      </c>
      <c r="I283" s="1405">
        <v>9</v>
      </c>
      <c r="J283" s="1405" t="s">
        <v>687</v>
      </c>
      <c r="K283" s="1406" t="s">
        <v>674</v>
      </c>
      <c r="L283" s="1407" t="s">
        <v>957</v>
      </c>
      <c r="M283" s="1408">
        <f>80000000-60000000-1500000-18500000</f>
        <v>0</v>
      </c>
      <c r="N283" s="1409" t="s">
        <v>772</v>
      </c>
      <c r="O283" s="1402" t="s">
        <v>771</v>
      </c>
      <c r="P283" s="1411" t="s">
        <v>748</v>
      </c>
      <c r="Q283" s="1163"/>
      <c r="R283" s="1269">
        <v>0</v>
      </c>
      <c r="S283" s="1357"/>
      <c r="T283" s="1357">
        <f>+Tabla16[[#This Row],[CDPS A 31 JULIO 2022]]-Tabla16[[#This Row],[CDP]]</f>
        <v>0</v>
      </c>
      <c r="U283" s="1357"/>
      <c r="V283" s="1357"/>
      <c r="W283" s="1357"/>
    </row>
    <row r="284" spans="1:23" s="1207" customFormat="1" ht="45" hidden="1" customHeight="1" x14ac:dyDescent="0.3">
      <c r="A284" s="1358">
        <v>2022290</v>
      </c>
      <c r="B284" s="1172">
        <v>7658</v>
      </c>
      <c r="C284" s="1356" t="s">
        <v>679</v>
      </c>
      <c r="D284" s="1190" t="s">
        <v>689</v>
      </c>
      <c r="E284" s="1174" t="s">
        <v>962</v>
      </c>
      <c r="F284" s="1379" t="s">
        <v>963</v>
      </c>
      <c r="G284" s="1380">
        <v>44593</v>
      </c>
      <c r="H284" s="1380">
        <v>44593</v>
      </c>
      <c r="I284" s="1176">
        <v>9</v>
      </c>
      <c r="J284" s="1176" t="s">
        <v>687</v>
      </c>
      <c r="K284" s="1177" t="s">
        <v>674</v>
      </c>
      <c r="L284" s="1178" t="s">
        <v>957</v>
      </c>
      <c r="M284" s="1179">
        <v>20000000</v>
      </c>
      <c r="N284" s="1376" t="s">
        <v>772</v>
      </c>
      <c r="O284" s="1174" t="s">
        <v>771</v>
      </c>
      <c r="P284" s="1163" t="s">
        <v>678</v>
      </c>
      <c r="Q284" s="1163"/>
      <c r="R284" s="1357">
        <v>20000000</v>
      </c>
      <c r="S284" s="1357">
        <v>20000000</v>
      </c>
      <c r="T284" s="1357">
        <f>+Tabla16[[#This Row],[CDPS A 31 JULIO 2022]]-Tabla16[[#This Row],[CDP]]</f>
        <v>0</v>
      </c>
      <c r="U284" s="1357"/>
      <c r="V284" s="1357"/>
      <c r="W284" s="1357"/>
    </row>
    <row r="285" spans="1:23" s="1207" customFormat="1" ht="45" hidden="1" customHeight="1" x14ac:dyDescent="0.3">
      <c r="A285" s="1358">
        <v>2022291</v>
      </c>
      <c r="B285" s="1172">
        <v>7658</v>
      </c>
      <c r="C285" s="1356" t="s">
        <v>679</v>
      </c>
      <c r="D285" s="1190" t="s">
        <v>689</v>
      </c>
      <c r="E285" s="1174" t="s">
        <v>964</v>
      </c>
      <c r="F285" s="1379" t="s">
        <v>965</v>
      </c>
      <c r="G285" s="1380">
        <v>44593</v>
      </c>
      <c r="H285" s="1380">
        <v>44593</v>
      </c>
      <c r="I285" s="1176">
        <v>10</v>
      </c>
      <c r="J285" s="1176" t="s">
        <v>680</v>
      </c>
      <c r="K285" s="1177" t="s">
        <v>770</v>
      </c>
      <c r="L285" s="1178" t="s">
        <v>966</v>
      </c>
      <c r="M285" s="1179">
        <f>900000000-450000000</f>
        <v>450000000</v>
      </c>
      <c r="N285" s="1376" t="s">
        <v>788</v>
      </c>
      <c r="O285" s="1174" t="s">
        <v>775</v>
      </c>
      <c r="P285" s="1163" t="s">
        <v>678</v>
      </c>
      <c r="Q285" s="1163"/>
      <c r="R285" s="1357">
        <v>450000000</v>
      </c>
      <c r="S285" s="1357">
        <v>450000000</v>
      </c>
      <c r="T285" s="1357">
        <f>+Tabla16[[#This Row],[CDPS A 31 JULIO 2022]]-Tabla16[[#This Row],[CDP]]</f>
        <v>0</v>
      </c>
      <c r="U285" s="1357"/>
      <c r="V285" s="1357"/>
      <c r="W285" s="1357"/>
    </row>
    <row r="286" spans="1:23" s="1207" customFormat="1" ht="45" hidden="1" customHeight="1" x14ac:dyDescent="0.3">
      <c r="A286" s="1358">
        <v>2022292</v>
      </c>
      <c r="B286" s="1172">
        <v>7658</v>
      </c>
      <c r="C286" s="1356" t="s">
        <v>679</v>
      </c>
      <c r="D286" s="1190" t="s">
        <v>689</v>
      </c>
      <c r="E286" s="1174" t="s">
        <v>967</v>
      </c>
      <c r="F286" s="1379" t="s">
        <v>968</v>
      </c>
      <c r="G286" s="1380">
        <v>44593</v>
      </c>
      <c r="H286" s="1380">
        <v>44593</v>
      </c>
      <c r="I286" s="1176">
        <v>11</v>
      </c>
      <c r="J286" s="1176" t="s">
        <v>680</v>
      </c>
      <c r="K286" s="1177" t="s">
        <v>770</v>
      </c>
      <c r="L286" s="1178" t="s">
        <v>966</v>
      </c>
      <c r="M286" s="1179">
        <f>180000000-71000000-19000000</f>
        <v>90000000</v>
      </c>
      <c r="N286" s="1376" t="s">
        <v>788</v>
      </c>
      <c r="O286" s="1174" t="s">
        <v>775</v>
      </c>
      <c r="P286" s="1163" t="s">
        <v>678</v>
      </c>
      <c r="Q286" s="1163"/>
      <c r="R286" s="1357">
        <v>90000000</v>
      </c>
      <c r="S286" s="1357"/>
      <c r="T286" s="1357">
        <f>+Tabla16[[#This Row],[CDPS A 31 JULIO 2022]]-Tabla16[[#This Row],[CDP]]</f>
        <v>90000000</v>
      </c>
      <c r="U286" s="1357"/>
      <c r="V286" s="1357"/>
      <c r="W286" s="1357"/>
    </row>
    <row r="287" spans="1:23" s="1207" customFormat="1" ht="45" customHeight="1" x14ac:dyDescent="0.3">
      <c r="A287" s="1433">
        <v>2022293</v>
      </c>
      <c r="B287" s="1399">
        <v>7658</v>
      </c>
      <c r="C287" s="1400" t="s">
        <v>679</v>
      </c>
      <c r="D287" s="1401" t="s">
        <v>689</v>
      </c>
      <c r="E287" s="1402" t="s">
        <v>964</v>
      </c>
      <c r="F287" s="1403" t="s">
        <v>969</v>
      </c>
      <c r="G287" s="1404">
        <v>44593</v>
      </c>
      <c r="H287" s="1404">
        <v>44593</v>
      </c>
      <c r="I287" s="1405">
        <v>10</v>
      </c>
      <c r="J287" s="1405" t="s">
        <v>680</v>
      </c>
      <c r="K287" s="1406" t="s">
        <v>770</v>
      </c>
      <c r="L287" s="1407" t="s">
        <v>966</v>
      </c>
      <c r="M287" s="1408">
        <f>450000000-450000000</f>
        <v>0</v>
      </c>
      <c r="N287" s="1409" t="s">
        <v>788</v>
      </c>
      <c r="O287" s="1402" t="s">
        <v>775</v>
      </c>
      <c r="P287" s="1411" t="s">
        <v>678</v>
      </c>
      <c r="Q287" s="1163"/>
      <c r="R287" s="1269">
        <v>0</v>
      </c>
      <c r="S287" s="1357"/>
      <c r="T287" s="1357">
        <f>+Tabla16[[#This Row],[CDPS A 31 JULIO 2022]]-Tabla16[[#This Row],[CDP]]</f>
        <v>0</v>
      </c>
      <c r="U287" s="1357"/>
      <c r="V287" s="1357"/>
      <c r="W287" s="1357"/>
    </row>
    <row r="288" spans="1:23" s="1207" customFormat="1" ht="45" customHeight="1" x14ac:dyDescent="0.3">
      <c r="A288" s="1398">
        <v>2022294</v>
      </c>
      <c r="B288" s="1399">
        <v>7658</v>
      </c>
      <c r="C288" s="1400" t="s">
        <v>679</v>
      </c>
      <c r="D288" s="1401" t="s">
        <v>689</v>
      </c>
      <c r="E288" s="1402" t="s">
        <v>967</v>
      </c>
      <c r="F288" s="1403" t="s">
        <v>970</v>
      </c>
      <c r="G288" s="1404">
        <v>44805</v>
      </c>
      <c r="H288" s="1404">
        <v>44866</v>
      </c>
      <c r="I288" s="1405">
        <v>11</v>
      </c>
      <c r="J288" s="1405" t="s">
        <v>680</v>
      </c>
      <c r="K288" s="1406" t="s">
        <v>770</v>
      </c>
      <c r="L288" s="1407" t="s">
        <v>966</v>
      </c>
      <c r="M288" s="1408">
        <f>90000000-46992633-43007367</f>
        <v>0</v>
      </c>
      <c r="N288" s="1409" t="s">
        <v>788</v>
      </c>
      <c r="O288" s="1402" t="s">
        <v>775</v>
      </c>
      <c r="P288" s="1411" t="s">
        <v>678</v>
      </c>
      <c r="Q288" s="1163"/>
      <c r="R288" s="1269">
        <v>0</v>
      </c>
      <c r="S288" s="1357"/>
      <c r="T288" s="1357">
        <f>+Tabla16[[#This Row],[CDPS A 31 JULIO 2022]]-Tabla16[[#This Row],[CDP]]</f>
        <v>0</v>
      </c>
      <c r="U288" s="1357"/>
      <c r="V288" s="1357"/>
      <c r="W288" s="1357"/>
    </row>
    <row r="289" spans="1:23" s="1207" customFormat="1" ht="45" customHeight="1" x14ac:dyDescent="0.3">
      <c r="A289" s="1433">
        <v>2022295</v>
      </c>
      <c r="B289" s="1399">
        <v>7658</v>
      </c>
      <c r="C289" s="1400" t="s">
        <v>679</v>
      </c>
      <c r="D289" s="1401" t="s">
        <v>689</v>
      </c>
      <c r="E289" s="1402" t="s">
        <v>971</v>
      </c>
      <c r="F289" s="1403" t="s">
        <v>972</v>
      </c>
      <c r="G289" s="1404">
        <v>44593</v>
      </c>
      <c r="H289" s="1404">
        <v>44593</v>
      </c>
      <c r="I289" s="1405">
        <v>6</v>
      </c>
      <c r="J289" s="1405" t="s">
        <v>687</v>
      </c>
      <c r="K289" s="1406" t="s">
        <v>674</v>
      </c>
      <c r="L289" s="1407" t="s">
        <v>957</v>
      </c>
      <c r="M289" s="1408">
        <f>70000000+60000000+60000000-24453598</f>
        <v>165546402</v>
      </c>
      <c r="N289" s="1409" t="s">
        <v>772</v>
      </c>
      <c r="O289" s="1402" t="s">
        <v>771</v>
      </c>
      <c r="P289" s="1411" t="s">
        <v>678</v>
      </c>
      <c r="Q289" s="1163"/>
      <c r="R289" s="1357">
        <v>130000000</v>
      </c>
      <c r="S289" s="1357">
        <v>130000000</v>
      </c>
      <c r="T289" s="1357">
        <f>+Tabla16[[#This Row],[CDPS A 31 JULIO 2022]]-Tabla16[[#This Row],[CDP]]</f>
        <v>0</v>
      </c>
      <c r="U289" s="1357"/>
      <c r="V289" s="1357"/>
      <c r="W289" s="1357"/>
    </row>
    <row r="290" spans="1:23" s="1207" customFormat="1" ht="45" customHeight="1" x14ac:dyDescent="0.3">
      <c r="A290" s="1433">
        <v>2022296</v>
      </c>
      <c r="B290" s="1399">
        <v>7658</v>
      </c>
      <c r="C290" s="1400" t="s">
        <v>679</v>
      </c>
      <c r="D290" s="1401" t="s">
        <v>689</v>
      </c>
      <c r="E290" s="1402" t="s">
        <v>973</v>
      </c>
      <c r="F290" s="1403" t="s">
        <v>974</v>
      </c>
      <c r="G290" s="1404">
        <v>44652</v>
      </c>
      <c r="H290" s="1404">
        <v>44652</v>
      </c>
      <c r="I290" s="1405">
        <v>9</v>
      </c>
      <c r="J290" s="1405" t="s">
        <v>696</v>
      </c>
      <c r="K290" s="1406" t="s">
        <v>674</v>
      </c>
      <c r="L290" s="1407" t="s">
        <v>966</v>
      </c>
      <c r="M290" s="1408">
        <f>300000000-200000000-100000000</f>
        <v>0</v>
      </c>
      <c r="N290" s="1409" t="s">
        <v>772</v>
      </c>
      <c r="O290" s="1402" t="s">
        <v>771</v>
      </c>
      <c r="P290" s="1411" t="s">
        <v>748</v>
      </c>
      <c r="Q290" s="1163"/>
      <c r="R290" s="1269">
        <v>0</v>
      </c>
      <c r="S290" s="1357"/>
      <c r="T290" s="1357">
        <f>+Tabla16[[#This Row],[CDPS A 31 JULIO 2022]]-Tabla16[[#This Row],[CDP]]</f>
        <v>0</v>
      </c>
      <c r="U290" s="1357"/>
      <c r="V290" s="1357"/>
      <c r="W290" s="1357"/>
    </row>
    <row r="291" spans="1:23" s="1207" customFormat="1" ht="45" customHeight="1" x14ac:dyDescent="0.3">
      <c r="A291" s="1398">
        <v>2022297</v>
      </c>
      <c r="B291" s="1399">
        <v>7658</v>
      </c>
      <c r="C291" s="1400" t="s">
        <v>679</v>
      </c>
      <c r="D291" s="1401" t="s">
        <v>689</v>
      </c>
      <c r="E291" s="1402" t="s">
        <v>975</v>
      </c>
      <c r="F291" s="1403" t="s">
        <v>4705</v>
      </c>
      <c r="G291" s="1404">
        <v>44593</v>
      </c>
      <c r="H291" s="1404">
        <v>44593</v>
      </c>
      <c r="I291" s="1405">
        <v>5</v>
      </c>
      <c r="J291" s="1405" t="s">
        <v>645</v>
      </c>
      <c r="K291" s="1406" t="s">
        <v>674</v>
      </c>
      <c r="L291" s="1407" t="s">
        <v>966</v>
      </c>
      <c r="M291" s="1408">
        <f>1119870000-514000000-50011677-370857468-105559750+24453598+100000000+18500000+200000000+50011677+370857468+123844882+40150000+52400000+35700000+32850000+11791270</f>
        <v>1140000000</v>
      </c>
      <c r="N291" s="1409" t="s">
        <v>772</v>
      </c>
      <c r="O291" s="1402" t="s">
        <v>771</v>
      </c>
      <c r="P291" s="1411" t="s">
        <v>678</v>
      </c>
      <c r="Q291" s="1163"/>
      <c r="R291" s="1269">
        <v>0</v>
      </c>
      <c r="S291" s="1357"/>
      <c r="T291" s="1357">
        <f>+Tabla16[[#This Row],[CDPS A 31 JULIO 2022]]-Tabla16[[#This Row],[CDP]]</f>
        <v>0</v>
      </c>
      <c r="U291" s="1357"/>
      <c r="V291" s="1357"/>
      <c r="W291" s="1357"/>
    </row>
    <row r="292" spans="1:23" s="1207" customFormat="1" ht="45" hidden="1" customHeight="1" x14ac:dyDescent="0.3">
      <c r="A292" s="1358">
        <v>2022298</v>
      </c>
      <c r="B292" s="1172">
        <v>7658</v>
      </c>
      <c r="C292" s="1356" t="s">
        <v>679</v>
      </c>
      <c r="D292" s="1190" t="s">
        <v>689</v>
      </c>
      <c r="E292" s="1174" t="s">
        <v>967</v>
      </c>
      <c r="F292" s="1379" t="s">
        <v>977</v>
      </c>
      <c r="G292" s="1380">
        <v>44593</v>
      </c>
      <c r="H292" s="1380">
        <v>44593</v>
      </c>
      <c r="I292" s="1176">
        <v>11</v>
      </c>
      <c r="J292" s="1176" t="s">
        <v>687</v>
      </c>
      <c r="K292" s="1177" t="s">
        <v>674</v>
      </c>
      <c r="L292" s="1178" t="s">
        <v>966</v>
      </c>
      <c r="M292" s="1179">
        <f>420000000-146500000-123500000</f>
        <v>150000000</v>
      </c>
      <c r="N292" s="1376" t="s">
        <v>772</v>
      </c>
      <c r="O292" s="1174" t="s">
        <v>771</v>
      </c>
      <c r="P292" s="1163" t="s">
        <v>678</v>
      </c>
      <c r="Q292" s="1163"/>
      <c r="R292" s="1269">
        <v>0</v>
      </c>
      <c r="S292" s="1357"/>
      <c r="T292" s="1357">
        <f>+Tabla16[[#This Row],[CDPS A 31 JULIO 2022]]-Tabla16[[#This Row],[CDP]]</f>
        <v>0</v>
      </c>
      <c r="U292" s="1357"/>
      <c r="V292" s="1357"/>
      <c r="W292" s="1357"/>
    </row>
    <row r="293" spans="1:23" s="1207" customFormat="1" ht="45" hidden="1" customHeight="1" x14ac:dyDescent="0.3">
      <c r="A293" s="1358">
        <v>2022300</v>
      </c>
      <c r="B293" s="1172">
        <v>7658</v>
      </c>
      <c r="C293" s="1356" t="s">
        <v>679</v>
      </c>
      <c r="D293" s="1190" t="s">
        <v>689</v>
      </c>
      <c r="E293" s="1174" t="s">
        <v>978</v>
      </c>
      <c r="F293" s="1379" t="s">
        <v>979</v>
      </c>
      <c r="G293" s="1380">
        <v>44621</v>
      </c>
      <c r="H293" s="1380">
        <v>44621</v>
      </c>
      <c r="I293" s="1176">
        <v>4</v>
      </c>
      <c r="J293" s="1176" t="s">
        <v>696</v>
      </c>
      <c r="K293" s="1177" t="s">
        <v>770</v>
      </c>
      <c r="L293" s="1178" t="s">
        <v>966</v>
      </c>
      <c r="M293" s="1179">
        <v>300000000</v>
      </c>
      <c r="N293" s="1376" t="s">
        <v>772</v>
      </c>
      <c r="O293" s="1174" t="s">
        <v>771</v>
      </c>
      <c r="P293" s="1163" t="s">
        <v>678</v>
      </c>
      <c r="Q293" s="1163"/>
      <c r="R293" s="1269">
        <v>0</v>
      </c>
      <c r="S293" s="1357"/>
      <c r="T293" s="1357">
        <f>+Tabla16[[#This Row],[CDPS A 31 JULIO 2022]]-Tabla16[[#This Row],[CDP]]</f>
        <v>0</v>
      </c>
      <c r="U293" s="1357"/>
      <c r="V293" s="1357"/>
      <c r="W293" s="1357"/>
    </row>
    <row r="294" spans="1:23" s="1207" customFormat="1" ht="45" customHeight="1" x14ac:dyDescent="0.3">
      <c r="A294" s="1398">
        <v>2022301</v>
      </c>
      <c r="B294" s="1399">
        <v>7658</v>
      </c>
      <c r="C294" s="1400" t="s">
        <v>679</v>
      </c>
      <c r="D294" s="1401" t="s">
        <v>689</v>
      </c>
      <c r="E294" s="1402" t="s">
        <v>97</v>
      </c>
      <c r="F294" s="1403" t="s">
        <v>980</v>
      </c>
      <c r="G294" s="1404">
        <v>44621</v>
      </c>
      <c r="H294" s="1404">
        <v>44621</v>
      </c>
      <c r="I294" s="1405" t="s">
        <v>97</v>
      </c>
      <c r="J294" s="1405" t="s">
        <v>97</v>
      </c>
      <c r="K294" s="1406" t="s">
        <v>674</v>
      </c>
      <c r="L294" s="1407" t="s">
        <v>981</v>
      </c>
      <c r="M294" s="1408">
        <f>170000000-46155118-123844882</f>
        <v>0</v>
      </c>
      <c r="N294" s="1409" t="s">
        <v>788</v>
      </c>
      <c r="O294" s="1402" t="s">
        <v>775</v>
      </c>
      <c r="P294" s="1411" t="s">
        <v>748</v>
      </c>
      <c r="Q294" s="1163"/>
      <c r="R294" s="1357">
        <v>0</v>
      </c>
      <c r="S294" s="1357"/>
      <c r="T294" s="1357">
        <f>+Tabla16[[#This Row],[CDPS A 31 JULIO 2022]]-Tabla16[[#This Row],[CDP]]</f>
        <v>0</v>
      </c>
      <c r="U294" s="1357"/>
      <c r="V294" s="1357"/>
      <c r="W294" s="1357"/>
    </row>
    <row r="295" spans="1:23" s="1207" customFormat="1" ht="45" customHeight="1" x14ac:dyDescent="0.3">
      <c r="A295" s="1398">
        <v>2022301</v>
      </c>
      <c r="B295" s="1399">
        <v>7658</v>
      </c>
      <c r="C295" s="1400" t="s">
        <v>679</v>
      </c>
      <c r="D295" s="1401" t="s">
        <v>689</v>
      </c>
      <c r="E295" s="1402" t="s">
        <v>97</v>
      </c>
      <c r="F295" s="1403" t="s">
        <v>980</v>
      </c>
      <c r="G295" s="1404">
        <v>44621</v>
      </c>
      <c r="H295" s="1404">
        <v>44621</v>
      </c>
      <c r="I295" s="1405" t="s">
        <v>97</v>
      </c>
      <c r="J295" s="1405" t="s">
        <v>97</v>
      </c>
      <c r="K295" s="1406" t="s">
        <v>982</v>
      </c>
      <c r="L295" s="1407" t="s">
        <v>981</v>
      </c>
      <c r="M295" s="1408">
        <v>46155118</v>
      </c>
      <c r="N295" s="1409" t="s">
        <v>788</v>
      </c>
      <c r="O295" s="1402" t="s">
        <v>775</v>
      </c>
      <c r="P295" s="1411" t="s">
        <v>748</v>
      </c>
      <c r="Q295" s="1163"/>
      <c r="R295" s="1357">
        <v>46155118</v>
      </c>
      <c r="S295" s="1357">
        <v>46155118</v>
      </c>
      <c r="T295" s="1357">
        <f>+Tabla16[[#This Row],[CDPS A 31 JULIO 2022]]-Tabla16[[#This Row],[CDP]]</f>
        <v>0</v>
      </c>
      <c r="U295" s="1357">
        <v>46155118</v>
      </c>
      <c r="V295" s="1357">
        <v>46155118</v>
      </c>
      <c r="W295" s="1357"/>
    </row>
    <row r="296" spans="1:23" s="1207" customFormat="1" ht="45" hidden="1" customHeight="1" x14ac:dyDescent="0.3">
      <c r="A296" s="1355">
        <v>2022302</v>
      </c>
      <c r="B296" s="1172">
        <v>7658</v>
      </c>
      <c r="C296" s="1356" t="s">
        <v>679</v>
      </c>
      <c r="D296" s="1190" t="s">
        <v>689</v>
      </c>
      <c r="E296" s="1174" t="s">
        <v>983</v>
      </c>
      <c r="F296" s="1379" t="s">
        <v>984</v>
      </c>
      <c r="G296" s="1380">
        <v>44652</v>
      </c>
      <c r="H296" s="1380">
        <v>44652</v>
      </c>
      <c r="I296" s="1176">
        <v>10</v>
      </c>
      <c r="J296" s="1176" t="s">
        <v>645</v>
      </c>
      <c r="K296" s="1177" t="s">
        <v>674</v>
      </c>
      <c r="L296" s="1178" t="s">
        <v>985</v>
      </c>
      <c r="M296" s="1179">
        <v>308129000</v>
      </c>
      <c r="N296" s="1376" t="s">
        <v>772</v>
      </c>
      <c r="O296" s="1174" t="s">
        <v>771</v>
      </c>
      <c r="P296" s="1163" t="s">
        <v>678</v>
      </c>
      <c r="Q296" s="1163"/>
      <c r="R296" s="1357">
        <v>308129000</v>
      </c>
      <c r="S296" s="1357">
        <v>308129000</v>
      </c>
      <c r="T296" s="1357">
        <f>+Tabla16[[#This Row],[CDPS A 31 JULIO 2022]]-Tabla16[[#This Row],[CDP]]</f>
        <v>0</v>
      </c>
      <c r="U296" s="1357">
        <v>308129000</v>
      </c>
      <c r="V296" s="1357"/>
      <c r="W296" s="1357"/>
    </row>
    <row r="297" spans="1:23" s="1207" customFormat="1" ht="45" hidden="1" customHeight="1" x14ac:dyDescent="0.3">
      <c r="A297" s="1355">
        <v>2022303</v>
      </c>
      <c r="B297" s="1172">
        <v>7658</v>
      </c>
      <c r="C297" s="1356" t="s">
        <v>679</v>
      </c>
      <c r="D297" s="1190" t="s">
        <v>689</v>
      </c>
      <c r="E297" s="1174" t="s">
        <v>986</v>
      </c>
      <c r="F297" s="1379" t="s">
        <v>987</v>
      </c>
      <c r="G297" s="1380">
        <v>44575</v>
      </c>
      <c r="H297" s="1380">
        <v>44575</v>
      </c>
      <c r="I297" s="1176">
        <v>1</v>
      </c>
      <c r="J297" s="1176" t="s">
        <v>720</v>
      </c>
      <c r="K297" s="1177" t="s">
        <v>674</v>
      </c>
      <c r="L297" s="1178" t="s">
        <v>988</v>
      </c>
      <c r="M297" s="1179">
        <v>10600000</v>
      </c>
      <c r="N297" s="1376" t="s">
        <v>772</v>
      </c>
      <c r="O297" s="1174" t="s">
        <v>771</v>
      </c>
      <c r="P297" s="1163" t="s">
        <v>748</v>
      </c>
      <c r="Q297" s="1163"/>
      <c r="R297" s="1269">
        <v>0</v>
      </c>
      <c r="S297" s="1357"/>
      <c r="T297" s="1357">
        <f>+Tabla16[[#This Row],[CDPS A 31 JULIO 2022]]-Tabla16[[#This Row],[CDP]]</f>
        <v>0</v>
      </c>
      <c r="U297" s="1357"/>
      <c r="V297" s="1357"/>
      <c r="W297" s="1357"/>
    </row>
    <row r="298" spans="1:23" s="1207" customFormat="1" ht="45" hidden="1" customHeight="1" x14ac:dyDescent="0.3">
      <c r="A298" s="1355">
        <v>2022304</v>
      </c>
      <c r="B298" s="1172">
        <v>7658</v>
      </c>
      <c r="C298" s="1356" t="s">
        <v>679</v>
      </c>
      <c r="D298" s="1190" t="s">
        <v>689</v>
      </c>
      <c r="E298" s="1174" t="s">
        <v>986</v>
      </c>
      <c r="F298" s="1379" t="s">
        <v>989</v>
      </c>
      <c r="G298" s="1380">
        <v>44606</v>
      </c>
      <c r="H298" s="1380">
        <v>44606</v>
      </c>
      <c r="I298" s="1176">
        <v>11</v>
      </c>
      <c r="J298" s="1176" t="s">
        <v>720</v>
      </c>
      <c r="K298" s="1177" t="s">
        <v>674</v>
      </c>
      <c r="L298" s="1178" t="s">
        <v>988</v>
      </c>
      <c r="M298" s="1179">
        <v>109400000</v>
      </c>
      <c r="N298" s="1376" t="s">
        <v>772</v>
      </c>
      <c r="O298" s="1174" t="s">
        <v>771</v>
      </c>
      <c r="P298" s="1163" t="s">
        <v>678</v>
      </c>
      <c r="Q298" s="1163"/>
      <c r="R298" s="1357">
        <v>99859613</v>
      </c>
      <c r="S298" s="1357">
        <v>99859613</v>
      </c>
      <c r="T298" s="1357">
        <f>+Tabla16[[#This Row],[CDPS A 31 JULIO 2022]]-Tabla16[[#This Row],[CDP]]</f>
        <v>0</v>
      </c>
      <c r="U298" s="1357">
        <v>99859613</v>
      </c>
      <c r="V298" s="1357">
        <v>43996890</v>
      </c>
      <c r="W298" s="1357"/>
    </row>
    <row r="299" spans="1:23" s="1207" customFormat="1" ht="58.5" hidden="1" customHeight="1" x14ac:dyDescent="0.3">
      <c r="A299" s="1358">
        <v>2022305</v>
      </c>
      <c r="B299" s="1172">
        <v>7658</v>
      </c>
      <c r="C299" s="1356" t="s">
        <v>679</v>
      </c>
      <c r="D299" s="1190" t="s">
        <v>689</v>
      </c>
      <c r="E299" s="1174" t="s">
        <v>990</v>
      </c>
      <c r="F299" s="1379" t="s">
        <v>991</v>
      </c>
      <c r="G299" s="1380">
        <v>44757</v>
      </c>
      <c r="H299" s="1380">
        <v>44819</v>
      </c>
      <c r="I299" s="1176">
        <v>7</v>
      </c>
      <c r="J299" s="1176" t="s">
        <v>687</v>
      </c>
      <c r="K299" s="1177" t="s">
        <v>770</v>
      </c>
      <c r="L299" s="1178" t="s">
        <v>966</v>
      </c>
      <c r="M299" s="1179">
        <f>205000000-90000000-10000000</f>
        <v>105000000</v>
      </c>
      <c r="N299" s="1376" t="s">
        <v>772</v>
      </c>
      <c r="O299" s="1174" t="s">
        <v>771</v>
      </c>
      <c r="P299" s="1163" t="s">
        <v>678</v>
      </c>
      <c r="Q299" s="1163"/>
      <c r="R299" s="1269">
        <v>0</v>
      </c>
      <c r="S299" s="1357"/>
      <c r="T299" s="1357">
        <f>+Tabla16[[#This Row],[CDPS A 31 JULIO 2022]]-Tabla16[[#This Row],[CDP]]</f>
        <v>0</v>
      </c>
      <c r="U299" s="1357"/>
      <c r="V299" s="1357"/>
      <c r="W299" s="1357"/>
    </row>
    <row r="300" spans="1:23" s="1207" customFormat="1" ht="45" hidden="1" customHeight="1" x14ac:dyDescent="0.3">
      <c r="A300" s="1358">
        <v>2022306</v>
      </c>
      <c r="B300" s="1172">
        <v>7658</v>
      </c>
      <c r="C300" s="1356" t="s">
        <v>679</v>
      </c>
      <c r="D300" s="1190" t="s">
        <v>689</v>
      </c>
      <c r="E300" s="1174" t="s">
        <v>967</v>
      </c>
      <c r="F300" s="1379" t="s">
        <v>992</v>
      </c>
      <c r="G300" s="1380">
        <v>44682</v>
      </c>
      <c r="H300" s="1380">
        <v>44701</v>
      </c>
      <c r="I300" s="1176">
        <v>8</v>
      </c>
      <c r="J300" s="1176" t="s">
        <v>680</v>
      </c>
      <c r="K300" s="1177" t="s">
        <v>770</v>
      </c>
      <c r="L300" s="1178" t="s">
        <v>966</v>
      </c>
      <c r="M300" s="1179">
        <f>21000000-21000000</f>
        <v>0</v>
      </c>
      <c r="N300" s="1376" t="s">
        <v>772</v>
      </c>
      <c r="O300" s="1174" t="s">
        <v>771</v>
      </c>
      <c r="P300" s="1163" t="s">
        <v>678</v>
      </c>
      <c r="Q300" s="1163"/>
      <c r="R300" s="1269">
        <v>0</v>
      </c>
      <c r="S300" s="1357"/>
      <c r="T300" s="1357">
        <f>+Tabla16[[#This Row],[CDPS A 31 JULIO 2022]]-Tabla16[[#This Row],[CDP]]</f>
        <v>0</v>
      </c>
      <c r="U300" s="1357"/>
      <c r="V300" s="1357"/>
      <c r="W300" s="1357"/>
    </row>
    <row r="301" spans="1:23" s="1207" customFormat="1" ht="45" hidden="1" customHeight="1" x14ac:dyDescent="0.3">
      <c r="A301" s="1358">
        <v>2022307</v>
      </c>
      <c r="B301" s="1172">
        <v>7658</v>
      </c>
      <c r="C301" s="1356" t="s">
        <v>679</v>
      </c>
      <c r="D301" s="1190" t="s">
        <v>689</v>
      </c>
      <c r="E301" s="1174" t="s">
        <v>971</v>
      </c>
      <c r="F301" s="1190" t="s">
        <v>993</v>
      </c>
      <c r="G301" s="1380">
        <v>44634</v>
      </c>
      <c r="H301" s="1380">
        <v>44634</v>
      </c>
      <c r="I301" s="1176">
        <v>6</v>
      </c>
      <c r="J301" s="1176" t="s">
        <v>645</v>
      </c>
      <c r="K301" s="1177" t="s">
        <v>770</v>
      </c>
      <c r="L301" s="1178" t="s">
        <v>966</v>
      </c>
      <c r="M301" s="1179">
        <f>1000000000-200000000+450000000+250000000</f>
        <v>1500000000</v>
      </c>
      <c r="N301" s="1376" t="s">
        <v>788</v>
      </c>
      <c r="O301" s="1174" t="s">
        <v>775</v>
      </c>
      <c r="P301" s="1163" t="s">
        <v>678</v>
      </c>
      <c r="Q301" s="1163"/>
      <c r="R301" s="1357">
        <v>1500000000</v>
      </c>
      <c r="S301" s="1357"/>
      <c r="T301" s="1357">
        <f>+Tabla16[[#This Row],[CDPS A 31 JULIO 2022]]-Tabla16[[#This Row],[CDP]]</f>
        <v>1500000000</v>
      </c>
      <c r="U301" s="1357"/>
      <c r="V301" s="1357"/>
      <c r="W301" s="1357"/>
    </row>
    <row r="302" spans="1:23" s="1207" customFormat="1" ht="45" hidden="1" customHeight="1" x14ac:dyDescent="0.3">
      <c r="A302" s="1358">
        <v>2022308</v>
      </c>
      <c r="B302" s="1172">
        <v>7658</v>
      </c>
      <c r="C302" s="1356" t="s">
        <v>679</v>
      </c>
      <c r="D302" s="1190" t="s">
        <v>689</v>
      </c>
      <c r="E302" s="1174" t="s">
        <v>967</v>
      </c>
      <c r="F302" s="1190" t="s">
        <v>994</v>
      </c>
      <c r="G302" s="1380">
        <v>44757</v>
      </c>
      <c r="H302" s="1380">
        <v>44819</v>
      </c>
      <c r="I302" s="1176">
        <v>6</v>
      </c>
      <c r="J302" s="1176" t="s">
        <v>680</v>
      </c>
      <c r="K302" s="1177" t="s">
        <v>770</v>
      </c>
      <c r="L302" s="1178" t="s">
        <v>966</v>
      </c>
      <c r="M302" s="1179">
        <f>345000000-25000000-168000000+90000000+46992633</f>
        <v>288992633</v>
      </c>
      <c r="N302" s="1376" t="s">
        <v>788</v>
      </c>
      <c r="O302" s="1174" t="s">
        <v>775</v>
      </c>
      <c r="P302" s="1163" t="s">
        <v>678</v>
      </c>
      <c r="Q302" s="1163"/>
      <c r="R302" s="1269">
        <v>0</v>
      </c>
      <c r="S302" s="1357"/>
      <c r="T302" s="1357">
        <f>+Tabla16[[#This Row],[CDPS A 31 JULIO 2022]]-Tabla16[[#This Row],[CDP]]</f>
        <v>0</v>
      </c>
      <c r="U302" s="1357"/>
      <c r="V302" s="1357"/>
      <c r="W302" s="1357"/>
    </row>
    <row r="303" spans="1:23" s="1207" customFormat="1" ht="45" customHeight="1" x14ac:dyDescent="0.3">
      <c r="A303" s="1433">
        <v>2022309</v>
      </c>
      <c r="B303" s="1434">
        <v>7658</v>
      </c>
      <c r="C303" s="1435" t="s">
        <v>679</v>
      </c>
      <c r="D303" s="1436" t="s">
        <v>689</v>
      </c>
      <c r="E303" s="1437" t="s">
        <v>995</v>
      </c>
      <c r="F303" s="1438" t="s">
        <v>996</v>
      </c>
      <c r="G303" s="1439">
        <v>44711</v>
      </c>
      <c r="H303" s="1439">
        <v>44727</v>
      </c>
      <c r="I303" s="1440">
        <v>4</v>
      </c>
      <c r="J303" s="1405" t="s">
        <v>687</v>
      </c>
      <c r="K303" s="1441" t="s">
        <v>770</v>
      </c>
      <c r="L303" s="1407" t="s">
        <v>966</v>
      </c>
      <c r="M303" s="1442">
        <f>175000000+25000000+220000000</f>
        <v>420000000</v>
      </c>
      <c r="N303" s="1409" t="s">
        <v>786</v>
      </c>
      <c r="O303" s="1437" t="s">
        <v>997</v>
      </c>
      <c r="P303" s="1411" t="s">
        <v>678</v>
      </c>
      <c r="Q303" s="1163"/>
      <c r="R303" s="1269">
        <v>0</v>
      </c>
      <c r="S303" s="1357"/>
      <c r="T303" s="1357">
        <f>+Tabla16[[#This Row],[CDPS A 31 JULIO 2022]]-Tabla16[[#This Row],[CDP]]</f>
        <v>0</v>
      </c>
      <c r="U303" s="1357"/>
      <c r="V303" s="1357"/>
      <c r="W303" s="1357"/>
    </row>
    <row r="304" spans="1:23" s="1207" customFormat="1" ht="45" hidden="1" customHeight="1" x14ac:dyDescent="0.3">
      <c r="A304" s="1355">
        <v>2022310</v>
      </c>
      <c r="B304" s="1172">
        <v>7658</v>
      </c>
      <c r="C304" s="1356" t="s">
        <v>679</v>
      </c>
      <c r="D304" s="1190" t="s">
        <v>695</v>
      </c>
      <c r="E304" s="1174">
        <v>80111600</v>
      </c>
      <c r="F304" s="1379" t="s">
        <v>998</v>
      </c>
      <c r="G304" s="1380">
        <v>44562</v>
      </c>
      <c r="H304" s="1380">
        <v>44592</v>
      </c>
      <c r="I304" s="1176">
        <v>7</v>
      </c>
      <c r="J304" s="1176" t="s">
        <v>673</v>
      </c>
      <c r="K304" s="1177" t="s">
        <v>674</v>
      </c>
      <c r="L304" s="1178" t="s">
        <v>675</v>
      </c>
      <c r="M304" s="1179">
        <f>30429000-10500000+1806000</f>
        <v>21735000</v>
      </c>
      <c r="N304" s="1376" t="s">
        <v>765</v>
      </c>
      <c r="O304" s="1174" t="s">
        <v>764</v>
      </c>
      <c r="P304" s="1207" t="s">
        <v>678</v>
      </c>
      <c r="Q304" s="1163"/>
      <c r="R304" s="1357">
        <v>21735000</v>
      </c>
      <c r="S304" s="1357"/>
      <c r="T304" s="1357">
        <f>+Tabla16[[#This Row],[CDPS A 31 JULIO 2022]]-Tabla16[[#This Row],[CDP]]</f>
        <v>21735000</v>
      </c>
      <c r="U304" s="1357"/>
      <c r="V304" s="1357"/>
      <c r="W304" s="1357"/>
    </row>
    <row r="305" spans="1:23" s="1207" customFormat="1" ht="45" hidden="1" customHeight="1" x14ac:dyDescent="0.3">
      <c r="A305" s="1355">
        <v>2022311</v>
      </c>
      <c r="B305" s="1172">
        <v>7658</v>
      </c>
      <c r="C305" s="1356" t="s">
        <v>679</v>
      </c>
      <c r="D305" s="1190" t="s">
        <v>695</v>
      </c>
      <c r="E305" s="1174">
        <v>80111600</v>
      </c>
      <c r="F305" s="1379" t="s">
        <v>999</v>
      </c>
      <c r="G305" s="1380">
        <v>44562</v>
      </c>
      <c r="H305" s="1380">
        <v>44592</v>
      </c>
      <c r="I305" s="1176">
        <v>11</v>
      </c>
      <c r="J305" s="1176" t="s">
        <v>673</v>
      </c>
      <c r="K305" s="1177" t="s">
        <v>674</v>
      </c>
      <c r="L305" s="1178" t="s">
        <v>675</v>
      </c>
      <c r="M305" s="1386">
        <f>26950000-9800000</f>
        <v>17150000</v>
      </c>
      <c r="N305" s="1376" t="s">
        <v>765</v>
      </c>
      <c r="O305" s="1174" t="s">
        <v>764</v>
      </c>
      <c r="P305" s="1207" t="s">
        <v>678</v>
      </c>
      <c r="Q305" s="1163"/>
      <c r="R305" s="1357">
        <v>17150000</v>
      </c>
      <c r="S305" s="1357">
        <v>17150000</v>
      </c>
      <c r="T305" s="1357">
        <f>+Tabla16[[#This Row],[CDPS A 31 JULIO 2022]]-Tabla16[[#This Row],[CDP]]</f>
        <v>0</v>
      </c>
      <c r="U305" s="1357">
        <v>17150000</v>
      </c>
      <c r="V305" s="1357">
        <v>10371667</v>
      </c>
      <c r="W305" s="1357"/>
    </row>
    <row r="306" spans="1:23" s="1207" customFormat="1" ht="45" hidden="1" customHeight="1" x14ac:dyDescent="0.3">
      <c r="A306" s="1355">
        <v>2022312</v>
      </c>
      <c r="B306" s="1172">
        <v>7658</v>
      </c>
      <c r="C306" s="1356" t="s">
        <v>679</v>
      </c>
      <c r="D306" s="1190" t="s">
        <v>695</v>
      </c>
      <c r="E306" s="1174">
        <v>80111600</v>
      </c>
      <c r="F306" s="1379" t="s">
        <v>999</v>
      </c>
      <c r="G306" s="1380">
        <v>44562</v>
      </c>
      <c r="H306" s="1380">
        <v>44592</v>
      </c>
      <c r="I306" s="1176">
        <v>11</v>
      </c>
      <c r="J306" s="1176" t="s">
        <v>673</v>
      </c>
      <c r="K306" s="1177" t="s">
        <v>674</v>
      </c>
      <c r="L306" s="1178" t="s">
        <v>675</v>
      </c>
      <c r="M306" s="1179">
        <f>26950000-2359000-7441000</f>
        <v>17150000</v>
      </c>
      <c r="N306" s="1376" t="s">
        <v>765</v>
      </c>
      <c r="O306" s="1174" t="s">
        <v>764</v>
      </c>
      <c r="P306" s="1207" t="s">
        <v>678</v>
      </c>
      <c r="Q306" s="1163"/>
      <c r="R306" s="1357">
        <v>17150000</v>
      </c>
      <c r="S306" s="1357">
        <v>17150000</v>
      </c>
      <c r="T306" s="1357">
        <f>+Tabla16[[#This Row],[CDPS A 31 JULIO 2022]]-Tabla16[[#This Row],[CDP]]</f>
        <v>0</v>
      </c>
      <c r="U306" s="1357">
        <v>17150000</v>
      </c>
      <c r="V306" s="1357">
        <v>8003333</v>
      </c>
      <c r="W306" s="1357"/>
    </row>
    <row r="307" spans="1:23" s="1207" customFormat="1" ht="45" hidden="1" customHeight="1" x14ac:dyDescent="0.3">
      <c r="A307" s="1355">
        <v>2022313</v>
      </c>
      <c r="B307" s="1172">
        <v>7658</v>
      </c>
      <c r="C307" s="1356" t="s">
        <v>679</v>
      </c>
      <c r="D307" s="1190" t="s">
        <v>695</v>
      </c>
      <c r="E307" s="1174">
        <v>80111600</v>
      </c>
      <c r="F307" s="1379" t="s">
        <v>1000</v>
      </c>
      <c r="G307" s="1380">
        <v>44562</v>
      </c>
      <c r="H307" s="1380">
        <v>44592</v>
      </c>
      <c r="I307" s="1176">
        <v>11</v>
      </c>
      <c r="J307" s="1176" t="s">
        <v>673</v>
      </c>
      <c r="K307" s="1177" t="s">
        <v>674</v>
      </c>
      <c r="L307" s="1178" t="s">
        <v>675</v>
      </c>
      <c r="M307" s="1179">
        <f>59202000-9490000-15087800</f>
        <v>34624200</v>
      </c>
      <c r="N307" s="1376" t="s">
        <v>765</v>
      </c>
      <c r="O307" s="1174" t="s">
        <v>764</v>
      </c>
      <c r="P307" s="1207" t="s">
        <v>678</v>
      </c>
      <c r="Q307" s="1163"/>
      <c r="R307" s="1357">
        <v>48438000</v>
      </c>
      <c r="S307" s="1357">
        <v>48438000</v>
      </c>
      <c r="T307" s="1357">
        <f>+Tabla16[[#This Row],[CDPS A 31 JULIO 2022]]-Tabla16[[#This Row],[CDP]]</f>
        <v>0</v>
      </c>
      <c r="U307" s="1357">
        <v>48438000</v>
      </c>
      <c r="V307" s="1357">
        <v>23860200</v>
      </c>
      <c r="W307" s="1357"/>
    </row>
    <row r="308" spans="1:23" s="1207" customFormat="1" ht="45" hidden="1" customHeight="1" x14ac:dyDescent="0.3">
      <c r="A308" s="1355">
        <v>2022314</v>
      </c>
      <c r="B308" s="1172">
        <v>7658</v>
      </c>
      <c r="C308" s="1356" t="s">
        <v>679</v>
      </c>
      <c r="D308" s="1190" t="s">
        <v>695</v>
      </c>
      <c r="E308" s="1174">
        <v>80111600</v>
      </c>
      <c r="F308" s="1379" t="s">
        <v>1001</v>
      </c>
      <c r="G308" s="1380">
        <v>44562</v>
      </c>
      <c r="H308" s="1380">
        <v>44592</v>
      </c>
      <c r="I308" s="1176">
        <v>11</v>
      </c>
      <c r="J308" s="1176" t="s">
        <v>673</v>
      </c>
      <c r="K308" s="1177" t="s">
        <v>674</v>
      </c>
      <c r="L308" s="1178" t="s">
        <v>675</v>
      </c>
      <c r="M308" s="1179">
        <v>36850000</v>
      </c>
      <c r="N308" s="1376" t="s">
        <v>765</v>
      </c>
      <c r="O308" s="1174" t="s">
        <v>764</v>
      </c>
      <c r="P308" s="1207" t="s">
        <v>678</v>
      </c>
      <c r="Q308" s="1163"/>
      <c r="R308" s="1357">
        <v>36850000</v>
      </c>
      <c r="S308" s="1357">
        <v>36850000</v>
      </c>
      <c r="T308" s="1357">
        <f>+Tabla16[[#This Row],[CDPS A 31 JULIO 2022]]-Tabla16[[#This Row],[CDP]]</f>
        <v>0</v>
      </c>
      <c r="U308" s="1357">
        <v>36850000</v>
      </c>
      <c r="V308" s="1357">
        <v>13846667</v>
      </c>
      <c r="W308" s="1357"/>
    </row>
    <row r="309" spans="1:23" s="1207" customFormat="1" ht="45" hidden="1" customHeight="1" x14ac:dyDescent="0.3">
      <c r="A309" s="1355">
        <v>2022315</v>
      </c>
      <c r="B309" s="1172">
        <v>7658</v>
      </c>
      <c r="C309" s="1356" t="s">
        <v>679</v>
      </c>
      <c r="D309" s="1190" t="s">
        <v>695</v>
      </c>
      <c r="E309" s="1174">
        <v>80111600</v>
      </c>
      <c r="F309" s="1379" t="s">
        <v>1002</v>
      </c>
      <c r="G309" s="1380">
        <v>44562</v>
      </c>
      <c r="H309" s="1380">
        <v>44592</v>
      </c>
      <c r="I309" s="1176">
        <v>11</v>
      </c>
      <c r="J309" s="1176" t="s">
        <v>673</v>
      </c>
      <c r="K309" s="1177" t="s">
        <v>674</v>
      </c>
      <c r="L309" s="1178" t="s">
        <v>675</v>
      </c>
      <c r="M309" s="1179">
        <f>47817000-16953300-434700</f>
        <v>30429000</v>
      </c>
      <c r="N309" s="1376" t="s">
        <v>765</v>
      </c>
      <c r="O309" s="1174" t="s">
        <v>764</v>
      </c>
      <c r="P309" s="1207" t="s">
        <v>678</v>
      </c>
      <c r="Q309" s="1163"/>
      <c r="R309" s="1357">
        <v>30429000</v>
      </c>
      <c r="S309" s="1357">
        <v>30429000</v>
      </c>
      <c r="T309" s="1357">
        <f>+Tabla16[[#This Row],[CDPS A 31 JULIO 2022]]-Tabla16[[#This Row],[CDP]]</f>
        <v>0</v>
      </c>
      <c r="U309" s="1357">
        <v>30429000</v>
      </c>
      <c r="V309" s="1357">
        <v>18981900</v>
      </c>
      <c r="W309" s="1357"/>
    </row>
    <row r="310" spans="1:23" s="1207" customFormat="1" ht="45" hidden="1" customHeight="1" x14ac:dyDescent="0.3">
      <c r="A310" s="1355">
        <v>2022316</v>
      </c>
      <c r="B310" s="1172">
        <v>7658</v>
      </c>
      <c r="C310" s="1356" t="s">
        <v>679</v>
      </c>
      <c r="D310" s="1190" t="s">
        <v>695</v>
      </c>
      <c r="E310" s="1174">
        <v>80111600</v>
      </c>
      <c r="F310" s="1379" t="s">
        <v>1003</v>
      </c>
      <c r="G310" s="1380">
        <v>44562</v>
      </c>
      <c r="H310" s="1380">
        <v>44592</v>
      </c>
      <c r="I310" s="1176">
        <v>11</v>
      </c>
      <c r="J310" s="1176" t="s">
        <v>673</v>
      </c>
      <c r="K310" s="1177" t="s">
        <v>674</v>
      </c>
      <c r="L310" s="1178" t="s">
        <v>675</v>
      </c>
      <c r="M310" s="1179">
        <v>59202000</v>
      </c>
      <c r="N310" s="1376" t="s">
        <v>765</v>
      </c>
      <c r="O310" s="1174" t="s">
        <v>764</v>
      </c>
      <c r="P310" s="1207" t="s">
        <v>678</v>
      </c>
      <c r="Q310" s="1163"/>
      <c r="R310" s="1357">
        <v>59202000</v>
      </c>
      <c r="S310" s="1357">
        <v>59202000</v>
      </c>
      <c r="T310" s="1357">
        <f>+Tabla16[[#This Row],[CDPS A 31 JULIO 2022]]-Tabla16[[#This Row],[CDP]]</f>
        <v>0</v>
      </c>
      <c r="U310" s="1357">
        <v>59202000</v>
      </c>
      <c r="V310" s="1357">
        <v>21528000</v>
      </c>
      <c r="W310" s="1357"/>
    </row>
    <row r="311" spans="1:23" s="1207" customFormat="1" ht="45" hidden="1" customHeight="1" x14ac:dyDescent="0.3">
      <c r="A311" s="1355">
        <v>2022317</v>
      </c>
      <c r="B311" s="1172">
        <v>7658</v>
      </c>
      <c r="C311" s="1356" t="s">
        <v>679</v>
      </c>
      <c r="D311" s="1190" t="s">
        <v>695</v>
      </c>
      <c r="E311" s="1174">
        <v>80111600</v>
      </c>
      <c r="F311" s="1379" t="s">
        <v>1004</v>
      </c>
      <c r="G311" s="1380">
        <v>44562</v>
      </c>
      <c r="H311" s="1380">
        <v>44592</v>
      </c>
      <c r="I311" s="1176">
        <v>11</v>
      </c>
      <c r="J311" s="1176" t="s">
        <v>673</v>
      </c>
      <c r="K311" s="1177" t="s">
        <v>674</v>
      </c>
      <c r="L311" s="1178" t="s">
        <v>675</v>
      </c>
      <c r="M311" s="1179">
        <f>31880000-3985000</f>
        <v>27895000</v>
      </c>
      <c r="N311" s="1376" t="s">
        <v>765</v>
      </c>
      <c r="O311" s="1174" t="s">
        <v>764</v>
      </c>
      <c r="P311" s="1207" t="s">
        <v>678</v>
      </c>
      <c r="Q311" s="1163"/>
      <c r="R311" s="1357">
        <v>27895000</v>
      </c>
      <c r="S311" s="1357">
        <v>27895000</v>
      </c>
      <c r="T311" s="1357">
        <f>+Tabla16[[#This Row],[CDPS A 31 JULIO 2022]]-Tabla16[[#This Row],[CDP]]</f>
        <v>0</v>
      </c>
      <c r="U311" s="1357">
        <v>27895000</v>
      </c>
      <c r="V311" s="1357"/>
      <c r="W311" s="1357"/>
    </row>
    <row r="312" spans="1:23" s="1207" customFormat="1" ht="45" hidden="1" customHeight="1" x14ac:dyDescent="0.3">
      <c r="A312" s="1355">
        <v>2022318</v>
      </c>
      <c r="B312" s="1172">
        <v>7658</v>
      </c>
      <c r="C312" s="1356" t="s">
        <v>679</v>
      </c>
      <c r="D312" s="1190" t="s">
        <v>695</v>
      </c>
      <c r="E312" s="1174">
        <v>80111600</v>
      </c>
      <c r="F312" s="1379" t="s">
        <v>1005</v>
      </c>
      <c r="G312" s="1380">
        <v>44562</v>
      </c>
      <c r="H312" s="1380">
        <v>44592</v>
      </c>
      <c r="I312" s="1176">
        <v>11</v>
      </c>
      <c r="J312" s="1176" t="s">
        <v>673</v>
      </c>
      <c r="K312" s="1177" t="s">
        <v>674</v>
      </c>
      <c r="L312" s="1178" t="s">
        <v>675</v>
      </c>
      <c r="M312" s="1179">
        <v>16146000</v>
      </c>
      <c r="N312" s="1376" t="s">
        <v>765</v>
      </c>
      <c r="O312" s="1174" t="s">
        <v>764</v>
      </c>
      <c r="P312" s="1207" t="s">
        <v>678</v>
      </c>
      <c r="Q312" s="1163"/>
      <c r="R312" s="1357">
        <v>16146000</v>
      </c>
      <c r="S312" s="1357">
        <v>16146000</v>
      </c>
      <c r="T312" s="1357">
        <f>+Tabla16[[#This Row],[CDPS A 31 JULIO 2022]]-Tabla16[[#This Row],[CDP]]</f>
        <v>0</v>
      </c>
      <c r="U312" s="1357">
        <v>16146000</v>
      </c>
      <c r="V312" s="1357">
        <v>11391900</v>
      </c>
      <c r="W312" s="1357"/>
    </row>
    <row r="313" spans="1:23" s="1207" customFormat="1" ht="45" hidden="1" customHeight="1" x14ac:dyDescent="0.3">
      <c r="A313" s="1355">
        <v>2022319</v>
      </c>
      <c r="B313" s="1172">
        <v>7658</v>
      </c>
      <c r="C313" s="1356" t="s">
        <v>679</v>
      </c>
      <c r="D313" s="1190" t="s">
        <v>695</v>
      </c>
      <c r="E313" s="1174">
        <v>80111600</v>
      </c>
      <c r="F313" s="1379" t="s">
        <v>1006</v>
      </c>
      <c r="G313" s="1380">
        <v>44562</v>
      </c>
      <c r="H313" s="1380">
        <v>44592</v>
      </c>
      <c r="I313" s="1176">
        <v>11</v>
      </c>
      <c r="J313" s="1176" t="s">
        <v>673</v>
      </c>
      <c r="K313" s="1177" t="s">
        <v>674</v>
      </c>
      <c r="L313" s="1178" t="s">
        <v>675</v>
      </c>
      <c r="M313" s="1179">
        <f>80300000-16146000-21528000-4422667</f>
        <v>38203333</v>
      </c>
      <c r="N313" s="1376" t="s">
        <v>765</v>
      </c>
      <c r="O313" s="1174" t="s">
        <v>764</v>
      </c>
      <c r="P313" s="1207" t="s">
        <v>678</v>
      </c>
      <c r="Q313" s="1163"/>
      <c r="R313" s="1357">
        <v>80300000</v>
      </c>
      <c r="S313" s="1357">
        <v>80300000</v>
      </c>
      <c r="T313" s="1357">
        <f>+Tabla16[[#This Row],[CDPS A 31 JULIO 2022]]-Tabla16[[#This Row],[CDP]]</f>
        <v>0</v>
      </c>
      <c r="U313" s="1357">
        <v>80300000</v>
      </c>
      <c r="V313" s="1357">
        <v>30903333</v>
      </c>
      <c r="W313" s="1357"/>
    </row>
    <row r="314" spans="1:23" s="1207" customFormat="1" ht="45" hidden="1" customHeight="1" x14ac:dyDescent="0.3">
      <c r="A314" s="1355">
        <v>2022320</v>
      </c>
      <c r="B314" s="1172">
        <v>7658</v>
      </c>
      <c r="C314" s="1356" t="s">
        <v>679</v>
      </c>
      <c r="D314" s="1190" t="s">
        <v>695</v>
      </c>
      <c r="E314" s="1174">
        <v>80111600</v>
      </c>
      <c r="F314" s="1379" t="s">
        <v>1007</v>
      </c>
      <c r="G314" s="1380">
        <v>44562</v>
      </c>
      <c r="H314" s="1380">
        <v>44592</v>
      </c>
      <c r="I314" s="1176">
        <v>11</v>
      </c>
      <c r="J314" s="1176" t="s">
        <v>673</v>
      </c>
      <c r="K314" s="1177" t="s">
        <v>674</v>
      </c>
      <c r="L314" s="1178" t="s">
        <v>675</v>
      </c>
      <c r="M314" s="1179">
        <f>56925000-20700000</f>
        <v>36225000</v>
      </c>
      <c r="N314" s="1376" t="s">
        <v>765</v>
      </c>
      <c r="O314" s="1174" t="s">
        <v>764</v>
      </c>
      <c r="P314" s="1207" t="s">
        <v>678</v>
      </c>
      <c r="Q314" s="1163"/>
      <c r="R314" s="1357">
        <v>36225000</v>
      </c>
      <c r="S314" s="1357">
        <v>36225000</v>
      </c>
      <c r="T314" s="1357">
        <f>+Tabla16[[#This Row],[CDPS A 31 JULIO 2022]]-Tabla16[[#This Row],[CDP]]</f>
        <v>0</v>
      </c>
      <c r="U314" s="1357">
        <v>36225000</v>
      </c>
      <c r="V314" s="1357">
        <v>22942500</v>
      </c>
      <c r="W314" s="1357"/>
    </row>
    <row r="315" spans="1:23" s="1207" customFormat="1" ht="45" hidden="1" customHeight="1" x14ac:dyDescent="0.3">
      <c r="A315" s="1355">
        <v>2022321</v>
      </c>
      <c r="B315" s="1172">
        <v>7658</v>
      </c>
      <c r="C315" s="1356" t="s">
        <v>679</v>
      </c>
      <c r="D315" s="1190" t="s">
        <v>695</v>
      </c>
      <c r="E315" s="1174">
        <v>80111600</v>
      </c>
      <c r="F315" s="1379" t="s">
        <v>1008</v>
      </c>
      <c r="G315" s="1380">
        <v>44562</v>
      </c>
      <c r="H315" s="1380">
        <v>44592</v>
      </c>
      <c r="I315" s="1176">
        <v>10</v>
      </c>
      <c r="J315" s="1176" t="s">
        <v>673</v>
      </c>
      <c r="K315" s="1177" t="s">
        <v>674</v>
      </c>
      <c r="L315" s="1178" t="s">
        <v>675</v>
      </c>
      <c r="M315" s="1179">
        <f>23100000-11550000</f>
        <v>11550000</v>
      </c>
      <c r="N315" s="1376" t="s">
        <v>765</v>
      </c>
      <c r="O315" s="1174" t="s">
        <v>764</v>
      </c>
      <c r="P315" s="1207" t="s">
        <v>678</v>
      </c>
      <c r="Q315" s="1163"/>
      <c r="R315" s="1357">
        <v>11550000</v>
      </c>
      <c r="S315" s="1357">
        <v>11550000</v>
      </c>
      <c r="T315" s="1357">
        <f>+Tabla16[[#This Row],[CDPS A 31 JULIO 2022]]-Tabla16[[#This Row],[CDP]]</f>
        <v>0</v>
      </c>
      <c r="U315" s="1357">
        <v>11550000</v>
      </c>
      <c r="V315" s="1357">
        <v>10780000</v>
      </c>
      <c r="W315" s="1357"/>
    </row>
    <row r="316" spans="1:23" s="1207" customFormat="1" ht="45" hidden="1" customHeight="1" x14ac:dyDescent="0.3">
      <c r="A316" s="1355">
        <v>2022322</v>
      </c>
      <c r="B316" s="1172">
        <v>7658</v>
      </c>
      <c r="C316" s="1356" t="s">
        <v>679</v>
      </c>
      <c r="D316" s="1190" t="s">
        <v>695</v>
      </c>
      <c r="E316" s="1174">
        <v>80111600</v>
      </c>
      <c r="F316" s="1379" t="s">
        <v>1009</v>
      </c>
      <c r="G316" s="1380">
        <v>44562</v>
      </c>
      <c r="H316" s="1380">
        <v>44592</v>
      </c>
      <c r="I316" s="1176">
        <v>4</v>
      </c>
      <c r="J316" s="1176" t="s">
        <v>673</v>
      </c>
      <c r="K316" s="1177" t="s">
        <v>674</v>
      </c>
      <c r="L316" s="1178" t="s">
        <v>675</v>
      </c>
      <c r="M316" s="1179">
        <v>26950000</v>
      </c>
      <c r="N316" s="1376" t="s">
        <v>765</v>
      </c>
      <c r="O316" s="1174" t="s">
        <v>764</v>
      </c>
      <c r="P316" s="1207" t="s">
        <v>678</v>
      </c>
      <c r="Q316" s="1163"/>
      <c r="R316" s="1357">
        <v>26950000</v>
      </c>
      <c r="S316" s="1357">
        <v>26950000</v>
      </c>
      <c r="T316" s="1357">
        <f>+Tabla16[[#This Row],[CDPS A 31 JULIO 2022]]-Tabla16[[#This Row],[CDP]]</f>
        <v>0</v>
      </c>
      <c r="U316" s="1357">
        <v>26950000</v>
      </c>
      <c r="V316" s="1357">
        <v>15400000</v>
      </c>
      <c r="W316" s="1357"/>
    </row>
    <row r="317" spans="1:23" s="1207" customFormat="1" ht="45" hidden="1" customHeight="1" x14ac:dyDescent="0.3">
      <c r="A317" s="1355">
        <v>2022323</v>
      </c>
      <c r="B317" s="1172">
        <v>7658</v>
      </c>
      <c r="C317" s="1356" t="s">
        <v>679</v>
      </c>
      <c r="D317" s="1190" t="s">
        <v>695</v>
      </c>
      <c r="E317" s="1174">
        <v>80111600</v>
      </c>
      <c r="F317" s="1379" t="s">
        <v>1010</v>
      </c>
      <c r="G317" s="1380">
        <v>44562</v>
      </c>
      <c r="H317" s="1380">
        <v>44592</v>
      </c>
      <c r="I317" s="1176">
        <v>11</v>
      </c>
      <c r="J317" s="1176" t="s">
        <v>673</v>
      </c>
      <c r="K317" s="1177" t="s">
        <v>674</v>
      </c>
      <c r="L317" s="1178" t="s">
        <v>675</v>
      </c>
      <c r="M317" s="1179">
        <f>47817000-13041000</f>
        <v>34776000</v>
      </c>
      <c r="N317" s="1376" t="s">
        <v>765</v>
      </c>
      <c r="O317" s="1174" t="s">
        <v>764</v>
      </c>
      <c r="P317" s="1207" t="s">
        <v>678</v>
      </c>
      <c r="Q317" s="1163"/>
      <c r="R317" s="1357">
        <v>34776000</v>
      </c>
      <c r="S317" s="1357">
        <v>34776000</v>
      </c>
      <c r="T317" s="1357">
        <f>+Tabla16[[#This Row],[CDPS A 31 JULIO 2022]]-Tabla16[[#This Row],[CDP]]</f>
        <v>0</v>
      </c>
      <c r="U317" s="1357">
        <v>34776000</v>
      </c>
      <c r="V317" s="1357">
        <v>18402300</v>
      </c>
      <c r="W317" s="1357"/>
    </row>
    <row r="318" spans="1:23" s="1207" customFormat="1" ht="45" customHeight="1" x14ac:dyDescent="0.3">
      <c r="A318" s="1398">
        <v>2022324</v>
      </c>
      <c r="B318" s="1399">
        <v>7658</v>
      </c>
      <c r="C318" s="1400" t="s">
        <v>679</v>
      </c>
      <c r="D318" s="1401" t="s">
        <v>695</v>
      </c>
      <c r="E318" s="1402" t="s">
        <v>1011</v>
      </c>
      <c r="F318" s="1403" t="s">
        <v>1012</v>
      </c>
      <c r="G318" s="1404">
        <v>44711</v>
      </c>
      <c r="H318" s="1404">
        <v>44728</v>
      </c>
      <c r="I318" s="1405">
        <v>6</v>
      </c>
      <c r="J318" s="1405" t="s">
        <v>645</v>
      </c>
      <c r="K318" s="1406" t="s">
        <v>770</v>
      </c>
      <c r="L318" s="1407" t="s">
        <v>981</v>
      </c>
      <c r="M318" s="1408">
        <f>200000000+65961254</f>
        <v>265961254</v>
      </c>
      <c r="N318" s="1409" t="s">
        <v>765</v>
      </c>
      <c r="O318" s="1402" t="s">
        <v>764</v>
      </c>
      <c r="P318" s="1410" t="s">
        <v>678</v>
      </c>
      <c r="Q318" s="1163"/>
      <c r="R318" s="1357">
        <v>265961254</v>
      </c>
      <c r="S318" s="1357">
        <v>265961254</v>
      </c>
      <c r="T318" s="1357">
        <f>+Tabla16[[#This Row],[CDPS A 31 JULIO 2022]]-Tabla16[[#This Row],[CDP]]</f>
        <v>0</v>
      </c>
      <c r="U318" s="1357"/>
      <c r="V318" s="1357"/>
      <c r="W318" s="1357"/>
    </row>
    <row r="319" spans="1:23" s="1207" customFormat="1" ht="45.75" hidden="1" customHeight="1" x14ac:dyDescent="0.3">
      <c r="A319" s="1355">
        <v>2022325</v>
      </c>
      <c r="B319" s="1172">
        <v>7658</v>
      </c>
      <c r="C319" s="1356" t="s">
        <v>679</v>
      </c>
      <c r="D319" s="1190" t="s">
        <v>695</v>
      </c>
      <c r="E319" s="1174" t="s">
        <v>1013</v>
      </c>
      <c r="F319" s="1379" t="s">
        <v>1014</v>
      </c>
      <c r="G319" s="1380">
        <v>44682</v>
      </c>
      <c r="H319" s="1380">
        <v>44712</v>
      </c>
      <c r="I319" s="1176">
        <v>6</v>
      </c>
      <c r="J319" s="1176" t="s">
        <v>645</v>
      </c>
      <c r="K319" s="1177" t="s">
        <v>674</v>
      </c>
      <c r="L319" s="1178" t="s">
        <v>675</v>
      </c>
      <c r="M319" s="1179">
        <v>770904000</v>
      </c>
      <c r="N319" s="1376" t="s">
        <v>765</v>
      </c>
      <c r="O319" s="1174" t="s">
        <v>764</v>
      </c>
      <c r="P319" s="1207" t="s">
        <v>678</v>
      </c>
      <c r="Q319" s="1163"/>
      <c r="R319" s="1357">
        <v>770904000</v>
      </c>
      <c r="S319" s="1357">
        <v>770904000</v>
      </c>
      <c r="T319" s="1357">
        <f>+Tabla16[[#This Row],[CDPS A 31 JULIO 2022]]-Tabla16[[#This Row],[CDP]]</f>
        <v>0</v>
      </c>
      <c r="U319" s="1357"/>
      <c r="V319" s="1357"/>
      <c r="W319" s="1357"/>
    </row>
    <row r="320" spans="1:23" s="1207" customFormat="1" ht="45" hidden="1" customHeight="1" x14ac:dyDescent="0.3">
      <c r="A320" s="1355">
        <v>2022326</v>
      </c>
      <c r="B320" s="1172">
        <v>7658</v>
      </c>
      <c r="C320" s="1356" t="s">
        <v>679</v>
      </c>
      <c r="D320" s="1190" t="s">
        <v>695</v>
      </c>
      <c r="E320" s="1174" t="s">
        <v>1015</v>
      </c>
      <c r="F320" s="1379" t="s">
        <v>1016</v>
      </c>
      <c r="G320" s="1380">
        <v>44711</v>
      </c>
      <c r="H320" s="1380">
        <v>44728</v>
      </c>
      <c r="I320" s="1176">
        <v>6</v>
      </c>
      <c r="J320" s="1176" t="s">
        <v>645</v>
      </c>
      <c r="K320" s="1177" t="s">
        <v>770</v>
      </c>
      <c r="L320" s="1178" t="s">
        <v>981</v>
      </c>
      <c r="M320" s="1179">
        <f>1100000000-65961254</f>
        <v>1034038746</v>
      </c>
      <c r="N320" s="1376" t="s">
        <v>765</v>
      </c>
      <c r="O320" s="1174" t="s">
        <v>764</v>
      </c>
      <c r="P320" s="1207" t="s">
        <v>678</v>
      </c>
      <c r="Q320" s="1163"/>
      <c r="R320" s="1357">
        <v>1034038746</v>
      </c>
      <c r="S320" s="1357">
        <v>1034038746</v>
      </c>
      <c r="T320" s="1357">
        <f>+Tabla16[[#This Row],[CDPS A 31 JULIO 2022]]-Tabla16[[#This Row],[CDP]]</f>
        <v>0</v>
      </c>
      <c r="U320" s="1357"/>
      <c r="V320" s="1357"/>
      <c r="W320" s="1357"/>
    </row>
    <row r="321" spans="1:23" s="1207" customFormat="1" ht="45" hidden="1" customHeight="1" x14ac:dyDescent="0.3">
      <c r="A321" s="1355">
        <v>2022327</v>
      </c>
      <c r="B321" s="1172">
        <v>7658</v>
      </c>
      <c r="C321" s="1356" t="s">
        <v>679</v>
      </c>
      <c r="D321" s="1190" t="s">
        <v>695</v>
      </c>
      <c r="E321" s="1174">
        <v>90121800</v>
      </c>
      <c r="F321" s="1379" t="s">
        <v>1017</v>
      </c>
      <c r="G321" s="1380">
        <v>44562</v>
      </c>
      <c r="H321" s="1380">
        <v>44592</v>
      </c>
      <c r="I321" s="1176">
        <v>12</v>
      </c>
      <c r="J321" s="1176" t="s">
        <v>97</v>
      </c>
      <c r="K321" s="1177" t="s">
        <v>674</v>
      </c>
      <c r="L321" s="1178" t="s">
        <v>675</v>
      </c>
      <c r="M321" s="1179">
        <f>40000000+10000000+10000000+54800000+15000000+75000000</f>
        <v>204800000</v>
      </c>
      <c r="N321" s="1376" t="s">
        <v>765</v>
      </c>
      <c r="O321" s="1174" t="s">
        <v>764</v>
      </c>
      <c r="P321" s="1207" t="s">
        <v>678</v>
      </c>
      <c r="Q321" s="1163"/>
      <c r="R321" s="1357">
        <v>190731814</v>
      </c>
      <c r="S321" s="1357">
        <v>40731814</v>
      </c>
      <c r="T321" s="1357">
        <f>+Tabla16[[#This Row],[CDPS A 31 JULIO 2022]]-Tabla16[[#This Row],[CDP]]</f>
        <v>150000000</v>
      </c>
      <c r="U321" s="1357">
        <v>27119209</v>
      </c>
      <c r="V321" s="1357">
        <v>27119209</v>
      </c>
      <c r="W321" s="1357"/>
    </row>
    <row r="322" spans="1:23" s="1207" customFormat="1" ht="45" hidden="1" customHeight="1" x14ac:dyDescent="0.3">
      <c r="A322" s="1355">
        <v>2022328</v>
      </c>
      <c r="B322" s="1172">
        <v>7658</v>
      </c>
      <c r="C322" s="1356" t="s">
        <v>679</v>
      </c>
      <c r="D322" s="1190" t="s">
        <v>695</v>
      </c>
      <c r="E322" s="1174">
        <v>90121800</v>
      </c>
      <c r="F322" s="1379" t="s">
        <v>1018</v>
      </c>
      <c r="G322" s="1380">
        <v>44562</v>
      </c>
      <c r="H322" s="1380">
        <v>44592</v>
      </c>
      <c r="I322" s="1176">
        <v>12</v>
      </c>
      <c r="J322" s="1176" t="s">
        <v>97</v>
      </c>
      <c r="K322" s="1177" t="s">
        <v>674</v>
      </c>
      <c r="L322" s="1178" t="s">
        <v>675</v>
      </c>
      <c r="M322" s="1179">
        <v>80000000</v>
      </c>
      <c r="N322" s="1376" t="s">
        <v>765</v>
      </c>
      <c r="O322" s="1174" t="s">
        <v>764</v>
      </c>
      <c r="P322" s="1207" t="s">
        <v>678</v>
      </c>
      <c r="Q322" s="1163"/>
      <c r="R322" s="1357">
        <v>50000000</v>
      </c>
      <c r="S322" s="1357">
        <v>50000000</v>
      </c>
      <c r="T322" s="1357">
        <f>+Tabla16[[#This Row],[CDPS A 31 JULIO 2022]]-Tabla16[[#This Row],[CDP]]</f>
        <v>0</v>
      </c>
      <c r="U322" s="1357"/>
      <c r="V322" s="1357"/>
      <c r="W322" s="1357"/>
    </row>
    <row r="323" spans="1:23" s="1207" customFormat="1" ht="45" customHeight="1" x14ac:dyDescent="0.3">
      <c r="A323" s="1398">
        <v>2022329</v>
      </c>
      <c r="B323" s="1399">
        <v>7658</v>
      </c>
      <c r="C323" s="1400" t="s">
        <v>679</v>
      </c>
      <c r="D323" s="1401" t="s">
        <v>695</v>
      </c>
      <c r="E323" s="1402">
        <v>80111600</v>
      </c>
      <c r="F323" s="1403" t="s">
        <v>1019</v>
      </c>
      <c r="G323" s="1404">
        <v>44798</v>
      </c>
      <c r="H323" s="1404">
        <v>44805</v>
      </c>
      <c r="I323" s="1405">
        <v>3</v>
      </c>
      <c r="J323" s="1405" t="s">
        <v>673</v>
      </c>
      <c r="K323" s="1406" t="s">
        <v>674</v>
      </c>
      <c r="L323" s="1407" t="s">
        <v>675</v>
      </c>
      <c r="M323" s="1408">
        <f>39357000-21000000-7700000-1806000+3912300+7441000+15087800+4422667+434700+19200000-7350000-15939000-16500000</f>
        <v>19560467</v>
      </c>
      <c r="N323" s="1409" t="s">
        <v>765</v>
      </c>
      <c r="O323" s="1402" t="s">
        <v>764</v>
      </c>
      <c r="P323" s="1410" t="s">
        <v>678</v>
      </c>
      <c r="Q323" s="1163"/>
      <c r="R323" s="1269">
        <v>0</v>
      </c>
      <c r="S323" s="1357"/>
      <c r="T323" s="1357">
        <f>+Tabla16[[#This Row],[CDPS A 31 JULIO 2022]]-Tabla16[[#This Row],[CDP]]</f>
        <v>0</v>
      </c>
      <c r="U323" s="1357"/>
      <c r="V323" s="1357"/>
      <c r="W323" s="1357"/>
    </row>
    <row r="324" spans="1:23" s="1207" customFormat="1" ht="45" hidden="1" customHeight="1" x14ac:dyDescent="0.3">
      <c r="A324" s="1355">
        <v>2022330</v>
      </c>
      <c r="B324" s="1172">
        <v>7658</v>
      </c>
      <c r="C324" s="1356" t="s">
        <v>679</v>
      </c>
      <c r="D324" s="1190" t="s">
        <v>701</v>
      </c>
      <c r="E324" s="1174" t="s">
        <v>1020</v>
      </c>
      <c r="F324" s="1379" t="s">
        <v>1021</v>
      </c>
      <c r="G324" s="1380">
        <v>44666</v>
      </c>
      <c r="H324" s="1380">
        <v>44727</v>
      </c>
      <c r="I324" s="1176">
        <v>12</v>
      </c>
      <c r="J324" s="1176" t="s">
        <v>645</v>
      </c>
      <c r="K324" s="1177" t="s">
        <v>770</v>
      </c>
      <c r="L324" s="1178" t="s">
        <v>981</v>
      </c>
      <c r="M324" s="1179">
        <f>5600000000+1078000000</f>
        <v>6678000000</v>
      </c>
      <c r="N324" s="1376" t="s">
        <v>776</v>
      </c>
      <c r="O324" s="1174" t="s">
        <v>771</v>
      </c>
      <c r="P324" s="1207" t="s">
        <v>678</v>
      </c>
      <c r="Q324" s="1163"/>
      <c r="R324" s="1357">
        <v>6678000000</v>
      </c>
      <c r="S324" s="1357">
        <v>6678000000</v>
      </c>
      <c r="T324" s="1357">
        <f>+Tabla16[[#This Row],[CDPS A 31 JULIO 2022]]-Tabla16[[#This Row],[CDP]]</f>
        <v>0</v>
      </c>
      <c r="U324" s="1357"/>
      <c r="V324" s="1357"/>
      <c r="W324" s="1357"/>
    </row>
    <row r="325" spans="1:23" s="1207" customFormat="1" ht="45" hidden="1" customHeight="1" x14ac:dyDescent="0.3">
      <c r="A325" s="1355">
        <v>2022331</v>
      </c>
      <c r="B325" s="1172">
        <v>7658</v>
      </c>
      <c r="C325" s="1356" t="s">
        <v>679</v>
      </c>
      <c r="D325" s="1190" t="s">
        <v>701</v>
      </c>
      <c r="E325" s="1174" t="s">
        <v>1022</v>
      </c>
      <c r="F325" s="1379" t="s">
        <v>1023</v>
      </c>
      <c r="G325" s="1380">
        <v>44635</v>
      </c>
      <c r="H325" s="1380">
        <v>44696</v>
      </c>
      <c r="I325" s="1176">
        <v>6</v>
      </c>
      <c r="J325" s="1176" t="s">
        <v>645</v>
      </c>
      <c r="K325" s="1177" t="s">
        <v>770</v>
      </c>
      <c r="L325" s="1178" t="s">
        <v>981</v>
      </c>
      <c r="M325" s="1179">
        <v>1325000000</v>
      </c>
      <c r="N325" s="1376" t="s">
        <v>1024</v>
      </c>
      <c r="O325" s="1174" t="s">
        <v>771</v>
      </c>
      <c r="P325" s="1207" t="s">
        <v>678</v>
      </c>
      <c r="Q325" s="1163" t="s">
        <v>954</v>
      </c>
      <c r="R325" s="1357">
        <v>1325000000</v>
      </c>
      <c r="S325" s="1357">
        <v>1325000000</v>
      </c>
      <c r="T325" s="1357">
        <f>+Tabla16[[#This Row],[CDPS A 31 JULIO 2022]]-Tabla16[[#This Row],[CDP]]</f>
        <v>0</v>
      </c>
      <c r="U325" s="1357"/>
      <c r="V325" s="1357"/>
      <c r="W325" s="1357"/>
    </row>
    <row r="326" spans="1:23" s="1207" customFormat="1" ht="45" hidden="1" customHeight="1" x14ac:dyDescent="0.3">
      <c r="A326" s="1355">
        <v>2022332</v>
      </c>
      <c r="B326" s="1172">
        <v>7658</v>
      </c>
      <c r="C326" s="1356" t="s">
        <v>679</v>
      </c>
      <c r="D326" s="1190" t="s">
        <v>701</v>
      </c>
      <c r="E326" s="1174" t="s">
        <v>1022</v>
      </c>
      <c r="F326" s="1379" t="s">
        <v>1023</v>
      </c>
      <c r="G326" s="1380">
        <v>44635</v>
      </c>
      <c r="H326" s="1380">
        <v>44696</v>
      </c>
      <c r="I326" s="1176">
        <v>6</v>
      </c>
      <c r="J326" s="1176" t="s">
        <v>645</v>
      </c>
      <c r="K326" s="1177" t="s">
        <v>674</v>
      </c>
      <c r="L326" s="1178" t="s">
        <v>981</v>
      </c>
      <c r="M326" s="1179">
        <f>548720000-252916670-117537030</f>
        <v>178266300</v>
      </c>
      <c r="N326" s="1376" t="s">
        <v>1024</v>
      </c>
      <c r="O326" s="1174" t="s">
        <v>771</v>
      </c>
      <c r="P326" s="1207" t="s">
        <v>678</v>
      </c>
      <c r="Q326" s="1163"/>
      <c r="R326" s="1357">
        <v>295803330</v>
      </c>
      <c r="S326" s="1357">
        <v>295803330</v>
      </c>
      <c r="T326" s="1357">
        <f>+Tabla16[[#This Row],[CDPS A 31 JULIO 2022]]-Tabla16[[#This Row],[CDP]]</f>
        <v>0</v>
      </c>
      <c r="U326" s="1357"/>
      <c r="V326" s="1357"/>
      <c r="W326" s="1357"/>
    </row>
    <row r="327" spans="1:23" s="1207" customFormat="1" ht="110.25" hidden="1" customHeight="1" x14ac:dyDescent="0.3">
      <c r="A327" s="1355">
        <v>2022334</v>
      </c>
      <c r="B327" s="1172">
        <v>7658</v>
      </c>
      <c r="C327" s="1356" t="s">
        <v>679</v>
      </c>
      <c r="D327" s="1190" t="s">
        <v>701</v>
      </c>
      <c r="E327" s="1174" t="s">
        <v>1025</v>
      </c>
      <c r="F327" s="1379" t="s">
        <v>1026</v>
      </c>
      <c r="G327" s="1380">
        <v>44666</v>
      </c>
      <c r="H327" s="1380">
        <v>44727</v>
      </c>
      <c r="I327" s="1176">
        <v>6</v>
      </c>
      <c r="J327" s="1176" t="s">
        <v>645</v>
      </c>
      <c r="K327" s="1177" t="s">
        <v>674</v>
      </c>
      <c r="L327" s="1178" t="s">
        <v>981</v>
      </c>
      <c r="M327" s="1179">
        <f>204051000-54800000+117537030</f>
        <v>266788030</v>
      </c>
      <c r="N327" s="1376" t="s">
        <v>1024</v>
      </c>
      <c r="O327" s="1174" t="s">
        <v>771</v>
      </c>
      <c r="P327" s="1207" t="s">
        <v>678</v>
      </c>
      <c r="Q327" s="1163"/>
      <c r="R327" s="1357">
        <v>143163926</v>
      </c>
      <c r="S327" s="1357">
        <v>143163926</v>
      </c>
      <c r="T327" s="1357">
        <f>+Tabla16[[#This Row],[CDPS A 31 JULIO 2022]]-Tabla16[[#This Row],[CDP]]</f>
        <v>0</v>
      </c>
      <c r="U327" s="1357"/>
      <c r="V327" s="1357"/>
      <c r="W327" s="1357"/>
    </row>
    <row r="328" spans="1:23" s="1207" customFormat="1" ht="45" hidden="1" customHeight="1" x14ac:dyDescent="0.3">
      <c r="A328" s="1355">
        <v>2022336</v>
      </c>
      <c r="B328" s="1172">
        <v>7658</v>
      </c>
      <c r="C328" s="1356" t="s">
        <v>679</v>
      </c>
      <c r="D328" s="1190" t="s">
        <v>701</v>
      </c>
      <c r="E328" s="1174" t="s">
        <v>1027</v>
      </c>
      <c r="F328" s="1379" t="s">
        <v>1028</v>
      </c>
      <c r="G328" s="1380">
        <v>44682</v>
      </c>
      <c r="H328" s="1380">
        <v>44742</v>
      </c>
      <c r="I328" s="1176">
        <v>3</v>
      </c>
      <c r="J328" s="1176" t="s">
        <v>687</v>
      </c>
      <c r="K328" s="1177" t="s">
        <v>674</v>
      </c>
      <c r="L328" s="1178" t="s">
        <v>981</v>
      </c>
      <c r="M328" s="1179">
        <f>125000000-95000000</f>
        <v>30000000</v>
      </c>
      <c r="N328" s="1376" t="s">
        <v>1024</v>
      </c>
      <c r="O328" s="1174" t="s">
        <v>771</v>
      </c>
      <c r="P328" s="1207" t="s">
        <v>678</v>
      </c>
      <c r="Q328" s="1163"/>
      <c r="R328" s="1269">
        <v>0</v>
      </c>
      <c r="S328" s="1357"/>
      <c r="T328" s="1357">
        <f>+Tabla16[[#This Row],[CDPS A 31 JULIO 2022]]-Tabla16[[#This Row],[CDP]]</f>
        <v>0</v>
      </c>
      <c r="U328" s="1357"/>
      <c r="V328" s="1357"/>
      <c r="W328" s="1357"/>
    </row>
    <row r="329" spans="1:23" s="1207" customFormat="1" ht="45" hidden="1" customHeight="1" x14ac:dyDescent="0.3">
      <c r="A329" s="1355">
        <v>2022337</v>
      </c>
      <c r="B329" s="1172">
        <v>7658</v>
      </c>
      <c r="C329" s="1356" t="s">
        <v>679</v>
      </c>
      <c r="D329" s="1190" t="s">
        <v>701</v>
      </c>
      <c r="E329" s="1174">
        <v>80111600</v>
      </c>
      <c r="F329" s="1379" t="s">
        <v>1029</v>
      </c>
      <c r="G329" s="1380">
        <v>44562</v>
      </c>
      <c r="H329" s="1380">
        <v>44592</v>
      </c>
      <c r="I329" s="1176">
        <v>12</v>
      </c>
      <c r="J329" s="1176" t="s">
        <v>673</v>
      </c>
      <c r="K329" s="1177" t="s">
        <v>674</v>
      </c>
      <c r="L329" s="1178" t="s">
        <v>675</v>
      </c>
      <c r="M329" s="1179">
        <v>25980000</v>
      </c>
      <c r="N329" s="1376" t="s">
        <v>1024</v>
      </c>
      <c r="O329" s="1174" t="s">
        <v>771</v>
      </c>
      <c r="P329" s="1207" t="s">
        <v>678</v>
      </c>
      <c r="Q329" s="1163"/>
      <c r="R329" s="1357">
        <v>25200000</v>
      </c>
      <c r="S329" s="1357">
        <v>25200000</v>
      </c>
      <c r="T329" s="1357">
        <f>+Tabla16[[#This Row],[CDPS A 31 JULIO 2022]]-Tabla16[[#This Row],[CDP]]</f>
        <v>0</v>
      </c>
      <c r="U329" s="1357">
        <v>25200000</v>
      </c>
      <c r="V329" s="1357">
        <v>8400000</v>
      </c>
      <c r="W329" s="1357"/>
    </row>
    <row r="330" spans="1:23" s="1207" customFormat="1" ht="45" hidden="1" customHeight="1" x14ac:dyDescent="0.3">
      <c r="A330" s="1355">
        <v>2022338</v>
      </c>
      <c r="B330" s="1172">
        <v>7658</v>
      </c>
      <c r="C330" s="1356" t="s">
        <v>679</v>
      </c>
      <c r="D330" s="1190" t="s">
        <v>701</v>
      </c>
      <c r="E330" s="1174">
        <v>80111600</v>
      </c>
      <c r="F330" s="1379" t="s">
        <v>1029</v>
      </c>
      <c r="G330" s="1380">
        <v>44562</v>
      </c>
      <c r="H330" s="1380">
        <v>44592</v>
      </c>
      <c r="I330" s="1176">
        <v>12</v>
      </c>
      <c r="J330" s="1176" t="s">
        <v>673</v>
      </c>
      <c r="K330" s="1177" t="s">
        <v>674</v>
      </c>
      <c r="L330" s="1178" t="s">
        <v>675</v>
      </c>
      <c r="M330" s="1179">
        <v>25980000</v>
      </c>
      <c r="N330" s="1376" t="s">
        <v>1024</v>
      </c>
      <c r="O330" s="1174" t="s">
        <v>771</v>
      </c>
      <c r="P330" s="1207" t="s">
        <v>678</v>
      </c>
      <c r="Q330" s="1163"/>
      <c r="R330" s="1357">
        <v>25200000</v>
      </c>
      <c r="S330" s="1357">
        <v>25200000</v>
      </c>
      <c r="T330" s="1357">
        <f>+Tabla16[[#This Row],[CDPS A 31 JULIO 2022]]-Tabla16[[#This Row],[CDP]]</f>
        <v>0</v>
      </c>
      <c r="U330" s="1357">
        <v>25200000</v>
      </c>
      <c r="V330" s="1357">
        <v>8400000</v>
      </c>
      <c r="W330" s="1357"/>
    </row>
    <row r="331" spans="1:23" s="1207" customFormat="1" ht="45" hidden="1" customHeight="1" x14ac:dyDescent="0.3">
      <c r="A331" s="1355">
        <v>2022339</v>
      </c>
      <c r="B331" s="1172">
        <v>7658</v>
      </c>
      <c r="C331" s="1356" t="s">
        <v>679</v>
      </c>
      <c r="D331" s="1190" t="s">
        <v>701</v>
      </c>
      <c r="E331" s="1174">
        <v>80111600</v>
      </c>
      <c r="F331" s="1379" t="s">
        <v>1029</v>
      </c>
      <c r="G331" s="1380">
        <v>44562</v>
      </c>
      <c r="H331" s="1380">
        <v>44592</v>
      </c>
      <c r="I331" s="1176">
        <v>12</v>
      </c>
      <c r="J331" s="1176" t="s">
        <v>673</v>
      </c>
      <c r="K331" s="1177" t="s">
        <v>674</v>
      </c>
      <c r="L331" s="1178" t="s">
        <v>675</v>
      </c>
      <c r="M331" s="1179">
        <v>25980000</v>
      </c>
      <c r="N331" s="1376" t="s">
        <v>1024</v>
      </c>
      <c r="O331" s="1174" t="s">
        <v>771</v>
      </c>
      <c r="P331" s="1207" t="s">
        <v>678</v>
      </c>
      <c r="Q331" s="1163"/>
      <c r="R331" s="1357">
        <v>25200000</v>
      </c>
      <c r="S331" s="1357">
        <v>25200000</v>
      </c>
      <c r="T331" s="1357">
        <f>+Tabla16[[#This Row],[CDPS A 31 JULIO 2022]]-Tabla16[[#This Row],[CDP]]</f>
        <v>0</v>
      </c>
      <c r="U331" s="1357">
        <v>25200000</v>
      </c>
      <c r="V331" s="1357">
        <v>7980000</v>
      </c>
      <c r="W331" s="1357"/>
    </row>
    <row r="332" spans="1:23" s="1207" customFormat="1" ht="45" hidden="1" customHeight="1" x14ac:dyDescent="0.3">
      <c r="A332" s="1355">
        <v>2022340</v>
      </c>
      <c r="B332" s="1172">
        <v>7658</v>
      </c>
      <c r="C332" s="1356" t="s">
        <v>679</v>
      </c>
      <c r="D332" s="1190" t="s">
        <v>701</v>
      </c>
      <c r="E332" s="1174">
        <v>80111600</v>
      </c>
      <c r="F332" s="1379" t="s">
        <v>1029</v>
      </c>
      <c r="G332" s="1380">
        <v>44562</v>
      </c>
      <c r="H332" s="1380">
        <v>44592</v>
      </c>
      <c r="I332" s="1176">
        <v>12</v>
      </c>
      <c r="J332" s="1176" t="s">
        <v>673</v>
      </c>
      <c r="K332" s="1177" t="s">
        <v>674</v>
      </c>
      <c r="L332" s="1178" t="s">
        <v>675</v>
      </c>
      <c r="M332" s="1179">
        <v>25980000</v>
      </c>
      <c r="N332" s="1376" t="s">
        <v>1024</v>
      </c>
      <c r="O332" s="1174" t="s">
        <v>771</v>
      </c>
      <c r="P332" s="1207" t="s">
        <v>678</v>
      </c>
      <c r="Q332" s="1163"/>
      <c r="R332" s="1357">
        <v>25200000</v>
      </c>
      <c r="S332" s="1357">
        <v>25200000</v>
      </c>
      <c r="T332" s="1357">
        <f>+Tabla16[[#This Row],[CDPS A 31 JULIO 2022]]-Tabla16[[#This Row],[CDP]]</f>
        <v>0</v>
      </c>
      <c r="U332" s="1357">
        <v>25200000</v>
      </c>
      <c r="V332" s="1357">
        <v>7770000</v>
      </c>
      <c r="W332" s="1357"/>
    </row>
    <row r="333" spans="1:23" s="1207" customFormat="1" ht="45" hidden="1" customHeight="1" x14ac:dyDescent="0.3">
      <c r="A333" s="1355">
        <v>2022341</v>
      </c>
      <c r="B333" s="1172">
        <v>7658</v>
      </c>
      <c r="C333" s="1356" t="s">
        <v>679</v>
      </c>
      <c r="D333" s="1190" t="s">
        <v>701</v>
      </c>
      <c r="E333" s="1174">
        <v>80111600</v>
      </c>
      <c r="F333" s="1379" t="s">
        <v>1029</v>
      </c>
      <c r="G333" s="1380">
        <v>44562</v>
      </c>
      <c r="H333" s="1380">
        <v>44592</v>
      </c>
      <c r="I333" s="1176">
        <v>12</v>
      </c>
      <c r="J333" s="1176" t="s">
        <v>673</v>
      </c>
      <c r="K333" s="1177" t="s">
        <v>674</v>
      </c>
      <c r="L333" s="1178" t="s">
        <v>675</v>
      </c>
      <c r="M333" s="1179">
        <v>25980000</v>
      </c>
      <c r="N333" s="1376" t="s">
        <v>1024</v>
      </c>
      <c r="O333" s="1174" t="s">
        <v>771</v>
      </c>
      <c r="P333" s="1207" t="s">
        <v>678</v>
      </c>
      <c r="Q333" s="1163"/>
      <c r="R333" s="1357">
        <v>25200000</v>
      </c>
      <c r="S333" s="1357">
        <v>25200000</v>
      </c>
      <c r="T333" s="1357">
        <f>+Tabla16[[#This Row],[CDPS A 31 JULIO 2022]]-Tabla16[[#This Row],[CDP]]</f>
        <v>0</v>
      </c>
      <c r="U333" s="1357">
        <v>25200000</v>
      </c>
      <c r="V333" s="1357">
        <v>8400000</v>
      </c>
      <c r="W333" s="1357"/>
    </row>
    <row r="334" spans="1:23" s="1207" customFormat="1" ht="45" hidden="1" customHeight="1" x14ac:dyDescent="0.3">
      <c r="A334" s="1355">
        <v>2022342</v>
      </c>
      <c r="B334" s="1172">
        <v>7658</v>
      </c>
      <c r="C334" s="1356" t="s">
        <v>679</v>
      </c>
      <c r="D334" s="1190" t="s">
        <v>701</v>
      </c>
      <c r="E334" s="1174">
        <v>80111600</v>
      </c>
      <c r="F334" s="1379" t="s">
        <v>1029</v>
      </c>
      <c r="G334" s="1380">
        <v>44562</v>
      </c>
      <c r="H334" s="1380">
        <v>44592</v>
      </c>
      <c r="I334" s="1176">
        <v>12</v>
      </c>
      <c r="J334" s="1176" t="s">
        <v>673</v>
      </c>
      <c r="K334" s="1177" t="s">
        <v>674</v>
      </c>
      <c r="L334" s="1178" t="s">
        <v>675</v>
      </c>
      <c r="M334" s="1179">
        <v>25980000</v>
      </c>
      <c r="N334" s="1376" t="s">
        <v>1024</v>
      </c>
      <c r="O334" s="1174" t="s">
        <v>771</v>
      </c>
      <c r="P334" s="1207" t="s">
        <v>678</v>
      </c>
      <c r="Q334" s="1163"/>
      <c r="R334" s="1357">
        <v>25200000</v>
      </c>
      <c r="S334" s="1357">
        <v>25200000</v>
      </c>
      <c r="T334" s="1357">
        <f>+Tabla16[[#This Row],[CDPS A 31 JULIO 2022]]-Tabla16[[#This Row],[CDP]]</f>
        <v>0</v>
      </c>
      <c r="U334" s="1357">
        <v>25200000</v>
      </c>
      <c r="V334" s="1357">
        <v>8750000</v>
      </c>
      <c r="W334" s="1357"/>
    </row>
    <row r="335" spans="1:23" s="1207" customFormat="1" ht="45" hidden="1" customHeight="1" x14ac:dyDescent="0.3">
      <c r="A335" s="1355">
        <v>2022343</v>
      </c>
      <c r="B335" s="1172">
        <v>7658</v>
      </c>
      <c r="C335" s="1356" t="s">
        <v>679</v>
      </c>
      <c r="D335" s="1190" t="s">
        <v>701</v>
      </c>
      <c r="E335" s="1174">
        <v>80111600</v>
      </c>
      <c r="F335" s="1379" t="s">
        <v>1029</v>
      </c>
      <c r="G335" s="1380">
        <v>44562</v>
      </c>
      <c r="H335" s="1380">
        <v>44592</v>
      </c>
      <c r="I335" s="1176">
        <v>12</v>
      </c>
      <c r="J335" s="1176" t="s">
        <v>673</v>
      </c>
      <c r="K335" s="1177" t="s">
        <v>674</v>
      </c>
      <c r="L335" s="1178" t="s">
        <v>675</v>
      </c>
      <c r="M335" s="1179">
        <v>25980000</v>
      </c>
      <c r="N335" s="1376" t="s">
        <v>1024</v>
      </c>
      <c r="O335" s="1174" t="s">
        <v>771</v>
      </c>
      <c r="P335" s="1207" t="s">
        <v>678</v>
      </c>
      <c r="Q335" s="1163"/>
      <c r="R335" s="1357">
        <v>25200000</v>
      </c>
      <c r="S335" s="1357">
        <v>25200000</v>
      </c>
      <c r="T335" s="1357">
        <f>+Tabla16[[#This Row],[CDPS A 31 JULIO 2022]]-Tabla16[[#This Row],[CDP]]</f>
        <v>0</v>
      </c>
      <c r="U335" s="1357">
        <v>25200000</v>
      </c>
      <c r="V335" s="1357">
        <v>8400000</v>
      </c>
      <c r="W335" s="1357"/>
    </row>
    <row r="336" spans="1:23" s="1207" customFormat="1" ht="45" hidden="1" customHeight="1" x14ac:dyDescent="0.3">
      <c r="A336" s="1355">
        <v>2022344</v>
      </c>
      <c r="B336" s="1172">
        <v>7658</v>
      </c>
      <c r="C336" s="1356" t="s">
        <v>679</v>
      </c>
      <c r="D336" s="1190" t="s">
        <v>701</v>
      </c>
      <c r="E336" s="1174">
        <v>80111600</v>
      </c>
      <c r="F336" s="1379" t="s">
        <v>1029</v>
      </c>
      <c r="G336" s="1380">
        <v>44562</v>
      </c>
      <c r="H336" s="1380">
        <v>44592</v>
      </c>
      <c r="I336" s="1176">
        <v>12</v>
      </c>
      <c r="J336" s="1176" t="s">
        <v>673</v>
      </c>
      <c r="K336" s="1177" t="s">
        <v>674</v>
      </c>
      <c r="L336" s="1178" t="s">
        <v>675</v>
      </c>
      <c r="M336" s="1179">
        <v>25980000</v>
      </c>
      <c r="N336" s="1376" t="s">
        <v>1024</v>
      </c>
      <c r="O336" s="1174" t="s">
        <v>771</v>
      </c>
      <c r="P336" s="1207" t="s">
        <v>678</v>
      </c>
      <c r="Q336" s="1163"/>
      <c r="R336" s="1357">
        <v>25200000</v>
      </c>
      <c r="S336" s="1357">
        <v>25200000</v>
      </c>
      <c r="T336" s="1357">
        <f>+Tabla16[[#This Row],[CDPS A 31 JULIO 2022]]-Tabla16[[#This Row],[CDP]]</f>
        <v>0</v>
      </c>
      <c r="U336" s="1357">
        <v>25200000</v>
      </c>
      <c r="V336" s="1357">
        <v>7980000</v>
      </c>
      <c r="W336" s="1357"/>
    </row>
    <row r="337" spans="1:23" s="1207" customFormat="1" ht="45" hidden="1" customHeight="1" x14ac:dyDescent="0.3">
      <c r="A337" s="1355">
        <v>2022345</v>
      </c>
      <c r="B337" s="1172">
        <v>7658</v>
      </c>
      <c r="C337" s="1356" t="s">
        <v>679</v>
      </c>
      <c r="D337" s="1190" t="s">
        <v>701</v>
      </c>
      <c r="E337" s="1174">
        <v>80111600</v>
      </c>
      <c r="F337" s="1379" t="s">
        <v>1029</v>
      </c>
      <c r="G337" s="1380">
        <v>44562</v>
      </c>
      <c r="H337" s="1380">
        <v>44592</v>
      </c>
      <c r="I337" s="1176">
        <v>12</v>
      </c>
      <c r="J337" s="1176" t="s">
        <v>673</v>
      </c>
      <c r="K337" s="1177" t="s">
        <v>674</v>
      </c>
      <c r="L337" s="1178" t="s">
        <v>675</v>
      </c>
      <c r="M337" s="1179">
        <v>25980000</v>
      </c>
      <c r="N337" s="1376" t="s">
        <v>1024</v>
      </c>
      <c r="O337" s="1174" t="s">
        <v>771</v>
      </c>
      <c r="P337" s="1207" t="s">
        <v>678</v>
      </c>
      <c r="Q337" s="1163"/>
      <c r="R337" s="1357">
        <v>25200000</v>
      </c>
      <c r="S337" s="1357">
        <v>25200000</v>
      </c>
      <c r="T337" s="1357">
        <f>+Tabla16[[#This Row],[CDPS A 31 JULIO 2022]]-Tabla16[[#This Row],[CDP]]</f>
        <v>0</v>
      </c>
      <c r="U337" s="1357">
        <v>25200000</v>
      </c>
      <c r="V337" s="1357">
        <v>8400000</v>
      </c>
      <c r="W337" s="1357"/>
    </row>
    <row r="338" spans="1:23" s="1207" customFormat="1" ht="45" hidden="1" customHeight="1" x14ac:dyDescent="0.3">
      <c r="A338" s="1355">
        <v>2022346</v>
      </c>
      <c r="B338" s="1172">
        <v>7658</v>
      </c>
      <c r="C338" s="1356" t="s">
        <v>679</v>
      </c>
      <c r="D338" s="1190" t="s">
        <v>701</v>
      </c>
      <c r="E338" s="1174">
        <v>80111600</v>
      </c>
      <c r="F338" s="1379" t="s">
        <v>1029</v>
      </c>
      <c r="G338" s="1380">
        <v>44562</v>
      </c>
      <c r="H338" s="1380">
        <v>44592</v>
      </c>
      <c r="I338" s="1176">
        <v>12</v>
      </c>
      <c r="J338" s="1176" t="s">
        <v>673</v>
      </c>
      <c r="K338" s="1177" t="s">
        <v>674</v>
      </c>
      <c r="L338" s="1178" t="s">
        <v>675</v>
      </c>
      <c r="M338" s="1179">
        <v>25980000</v>
      </c>
      <c r="N338" s="1376" t="s">
        <v>1024</v>
      </c>
      <c r="O338" s="1174" t="s">
        <v>771</v>
      </c>
      <c r="P338" s="1207" t="s">
        <v>678</v>
      </c>
      <c r="Q338" s="1163"/>
      <c r="R338" s="1357">
        <v>25200000</v>
      </c>
      <c r="S338" s="1357">
        <v>25200000</v>
      </c>
      <c r="T338" s="1357">
        <f>+Tabla16[[#This Row],[CDPS A 31 JULIO 2022]]-Tabla16[[#This Row],[CDP]]</f>
        <v>0</v>
      </c>
      <c r="U338" s="1357">
        <v>25200000</v>
      </c>
      <c r="V338" s="1357">
        <v>8400000</v>
      </c>
      <c r="W338" s="1357"/>
    </row>
    <row r="339" spans="1:23" s="1207" customFormat="1" ht="45" hidden="1" customHeight="1" x14ac:dyDescent="0.3">
      <c r="A339" s="1355">
        <v>2022347</v>
      </c>
      <c r="B339" s="1172">
        <v>7658</v>
      </c>
      <c r="C339" s="1356" t="s">
        <v>679</v>
      </c>
      <c r="D339" s="1190" t="s">
        <v>701</v>
      </c>
      <c r="E339" s="1174">
        <v>80111600</v>
      </c>
      <c r="F339" s="1379" t="s">
        <v>1029</v>
      </c>
      <c r="G339" s="1380">
        <v>44562</v>
      </c>
      <c r="H339" s="1380">
        <v>44592</v>
      </c>
      <c r="I339" s="1176">
        <v>12</v>
      </c>
      <c r="J339" s="1176" t="s">
        <v>673</v>
      </c>
      <c r="K339" s="1177" t="s">
        <v>674</v>
      </c>
      <c r="L339" s="1178" t="s">
        <v>675</v>
      </c>
      <c r="M339" s="1179">
        <f>25980000-25980000</f>
        <v>0</v>
      </c>
      <c r="N339" s="1376" t="s">
        <v>1024</v>
      </c>
      <c r="O339" s="1174" t="s">
        <v>771</v>
      </c>
      <c r="P339" s="1207" t="s">
        <v>678</v>
      </c>
      <c r="Q339" s="1163"/>
      <c r="R339" s="1357">
        <v>25200000</v>
      </c>
      <c r="S339" s="1357">
        <v>25200000</v>
      </c>
      <c r="T339" s="1357">
        <f>+Tabla16[[#This Row],[CDPS A 31 JULIO 2022]]-Tabla16[[#This Row],[CDP]]</f>
        <v>0</v>
      </c>
      <c r="U339" s="1357">
        <v>25200000</v>
      </c>
      <c r="V339" s="1357">
        <v>7980000</v>
      </c>
      <c r="W339" s="1357"/>
    </row>
    <row r="340" spans="1:23" s="1207" customFormat="1" ht="45" hidden="1" customHeight="1" x14ac:dyDescent="0.3">
      <c r="A340" s="1355">
        <v>2022348</v>
      </c>
      <c r="B340" s="1172">
        <v>7658</v>
      </c>
      <c r="C340" s="1356" t="s">
        <v>679</v>
      </c>
      <c r="D340" s="1190" t="s">
        <v>701</v>
      </c>
      <c r="E340" s="1174">
        <v>80111600</v>
      </c>
      <c r="F340" s="1379" t="s">
        <v>1029</v>
      </c>
      <c r="G340" s="1380">
        <v>44562</v>
      </c>
      <c r="H340" s="1380">
        <v>44592</v>
      </c>
      <c r="I340" s="1176">
        <v>12</v>
      </c>
      <c r="J340" s="1176" t="s">
        <v>673</v>
      </c>
      <c r="K340" s="1177" t="s">
        <v>674</v>
      </c>
      <c r="L340" s="1178" t="s">
        <v>675</v>
      </c>
      <c r="M340" s="1179">
        <v>25980000</v>
      </c>
      <c r="N340" s="1376" t="s">
        <v>1024</v>
      </c>
      <c r="O340" s="1174" t="s">
        <v>771</v>
      </c>
      <c r="P340" s="1207" t="s">
        <v>678</v>
      </c>
      <c r="Q340" s="1163"/>
      <c r="R340" s="1357">
        <v>25200000</v>
      </c>
      <c r="S340" s="1357">
        <v>25200000</v>
      </c>
      <c r="T340" s="1357">
        <f>+Tabla16[[#This Row],[CDPS A 31 JULIO 2022]]-Tabla16[[#This Row],[CDP]]</f>
        <v>0</v>
      </c>
      <c r="U340" s="1357">
        <v>25200000</v>
      </c>
      <c r="V340" s="1357">
        <v>7980000</v>
      </c>
      <c r="W340" s="1357"/>
    </row>
    <row r="341" spans="1:23" s="1207" customFormat="1" ht="45" hidden="1" customHeight="1" x14ac:dyDescent="0.3">
      <c r="A341" s="1355">
        <v>2022349</v>
      </c>
      <c r="B341" s="1172">
        <v>7658</v>
      </c>
      <c r="C341" s="1356" t="s">
        <v>679</v>
      </c>
      <c r="D341" s="1190" t="s">
        <v>701</v>
      </c>
      <c r="E341" s="1174">
        <v>80111600</v>
      </c>
      <c r="F341" s="1379" t="s">
        <v>1029</v>
      </c>
      <c r="G341" s="1380">
        <v>44562</v>
      </c>
      <c r="H341" s="1380">
        <v>44592</v>
      </c>
      <c r="I341" s="1176">
        <v>12</v>
      </c>
      <c r="J341" s="1176" t="s">
        <v>673</v>
      </c>
      <c r="K341" s="1177" t="s">
        <v>674</v>
      </c>
      <c r="L341" s="1178" t="s">
        <v>675</v>
      </c>
      <c r="M341" s="1179">
        <v>25980000</v>
      </c>
      <c r="N341" s="1376" t="s">
        <v>1024</v>
      </c>
      <c r="O341" s="1174" t="s">
        <v>771</v>
      </c>
      <c r="P341" s="1207" t="s">
        <v>678</v>
      </c>
      <c r="Q341" s="1163"/>
      <c r="R341" s="1357">
        <v>25200000</v>
      </c>
      <c r="S341" s="1357">
        <v>25200000</v>
      </c>
      <c r="T341" s="1357">
        <f>+Tabla16[[#This Row],[CDPS A 31 JULIO 2022]]-Tabla16[[#This Row],[CDP]]</f>
        <v>0</v>
      </c>
      <c r="U341" s="1357">
        <v>25200000</v>
      </c>
      <c r="V341" s="1357">
        <v>7980000</v>
      </c>
      <c r="W341" s="1357"/>
    </row>
    <row r="342" spans="1:23" s="1207" customFormat="1" ht="45" hidden="1" customHeight="1" x14ac:dyDescent="0.3">
      <c r="A342" s="1355">
        <v>2022350</v>
      </c>
      <c r="B342" s="1172">
        <v>7658</v>
      </c>
      <c r="C342" s="1356" t="s">
        <v>679</v>
      </c>
      <c r="D342" s="1190" t="s">
        <v>701</v>
      </c>
      <c r="E342" s="1174">
        <v>80111600</v>
      </c>
      <c r="F342" s="1379" t="s">
        <v>1029</v>
      </c>
      <c r="G342" s="1380">
        <v>44562</v>
      </c>
      <c r="H342" s="1380">
        <v>44592</v>
      </c>
      <c r="I342" s="1176">
        <v>12</v>
      </c>
      <c r="J342" s="1176" t="s">
        <v>673</v>
      </c>
      <c r="K342" s="1177" t="s">
        <v>674</v>
      </c>
      <c r="L342" s="1178" t="s">
        <v>675</v>
      </c>
      <c r="M342" s="1179">
        <v>25980000</v>
      </c>
      <c r="N342" s="1376" t="s">
        <v>1024</v>
      </c>
      <c r="O342" s="1174" t="s">
        <v>771</v>
      </c>
      <c r="P342" s="1207" t="s">
        <v>678</v>
      </c>
      <c r="Q342" s="1163"/>
      <c r="R342" s="1357">
        <v>25200000</v>
      </c>
      <c r="S342" s="1357">
        <v>25200000</v>
      </c>
      <c r="T342" s="1357">
        <f>+Tabla16[[#This Row],[CDPS A 31 JULIO 2022]]-Tabla16[[#This Row],[CDP]]</f>
        <v>0</v>
      </c>
      <c r="U342" s="1357">
        <v>25200000</v>
      </c>
      <c r="V342" s="1357">
        <v>8400000</v>
      </c>
      <c r="W342" s="1357"/>
    </row>
    <row r="343" spans="1:23" s="1207" customFormat="1" ht="45" hidden="1" customHeight="1" x14ac:dyDescent="0.3">
      <c r="A343" s="1355">
        <v>2022351</v>
      </c>
      <c r="B343" s="1172">
        <v>7658</v>
      </c>
      <c r="C343" s="1356" t="s">
        <v>679</v>
      </c>
      <c r="D343" s="1190" t="s">
        <v>701</v>
      </c>
      <c r="E343" s="1174">
        <v>80111600</v>
      </c>
      <c r="F343" s="1379" t="s">
        <v>1029</v>
      </c>
      <c r="G343" s="1380">
        <v>44562</v>
      </c>
      <c r="H343" s="1380">
        <v>44592</v>
      </c>
      <c r="I343" s="1176">
        <v>12</v>
      </c>
      <c r="J343" s="1176" t="s">
        <v>673</v>
      </c>
      <c r="K343" s="1177" t="s">
        <v>674</v>
      </c>
      <c r="L343" s="1178" t="s">
        <v>675</v>
      </c>
      <c r="M343" s="1179">
        <v>25980000</v>
      </c>
      <c r="N343" s="1376" t="s">
        <v>1024</v>
      </c>
      <c r="O343" s="1174" t="s">
        <v>771</v>
      </c>
      <c r="P343" s="1207" t="s">
        <v>678</v>
      </c>
      <c r="Q343" s="1163"/>
      <c r="R343" s="1357">
        <v>25200000</v>
      </c>
      <c r="S343" s="1357">
        <v>25200000</v>
      </c>
      <c r="T343" s="1357">
        <f>+Tabla16[[#This Row],[CDPS A 31 JULIO 2022]]-Tabla16[[#This Row],[CDP]]</f>
        <v>0</v>
      </c>
      <c r="U343" s="1357">
        <v>25200000</v>
      </c>
      <c r="V343" s="1357">
        <v>5810000</v>
      </c>
      <c r="W343" s="1357"/>
    </row>
    <row r="344" spans="1:23" s="1207" customFormat="1" ht="45" hidden="1" customHeight="1" x14ac:dyDescent="0.3">
      <c r="A344" s="1355">
        <v>2022352</v>
      </c>
      <c r="B344" s="1172">
        <v>7658</v>
      </c>
      <c r="C344" s="1356" t="s">
        <v>679</v>
      </c>
      <c r="D344" s="1190" t="s">
        <v>701</v>
      </c>
      <c r="E344" s="1174">
        <v>80111600</v>
      </c>
      <c r="F344" s="1379" t="s">
        <v>1029</v>
      </c>
      <c r="G344" s="1380">
        <v>44562</v>
      </c>
      <c r="H344" s="1380">
        <v>44592</v>
      </c>
      <c r="I344" s="1176">
        <v>12</v>
      </c>
      <c r="J344" s="1176" t="s">
        <v>673</v>
      </c>
      <c r="K344" s="1177" t="s">
        <v>674</v>
      </c>
      <c r="L344" s="1178" t="s">
        <v>675</v>
      </c>
      <c r="M344" s="1179">
        <v>25980000</v>
      </c>
      <c r="N344" s="1376" t="s">
        <v>1024</v>
      </c>
      <c r="O344" s="1174" t="s">
        <v>771</v>
      </c>
      <c r="P344" s="1207" t="s">
        <v>678</v>
      </c>
      <c r="Q344" s="1163"/>
      <c r="R344" s="1357">
        <v>25200000</v>
      </c>
      <c r="S344" s="1357">
        <v>25200000</v>
      </c>
      <c r="T344" s="1357">
        <f>+Tabla16[[#This Row],[CDPS A 31 JULIO 2022]]-Tabla16[[#This Row],[CDP]]</f>
        <v>0</v>
      </c>
      <c r="U344" s="1357">
        <v>25200000</v>
      </c>
      <c r="V344" s="1357">
        <v>8400000</v>
      </c>
      <c r="W344" s="1357"/>
    </row>
    <row r="345" spans="1:23" s="1207" customFormat="1" ht="45" hidden="1" customHeight="1" x14ac:dyDescent="0.3">
      <c r="A345" s="1355">
        <v>2022353</v>
      </c>
      <c r="B345" s="1172">
        <v>7658</v>
      </c>
      <c r="C345" s="1356" t="s">
        <v>679</v>
      </c>
      <c r="D345" s="1190" t="s">
        <v>701</v>
      </c>
      <c r="E345" s="1174">
        <v>80111600</v>
      </c>
      <c r="F345" s="1379" t="s">
        <v>1029</v>
      </c>
      <c r="G345" s="1380">
        <v>44562</v>
      </c>
      <c r="H345" s="1380">
        <v>44592</v>
      </c>
      <c r="I345" s="1176">
        <v>12</v>
      </c>
      <c r="J345" s="1176" t="s">
        <v>673</v>
      </c>
      <c r="K345" s="1177" t="s">
        <v>674</v>
      </c>
      <c r="L345" s="1178" t="s">
        <v>675</v>
      </c>
      <c r="M345" s="1179">
        <f>25980000+25980000</f>
        <v>51960000</v>
      </c>
      <c r="N345" s="1376" t="s">
        <v>1024</v>
      </c>
      <c r="O345" s="1174" t="s">
        <v>771</v>
      </c>
      <c r="P345" s="1207" t="s">
        <v>678</v>
      </c>
      <c r="Q345" s="1163"/>
      <c r="R345" s="1357">
        <v>25200000</v>
      </c>
      <c r="S345" s="1357">
        <v>25200000</v>
      </c>
      <c r="T345" s="1357">
        <f>+Tabla16[[#This Row],[CDPS A 31 JULIO 2022]]-Tabla16[[#This Row],[CDP]]</f>
        <v>0</v>
      </c>
      <c r="U345" s="1357">
        <v>25200000</v>
      </c>
      <c r="V345" s="1357">
        <v>8400000</v>
      </c>
      <c r="W345" s="1357"/>
    </row>
    <row r="346" spans="1:23" s="1207" customFormat="1" ht="45" hidden="1" customHeight="1" x14ac:dyDescent="0.3">
      <c r="A346" s="1355">
        <v>2022354</v>
      </c>
      <c r="B346" s="1172">
        <v>7658</v>
      </c>
      <c r="C346" s="1356" t="s">
        <v>679</v>
      </c>
      <c r="D346" s="1190" t="s">
        <v>701</v>
      </c>
      <c r="E346" s="1174">
        <v>80111600</v>
      </c>
      <c r="F346" s="1379" t="s">
        <v>1030</v>
      </c>
      <c r="G346" s="1380">
        <v>44562</v>
      </c>
      <c r="H346" s="1380">
        <v>44592</v>
      </c>
      <c r="I346" s="1176">
        <v>12</v>
      </c>
      <c r="J346" s="1176" t="s">
        <v>673</v>
      </c>
      <c r="K346" s="1177" t="s">
        <v>674</v>
      </c>
      <c r="L346" s="1178" t="s">
        <v>675</v>
      </c>
      <c r="M346" s="1179">
        <f>30300000-900000</f>
        <v>29400000</v>
      </c>
      <c r="N346" s="1376" t="s">
        <v>1024</v>
      </c>
      <c r="O346" s="1174" t="s">
        <v>771</v>
      </c>
      <c r="P346" s="1207" t="s">
        <v>678</v>
      </c>
      <c r="Q346" s="1163"/>
      <c r="R346" s="1357">
        <v>29400000</v>
      </c>
      <c r="S346" s="1357">
        <v>29400000</v>
      </c>
      <c r="T346" s="1357">
        <f>+Tabla16[[#This Row],[CDPS A 31 JULIO 2022]]-Tabla16[[#This Row],[CDP]]</f>
        <v>0</v>
      </c>
      <c r="U346" s="1357">
        <v>29400000</v>
      </c>
      <c r="V346" s="1357">
        <v>9800000</v>
      </c>
      <c r="W346" s="1357"/>
    </row>
    <row r="347" spans="1:23" s="1207" customFormat="1" ht="45" hidden="1" customHeight="1" x14ac:dyDescent="0.3">
      <c r="A347" s="1355">
        <v>2022355</v>
      </c>
      <c r="B347" s="1172">
        <v>7658</v>
      </c>
      <c r="C347" s="1356" t="s">
        <v>679</v>
      </c>
      <c r="D347" s="1190" t="s">
        <v>701</v>
      </c>
      <c r="E347" s="1174">
        <v>80111600</v>
      </c>
      <c r="F347" s="1379" t="s">
        <v>1030</v>
      </c>
      <c r="G347" s="1380">
        <v>44562</v>
      </c>
      <c r="H347" s="1380">
        <v>44592</v>
      </c>
      <c r="I347" s="1176">
        <v>12</v>
      </c>
      <c r="J347" s="1176" t="s">
        <v>673</v>
      </c>
      <c r="K347" s="1177" t="s">
        <v>674</v>
      </c>
      <c r="L347" s="1178" t="s">
        <v>675</v>
      </c>
      <c r="M347" s="1179">
        <f>30300000-900000</f>
        <v>29400000</v>
      </c>
      <c r="N347" s="1376" t="s">
        <v>1024</v>
      </c>
      <c r="O347" s="1174" t="s">
        <v>771</v>
      </c>
      <c r="P347" s="1207" t="s">
        <v>678</v>
      </c>
      <c r="Q347" s="1163"/>
      <c r="R347" s="1357">
        <v>29400000</v>
      </c>
      <c r="S347" s="1357">
        <v>29400000</v>
      </c>
      <c r="T347" s="1357">
        <f>+Tabla16[[#This Row],[CDPS A 31 JULIO 2022]]-Tabla16[[#This Row],[CDP]]</f>
        <v>0</v>
      </c>
      <c r="U347" s="1357">
        <v>29400000</v>
      </c>
      <c r="V347" s="1357">
        <v>9800000</v>
      </c>
      <c r="W347" s="1357"/>
    </row>
    <row r="348" spans="1:23" s="1207" customFormat="1" ht="45" hidden="1" customHeight="1" x14ac:dyDescent="0.3">
      <c r="A348" s="1355">
        <v>2022356</v>
      </c>
      <c r="B348" s="1172">
        <v>7658</v>
      </c>
      <c r="C348" s="1356" t="s">
        <v>679</v>
      </c>
      <c r="D348" s="1190" t="s">
        <v>701</v>
      </c>
      <c r="E348" s="1174">
        <v>80111600</v>
      </c>
      <c r="F348" s="1379" t="s">
        <v>1030</v>
      </c>
      <c r="G348" s="1380">
        <v>44562</v>
      </c>
      <c r="H348" s="1380">
        <v>44592</v>
      </c>
      <c r="I348" s="1176">
        <v>12</v>
      </c>
      <c r="J348" s="1176" t="s">
        <v>673</v>
      </c>
      <c r="K348" s="1177" t="s">
        <v>674</v>
      </c>
      <c r="L348" s="1178" t="s">
        <v>675</v>
      </c>
      <c r="M348" s="1179">
        <f>30300000-900000</f>
        <v>29400000</v>
      </c>
      <c r="N348" s="1376" t="s">
        <v>1024</v>
      </c>
      <c r="O348" s="1174" t="s">
        <v>771</v>
      </c>
      <c r="P348" s="1207" t="s">
        <v>678</v>
      </c>
      <c r="Q348" s="1163"/>
      <c r="R348" s="1357">
        <v>29400000</v>
      </c>
      <c r="S348" s="1357">
        <v>29400000</v>
      </c>
      <c r="T348" s="1357">
        <f>+Tabla16[[#This Row],[CDPS A 31 JULIO 2022]]-Tabla16[[#This Row],[CDP]]</f>
        <v>0</v>
      </c>
      <c r="U348" s="1357">
        <v>29400000</v>
      </c>
      <c r="V348" s="1357">
        <v>9800000</v>
      </c>
      <c r="W348" s="1357"/>
    </row>
    <row r="349" spans="1:23" s="1207" customFormat="1" ht="45" hidden="1" customHeight="1" x14ac:dyDescent="0.3">
      <c r="A349" s="1355">
        <v>2022357</v>
      </c>
      <c r="B349" s="1172">
        <v>7658</v>
      </c>
      <c r="C349" s="1356" t="s">
        <v>679</v>
      </c>
      <c r="D349" s="1190" t="s">
        <v>701</v>
      </c>
      <c r="E349" s="1174">
        <v>80111600</v>
      </c>
      <c r="F349" s="1379" t="s">
        <v>1030</v>
      </c>
      <c r="G349" s="1380">
        <v>44562</v>
      </c>
      <c r="H349" s="1380">
        <v>44592</v>
      </c>
      <c r="I349" s="1176">
        <v>12</v>
      </c>
      <c r="J349" s="1176" t="s">
        <v>673</v>
      </c>
      <c r="K349" s="1177" t="s">
        <v>674</v>
      </c>
      <c r="L349" s="1178" t="s">
        <v>675</v>
      </c>
      <c r="M349" s="1179">
        <f>30300000-900000</f>
        <v>29400000</v>
      </c>
      <c r="N349" s="1376" t="s">
        <v>1024</v>
      </c>
      <c r="O349" s="1174" t="s">
        <v>771</v>
      </c>
      <c r="P349" s="1207" t="s">
        <v>678</v>
      </c>
      <c r="Q349" s="1163"/>
      <c r="R349" s="1357">
        <v>29400000</v>
      </c>
      <c r="S349" s="1357">
        <v>29400000</v>
      </c>
      <c r="T349" s="1357">
        <f>+Tabla16[[#This Row],[CDPS A 31 JULIO 2022]]-Tabla16[[#This Row],[CDP]]</f>
        <v>0</v>
      </c>
      <c r="U349" s="1357">
        <v>29400000</v>
      </c>
      <c r="V349" s="1357">
        <v>3511667</v>
      </c>
      <c r="W349" s="1357"/>
    </row>
    <row r="350" spans="1:23" s="1207" customFormat="1" ht="45" hidden="1" customHeight="1" x14ac:dyDescent="0.3">
      <c r="A350" s="1355">
        <v>2022358</v>
      </c>
      <c r="B350" s="1172">
        <v>7658</v>
      </c>
      <c r="C350" s="1356" t="s">
        <v>679</v>
      </c>
      <c r="D350" s="1190" t="s">
        <v>701</v>
      </c>
      <c r="E350" s="1174">
        <v>80111600</v>
      </c>
      <c r="F350" s="1379" t="s">
        <v>1030</v>
      </c>
      <c r="G350" s="1380">
        <v>44562</v>
      </c>
      <c r="H350" s="1380">
        <v>44592</v>
      </c>
      <c r="I350" s="1176">
        <v>11</v>
      </c>
      <c r="J350" s="1176" t="s">
        <v>673</v>
      </c>
      <c r="K350" s="1177" t="s">
        <v>674</v>
      </c>
      <c r="L350" s="1178" t="s">
        <v>675</v>
      </c>
      <c r="M350" s="1179">
        <f>27775000-825000</f>
        <v>26950000</v>
      </c>
      <c r="N350" s="1376" t="s">
        <v>1024</v>
      </c>
      <c r="O350" s="1174" t="s">
        <v>771</v>
      </c>
      <c r="P350" s="1207" t="s">
        <v>678</v>
      </c>
      <c r="Q350" s="1163"/>
      <c r="R350" s="1357">
        <v>26950000</v>
      </c>
      <c r="S350" s="1357">
        <v>26950000</v>
      </c>
      <c r="T350" s="1357">
        <f>+Tabla16[[#This Row],[CDPS A 31 JULIO 2022]]-Tabla16[[#This Row],[CDP]]</f>
        <v>0</v>
      </c>
      <c r="U350" s="1357">
        <v>26950000</v>
      </c>
      <c r="V350" s="1357">
        <v>6288333</v>
      </c>
      <c r="W350" s="1357"/>
    </row>
    <row r="351" spans="1:23" s="1207" customFormat="1" ht="45" hidden="1" customHeight="1" x14ac:dyDescent="0.3">
      <c r="A351" s="1355">
        <v>2022359</v>
      </c>
      <c r="B351" s="1172">
        <v>7658</v>
      </c>
      <c r="C351" s="1356" t="s">
        <v>679</v>
      </c>
      <c r="D351" s="1190" t="s">
        <v>701</v>
      </c>
      <c r="E351" s="1174">
        <v>80111600</v>
      </c>
      <c r="F351" s="1379" t="s">
        <v>1030</v>
      </c>
      <c r="G351" s="1380">
        <v>44562</v>
      </c>
      <c r="H351" s="1380">
        <v>44592</v>
      </c>
      <c r="I351" s="1176">
        <v>11</v>
      </c>
      <c r="J351" s="1176" t="s">
        <v>673</v>
      </c>
      <c r="K351" s="1177" t="s">
        <v>674</v>
      </c>
      <c r="L351" s="1178" t="s">
        <v>675</v>
      </c>
      <c r="M351" s="1179">
        <f>27775000-825000</f>
        <v>26950000</v>
      </c>
      <c r="N351" s="1376" t="s">
        <v>1024</v>
      </c>
      <c r="O351" s="1174" t="s">
        <v>771</v>
      </c>
      <c r="P351" s="1207" t="s">
        <v>678</v>
      </c>
      <c r="Q351" s="1163"/>
      <c r="R351" s="1357">
        <v>26950000</v>
      </c>
      <c r="S351" s="1357">
        <v>26950000</v>
      </c>
      <c r="T351" s="1357">
        <f>+Tabla16[[#This Row],[CDPS A 31 JULIO 2022]]-Tabla16[[#This Row],[CDP]]</f>
        <v>0</v>
      </c>
      <c r="U351" s="1357">
        <v>26950000</v>
      </c>
      <c r="V351" s="1357">
        <v>9800000</v>
      </c>
      <c r="W351" s="1357"/>
    </row>
    <row r="352" spans="1:23" s="1207" customFormat="1" ht="45" hidden="1" customHeight="1" x14ac:dyDescent="0.3">
      <c r="A352" s="1355">
        <v>2022360</v>
      </c>
      <c r="B352" s="1172">
        <v>7658</v>
      </c>
      <c r="C352" s="1356" t="s">
        <v>679</v>
      </c>
      <c r="D352" s="1190" t="s">
        <v>701</v>
      </c>
      <c r="E352" s="1174">
        <v>80111600</v>
      </c>
      <c r="F352" s="1379" t="s">
        <v>1030</v>
      </c>
      <c r="G352" s="1380">
        <v>44562</v>
      </c>
      <c r="H352" s="1380">
        <v>44592</v>
      </c>
      <c r="I352" s="1176">
        <v>11</v>
      </c>
      <c r="J352" s="1176" t="s">
        <v>673</v>
      </c>
      <c r="K352" s="1177" t="s">
        <v>674</v>
      </c>
      <c r="L352" s="1178" t="s">
        <v>675</v>
      </c>
      <c r="M352" s="1179">
        <v>27775000</v>
      </c>
      <c r="N352" s="1376" t="s">
        <v>1024</v>
      </c>
      <c r="O352" s="1174" t="s">
        <v>771</v>
      </c>
      <c r="P352" s="1207" t="s">
        <v>678</v>
      </c>
      <c r="Q352" s="1163"/>
      <c r="R352" s="1357">
        <v>26950000</v>
      </c>
      <c r="S352" s="1357">
        <v>26950000</v>
      </c>
      <c r="T352" s="1357">
        <f>+Tabla16[[#This Row],[CDPS A 31 JULIO 2022]]-Tabla16[[#This Row],[CDP]]</f>
        <v>0</v>
      </c>
      <c r="U352" s="1357">
        <v>26950000</v>
      </c>
      <c r="V352" s="1357">
        <v>9310000</v>
      </c>
      <c r="W352" s="1357"/>
    </row>
    <row r="353" spans="1:23" s="1207" customFormat="1" ht="45" hidden="1" customHeight="1" x14ac:dyDescent="0.3">
      <c r="A353" s="1355">
        <v>2022361</v>
      </c>
      <c r="B353" s="1172">
        <v>7658</v>
      </c>
      <c r="C353" s="1356" t="s">
        <v>679</v>
      </c>
      <c r="D353" s="1190" t="s">
        <v>701</v>
      </c>
      <c r="E353" s="1174">
        <v>80111600</v>
      </c>
      <c r="F353" s="1379" t="s">
        <v>1030</v>
      </c>
      <c r="G353" s="1380">
        <v>44562</v>
      </c>
      <c r="H353" s="1380">
        <v>44592</v>
      </c>
      <c r="I353" s="1176">
        <v>11</v>
      </c>
      <c r="J353" s="1176" t="s">
        <v>673</v>
      </c>
      <c r="K353" s="1177" t="s">
        <v>674</v>
      </c>
      <c r="L353" s="1178" t="s">
        <v>675</v>
      </c>
      <c r="M353" s="1179">
        <f>27775000-825000</f>
        <v>26950000</v>
      </c>
      <c r="N353" s="1376" t="s">
        <v>1024</v>
      </c>
      <c r="O353" s="1174" t="s">
        <v>771</v>
      </c>
      <c r="P353" s="1207" t="s">
        <v>678</v>
      </c>
      <c r="Q353" s="1163"/>
      <c r="R353" s="1357">
        <v>26950000</v>
      </c>
      <c r="S353" s="1357">
        <v>26950000</v>
      </c>
      <c r="T353" s="1357">
        <f>+Tabla16[[#This Row],[CDPS A 31 JULIO 2022]]-Tabla16[[#This Row],[CDP]]</f>
        <v>0</v>
      </c>
      <c r="U353" s="1357">
        <v>26950000</v>
      </c>
      <c r="V353" s="1357">
        <v>9800000</v>
      </c>
      <c r="W353" s="1357"/>
    </row>
    <row r="354" spans="1:23" s="1207" customFormat="1" ht="45" hidden="1" customHeight="1" x14ac:dyDescent="0.3">
      <c r="A354" s="1355">
        <v>2022362</v>
      </c>
      <c r="B354" s="1172">
        <v>7658</v>
      </c>
      <c r="C354" s="1356" t="s">
        <v>679</v>
      </c>
      <c r="D354" s="1190" t="s">
        <v>701</v>
      </c>
      <c r="E354" s="1174">
        <v>80111600</v>
      </c>
      <c r="F354" s="1379" t="s">
        <v>1030</v>
      </c>
      <c r="G354" s="1380">
        <v>44562</v>
      </c>
      <c r="H354" s="1380">
        <v>44592</v>
      </c>
      <c r="I354" s="1176">
        <v>11</v>
      </c>
      <c r="J354" s="1176" t="s">
        <v>673</v>
      </c>
      <c r="K354" s="1177" t="s">
        <v>674</v>
      </c>
      <c r="L354" s="1178" t="s">
        <v>675</v>
      </c>
      <c r="M354" s="1179">
        <f>27775000-825000</f>
        <v>26950000</v>
      </c>
      <c r="N354" s="1376" t="s">
        <v>1024</v>
      </c>
      <c r="O354" s="1174" t="s">
        <v>771</v>
      </c>
      <c r="P354" s="1207" t="s">
        <v>678</v>
      </c>
      <c r="Q354" s="1163"/>
      <c r="R354" s="1357">
        <v>26950000</v>
      </c>
      <c r="S354" s="1357">
        <v>26950000</v>
      </c>
      <c r="T354" s="1357">
        <f>+Tabla16[[#This Row],[CDPS A 31 JULIO 2022]]-Tabla16[[#This Row],[CDP]]</f>
        <v>0</v>
      </c>
      <c r="U354" s="1357">
        <v>26950000</v>
      </c>
      <c r="V354" s="1357">
        <v>9800000</v>
      </c>
      <c r="W354" s="1357"/>
    </row>
    <row r="355" spans="1:23" s="1207" customFormat="1" ht="45" hidden="1" customHeight="1" x14ac:dyDescent="0.3">
      <c r="A355" s="1355">
        <v>2022363</v>
      </c>
      <c r="B355" s="1172">
        <v>7658</v>
      </c>
      <c r="C355" s="1356" t="s">
        <v>679</v>
      </c>
      <c r="D355" s="1190" t="s">
        <v>701</v>
      </c>
      <c r="E355" s="1174">
        <v>80111600</v>
      </c>
      <c r="F355" s="1379" t="s">
        <v>1030</v>
      </c>
      <c r="G355" s="1380">
        <v>44562</v>
      </c>
      <c r="H355" s="1380">
        <v>44592</v>
      </c>
      <c r="I355" s="1176">
        <v>11</v>
      </c>
      <c r="J355" s="1176" t="s">
        <v>673</v>
      </c>
      <c r="K355" s="1177" t="s">
        <v>674</v>
      </c>
      <c r="L355" s="1178" t="s">
        <v>675</v>
      </c>
      <c r="M355" s="1179">
        <f>27775000-825000</f>
        <v>26950000</v>
      </c>
      <c r="N355" s="1376" t="s">
        <v>1024</v>
      </c>
      <c r="O355" s="1174" t="s">
        <v>771</v>
      </c>
      <c r="P355" s="1207" t="s">
        <v>678</v>
      </c>
      <c r="Q355" s="1163"/>
      <c r="R355" s="1357">
        <v>26950000</v>
      </c>
      <c r="S355" s="1357">
        <v>26950000</v>
      </c>
      <c r="T355" s="1357">
        <f>+Tabla16[[#This Row],[CDPS A 31 JULIO 2022]]-Tabla16[[#This Row],[CDP]]</f>
        <v>0</v>
      </c>
      <c r="U355" s="1357">
        <v>26950000</v>
      </c>
      <c r="V355" s="1357">
        <v>8248333</v>
      </c>
      <c r="W355" s="1357"/>
    </row>
    <row r="356" spans="1:23" s="1207" customFormat="1" ht="45" hidden="1" customHeight="1" x14ac:dyDescent="0.3">
      <c r="A356" s="1355">
        <v>2022364</v>
      </c>
      <c r="B356" s="1172">
        <v>7658</v>
      </c>
      <c r="C356" s="1356" t="s">
        <v>679</v>
      </c>
      <c r="D356" s="1190" t="s">
        <v>701</v>
      </c>
      <c r="E356" s="1174">
        <v>80111600</v>
      </c>
      <c r="F356" s="1379" t="s">
        <v>1030</v>
      </c>
      <c r="G356" s="1380">
        <v>44562</v>
      </c>
      <c r="H356" s="1380">
        <v>44592</v>
      </c>
      <c r="I356" s="1176">
        <v>10</v>
      </c>
      <c r="J356" s="1176" t="s">
        <v>673</v>
      </c>
      <c r="K356" s="1177" t="s">
        <v>674</v>
      </c>
      <c r="L356" s="1178" t="s">
        <v>675</v>
      </c>
      <c r="M356" s="1179">
        <f>25250000-750000</f>
        <v>24500000</v>
      </c>
      <c r="N356" s="1376" t="s">
        <v>1024</v>
      </c>
      <c r="O356" s="1174" t="s">
        <v>771</v>
      </c>
      <c r="P356" s="1207" t="s">
        <v>678</v>
      </c>
      <c r="Q356" s="1163"/>
      <c r="R356" s="1357">
        <v>24500000</v>
      </c>
      <c r="S356" s="1357">
        <v>24500000</v>
      </c>
      <c r="T356" s="1357">
        <f>+Tabla16[[#This Row],[CDPS A 31 JULIO 2022]]-Tabla16[[#This Row],[CDP]]</f>
        <v>0</v>
      </c>
      <c r="U356" s="1357">
        <v>24500000</v>
      </c>
      <c r="V356" s="1357">
        <v>9800000</v>
      </c>
      <c r="W356" s="1357"/>
    </row>
    <row r="357" spans="1:23" s="1207" customFormat="1" ht="45" hidden="1" customHeight="1" x14ac:dyDescent="0.3">
      <c r="A357" s="1355">
        <v>2022365</v>
      </c>
      <c r="B357" s="1172">
        <v>7658</v>
      </c>
      <c r="C357" s="1356" t="s">
        <v>679</v>
      </c>
      <c r="D357" s="1190" t="s">
        <v>701</v>
      </c>
      <c r="E357" s="1174">
        <v>80111600</v>
      </c>
      <c r="F357" s="1379" t="s">
        <v>1030</v>
      </c>
      <c r="G357" s="1380">
        <v>44562</v>
      </c>
      <c r="H357" s="1380">
        <v>44592</v>
      </c>
      <c r="I357" s="1176">
        <v>10</v>
      </c>
      <c r="J357" s="1176" t="s">
        <v>673</v>
      </c>
      <c r="K357" s="1177" t="s">
        <v>674</v>
      </c>
      <c r="L357" s="1178" t="s">
        <v>675</v>
      </c>
      <c r="M357" s="1179">
        <f>25250000-750000</f>
        <v>24500000</v>
      </c>
      <c r="N357" s="1376" t="s">
        <v>1024</v>
      </c>
      <c r="O357" s="1174" t="s">
        <v>771</v>
      </c>
      <c r="P357" s="1207" t="s">
        <v>678</v>
      </c>
      <c r="Q357" s="1163"/>
      <c r="R357" s="1357">
        <v>24500000</v>
      </c>
      <c r="S357" s="1357">
        <v>24500000</v>
      </c>
      <c r="T357" s="1357">
        <f>+Tabla16[[#This Row],[CDPS A 31 JULIO 2022]]-Tabla16[[#This Row],[CDP]]</f>
        <v>0</v>
      </c>
      <c r="U357" s="1357">
        <v>24500000</v>
      </c>
      <c r="V357" s="1357">
        <v>9310000</v>
      </c>
      <c r="W357" s="1357"/>
    </row>
    <row r="358" spans="1:23" s="1207" customFormat="1" ht="45" hidden="1" customHeight="1" x14ac:dyDescent="0.3">
      <c r="A358" s="1355">
        <v>2022366</v>
      </c>
      <c r="B358" s="1172">
        <v>7658</v>
      </c>
      <c r="C358" s="1356" t="s">
        <v>679</v>
      </c>
      <c r="D358" s="1190" t="s">
        <v>701</v>
      </c>
      <c r="E358" s="1174">
        <v>80111600</v>
      </c>
      <c r="F358" s="1379" t="s">
        <v>1031</v>
      </c>
      <c r="G358" s="1380">
        <v>44562</v>
      </c>
      <c r="H358" s="1380">
        <v>44592</v>
      </c>
      <c r="I358" s="1176">
        <v>12</v>
      </c>
      <c r="J358" s="1176" t="s">
        <v>673</v>
      </c>
      <c r="K358" s="1177" t="s">
        <v>674</v>
      </c>
      <c r="L358" s="1178" t="s">
        <v>675</v>
      </c>
      <c r="M358" s="1179">
        <v>25956000</v>
      </c>
      <c r="N358" s="1376" t="s">
        <v>1024</v>
      </c>
      <c r="O358" s="1174" t="s">
        <v>771</v>
      </c>
      <c r="P358" s="1207" t="s">
        <v>678</v>
      </c>
      <c r="Q358" s="1163"/>
      <c r="R358" s="1357">
        <v>25200000</v>
      </c>
      <c r="S358" s="1357">
        <v>25200000</v>
      </c>
      <c r="T358" s="1357">
        <f>+Tabla16[[#This Row],[CDPS A 31 JULIO 2022]]-Tabla16[[#This Row],[CDP]]</f>
        <v>0</v>
      </c>
      <c r="U358" s="1357">
        <v>25200000</v>
      </c>
      <c r="V358" s="1357">
        <v>8400000</v>
      </c>
      <c r="W358" s="1357"/>
    </row>
    <row r="359" spans="1:23" s="1207" customFormat="1" ht="45" hidden="1" customHeight="1" x14ac:dyDescent="0.3">
      <c r="A359" s="1355">
        <v>2022367</v>
      </c>
      <c r="B359" s="1172">
        <v>7658</v>
      </c>
      <c r="C359" s="1356" t="s">
        <v>679</v>
      </c>
      <c r="D359" s="1190" t="s">
        <v>701</v>
      </c>
      <c r="E359" s="1174">
        <v>80111600</v>
      </c>
      <c r="F359" s="1379" t="s">
        <v>1032</v>
      </c>
      <c r="G359" s="1380">
        <v>44562</v>
      </c>
      <c r="H359" s="1380">
        <v>44592</v>
      </c>
      <c r="I359" s="1176">
        <v>12</v>
      </c>
      <c r="J359" s="1176" t="s">
        <v>673</v>
      </c>
      <c r="K359" s="1177" t="s">
        <v>674</v>
      </c>
      <c r="L359" s="1178" t="s">
        <v>675</v>
      </c>
      <c r="M359" s="1179">
        <v>41400000</v>
      </c>
      <c r="N359" s="1376" t="s">
        <v>1024</v>
      </c>
      <c r="O359" s="1174" t="s">
        <v>771</v>
      </c>
      <c r="P359" s="1207" t="s">
        <v>678</v>
      </c>
      <c r="Q359" s="1163"/>
      <c r="R359" s="1357">
        <v>40200000</v>
      </c>
      <c r="S359" s="1357">
        <v>40200000</v>
      </c>
      <c r="T359" s="1357">
        <f>+Tabla16[[#This Row],[CDPS A 31 JULIO 2022]]-Tabla16[[#This Row],[CDP]]</f>
        <v>0</v>
      </c>
      <c r="U359" s="1357">
        <v>40200000</v>
      </c>
      <c r="V359" s="1357">
        <v>14181667</v>
      </c>
      <c r="W359" s="1357"/>
    </row>
    <row r="360" spans="1:23" s="1207" customFormat="1" ht="45" hidden="1" customHeight="1" x14ac:dyDescent="0.3">
      <c r="A360" s="1355">
        <v>2022368</v>
      </c>
      <c r="B360" s="1172">
        <v>7658</v>
      </c>
      <c r="C360" s="1356" t="s">
        <v>679</v>
      </c>
      <c r="D360" s="1190" t="s">
        <v>701</v>
      </c>
      <c r="E360" s="1174">
        <v>80111600</v>
      </c>
      <c r="F360" s="1379" t="s">
        <v>1033</v>
      </c>
      <c r="G360" s="1380">
        <v>44562</v>
      </c>
      <c r="H360" s="1380">
        <v>44592</v>
      </c>
      <c r="I360" s="1176">
        <v>12</v>
      </c>
      <c r="J360" s="1176" t="s">
        <v>673</v>
      </c>
      <c r="K360" s="1177" t="s">
        <v>674</v>
      </c>
      <c r="L360" s="1178" t="s">
        <v>675</v>
      </c>
      <c r="M360" s="1179">
        <v>25200000</v>
      </c>
      <c r="N360" s="1376" t="s">
        <v>1024</v>
      </c>
      <c r="O360" s="1174" t="s">
        <v>771</v>
      </c>
      <c r="P360" s="1207" t="s">
        <v>678</v>
      </c>
      <c r="Q360" s="1163"/>
      <c r="R360" s="1357">
        <v>20100000</v>
      </c>
      <c r="S360" s="1357">
        <v>20100000</v>
      </c>
      <c r="T360" s="1357">
        <f>+Tabla16[[#This Row],[CDPS A 31 JULIO 2022]]-Tabla16[[#This Row],[CDP]]</f>
        <v>0</v>
      </c>
      <c r="U360" s="1357">
        <v>20100000</v>
      </c>
      <c r="V360" s="1357">
        <v>13176667</v>
      </c>
      <c r="W360" s="1357"/>
    </row>
    <row r="361" spans="1:23" s="1207" customFormat="1" ht="45" hidden="1" customHeight="1" x14ac:dyDescent="0.3">
      <c r="A361" s="1355">
        <v>2022369</v>
      </c>
      <c r="B361" s="1172">
        <v>7658</v>
      </c>
      <c r="C361" s="1356" t="s">
        <v>679</v>
      </c>
      <c r="D361" s="1190" t="s">
        <v>701</v>
      </c>
      <c r="E361" s="1174">
        <v>80111600</v>
      </c>
      <c r="F361" s="1379" t="s">
        <v>1034</v>
      </c>
      <c r="G361" s="1380">
        <v>44562</v>
      </c>
      <c r="H361" s="1380">
        <v>44592</v>
      </c>
      <c r="I361" s="1176">
        <v>11</v>
      </c>
      <c r="J361" s="1176" t="s">
        <v>673</v>
      </c>
      <c r="K361" s="1177" t="s">
        <v>674</v>
      </c>
      <c r="L361" s="1178" t="s">
        <v>675</v>
      </c>
      <c r="M361" s="1179">
        <v>37950000</v>
      </c>
      <c r="N361" s="1376" t="s">
        <v>1024</v>
      </c>
      <c r="O361" s="1174" t="s">
        <v>771</v>
      </c>
      <c r="P361" s="1207" t="s">
        <v>678</v>
      </c>
      <c r="Q361" s="1163"/>
      <c r="R361" s="1357">
        <v>36850000</v>
      </c>
      <c r="S361" s="1357">
        <v>36850000</v>
      </c>
      <c r="T361" s="1357">
        <f>+Tabla16[[#This Row],[CDPS A 31 JULIO 2022]]-Tabla16[[#This Row],[CDP]]</f>
        <v>0</v>
      </c>
      <c r="U361" s="1357">
        <v>36850000</v>
      </c>
      <c r="V361" s="1357">
        <v>13958333</v>
      </c>
      <c r="W361" s="1357"/>
    </row>
    <row r="362" spans="1:23" s="1207" customFormat="1" ht="45" hidden="1" customHeight="1" x14ac:dyDescent="0.3">
      <c r="A362" s="1355">
        <v>2022370</v>
      </c>
      <c r="B362" s="1172">
        <v>7658</v>
      </c>
      <c r="C362" s="1356" t="s">
        <v>679</v>
      </c>
      <c r="D362" s="1190" t="s">
        <v>701</v>
      </c>
      <c r="E362" s="1174">
        <v>80111600</v>
      </c>
      <c r="F362" s="1379" t="s">
        <v>1035</v>
      </c>
      <c r="G362" s="1380">
        <v>44562</v>
      </c>
      <c r="H362" s="1380">
        <v>44592</v>
      </c>
      <c r="I362" s="1176">
        <v>12</v>
      </c>
      <c r="J362" s="1176" t="s">
        <v>673</v>
      </c>
      <c r="K362" s="1177" t="s">
        <v>674</v>
      </c>
      <c r="L362" s="1178" t="s">
        <v>675</v>
      </c>
      <c r="M362" s="1179">
        <v>47586000</v>
      </c>
      <c r="N362" s="1376" t="s">
        <v>1024</v>
      </c>
      <c r="O362" s="1174" t="s">
        <v>771</v>
      </c>
      <c r="P362" s="1207" t="s">
        <v>678</v>
      </c>
      <c r="Q362" s="1163"/>
      <c r="R362" s="1357">
        <v>46200000</v>
      </c>
      <c r="S362" s="1357">
        <v>46200000</v>
      </c>
      <c r="T362" s="1357">
        <f>+Tabla16[[#This Row],[CDPS A 31 JULIO 2022]]-Tabla16[[#This Row],[CDP]]</f>
        <v>0</v>
      </c>
      <c r="U362" s="1357">
        <v>46200000</v>
      </c>
      <c r="V362" s="1357">
        <v>16940000</v>
      </c>
      <c r="W362" s="1357"/>
    </row>
    <row r="363" spans="1:23" s="1207" customFormat="1" ht="45" hidden="1" customHeight="1" x14ac:dyDescent="0.3">
      <c r="A363" s="1355">
        <v>2022371</v>
      </c>
      <c r="B363" s="1172">
        <v>7658</v>
      </c>
      <c r="C363" s="1356" t="s">
        <v>679</v>
      </c>
      <c r="D363" s="1190" t="s">
        <v>701</v>
      </c>
      <c r="E363" s="1174">
        <v>80111600</v>
      </c>
      <c r="F363" s="1379" t="s">
        <v>1036</v>
      </c>
      <c r="G363" s="1380">
        <v>44562</v>
      </c>
      <c r="H363" s="1380">
        <v>44592</v>
      </c>
      <c r="I363" s="1176">
        <v>11</v>
      </c>
      <c r="J363" s="1176" t="s">
        <v>673</v>
      </c>
      <c r="K363" s="1177" t="s">
        <v>674</v>
      </c>
      <c r="L363" s="1178" t="s">
        <v>675</v>
      </c>
      <c r="M363" s="1248">
        <f>37956000-28254000+8925000</f>
        <v>18627000</v>
      </c>
      <c r="N363" s="1376" t="s">
        <v>1024</v>
      </c>
      <c r="O363" s="1174" t="s">
        <v>771</v>
      </c>
      <c r="P363" s="1207" t="s">
        <v>678</v>
      </c>
      <c r="Q363" s="1163"/>
      <c r="R363" s="1269">
        <v>0</v>
      </c>
      <c r="S363" s="1357"/>
      <c r="T363" s="1357">
        <f>+Tabla16[[#This Row],[CDPS A 31 JULIO 2022]]-Tabla16[[#This Row],[CDP]]</f>
        <v>0</v>
      </c>
      <c r="U363" s="1357"/>
      <c r="V363" s="1357"/>
      <c r="W363" s="1357"/>
    </row>
    <row r="364" spans="1:23" s="1207" customFormat="1" ht="45" hidden="1" customHeight="1" x14ac:dyDescent="0.3">
      <c r="A364" s="1355">
        <v>2022372</v>
      </c>
      <c r="B364" s="1172">
        <v>7658</v>
      </c>
      <c r="C364" s="1356" t="s">
        <v>679</v>
      </c>
      <c r="D364" s="1190" t="s">
        <v>701</v>
      </c>
      <c r="E364" s="1174">
        <v>80111600</v>
      </c>
      <c r="F364" s="1379" t="s">
        <v>1037</v>
      </c>
      <c r="G364" s="1380">
        <v>44562</v>
      </c>
      <c r="H364" s="1380">
        <v>44592</v>
      </c>
      <c r="I364" s="1176">
        <v>12</v>
      </c>
      <c r="J364" s="1176" t="s">
        <v>673</v>
      </c>
      <c r="K364" s="1177" t="s">
        <v>674</v>
      </c>
      <c r="L364" s="1178" t="s">
        <v>675</v>
      </c>
      <c r="M364" s="1179">
        <f>63036000-1836000</f>
        <v>61200000</v>
      </c>
      <c r="N364" s="1376" t="s">
        <v>1024</v>
      </c>
      <c r="O364" s="1174" t="s">
        <v>771</v>
      </c>
      <c r="P364" s="1207" t="s">
        <v>678</v>
      </c>
      <c r="Q364" s="1163"/>
      <c r="R364" s="1357">
        <v>61200000</v>
      </c>
      <c r="S364" s="1357">
        <v>61200000</v>
      </c>
      <c r="T364" s="1357">
        <f>+Tabla16[[#This Row],[CDPS A 31 JULIO 2022]]-Tabla16[[#This Row],[CDP]]</f>
        <v>0</v>
      </c>
      <c r="U364" s="1357">
        <v>61200000</v>
      </c>
      <c r="V364" s="1357">
        <v>19890000</v>
      </c>
      <c r="W364" s="1357"/>
    </row>
    <row r="365" spans="1:23" s="1207" customFormat="1" ht="45" hidden="1" customHeight="1" x14ac:dyDescent="0.3">
      <c r="A365" s="1355">
        <v>2022373</v>
      </c>
      <c r="B365" s="1172">
        <v>7658</v>
      </c>
      <c r="C365" s="1356" t="s">
        <v>679</v>
      </c>
      <c r="D365" s="1190" t="s">
        <v>701</v>
      </c>
      <c r="E365" s="1174">
        <v>80111600</v>
      </c>
      <c r="F365" s="1379" t="s">
        <v>1037</v>
      </c>
      <c r="G365" s="1380">
        <v>44562</v>
      </c>
      <c r="H365" s="1380">
        <v>44592</v>
      </c>
      <c r="I365" s="1176">
        <v>10</v>
      </c>
      <c r="J365" s="1176" t="s">
        <v>673</v>
      </c>
      <c r="K365" s="1177" t="s">
        <v>674</v>
      </c>
      <c r="L365" s="1178" t="s">
        <v>675</v>
      </c>
      <c r="M365" s="1179">
        <f>39700000-1200000</f>
        <v>38500000</v>
      </c>
      <c r="N365" s="1376" t="s">
        <v>1024</v>
      </c>
      <c r="O365" s="1174" t="s">
        <v>771</v>
      </c>
      <c r="P365" s="1207" t="s">
        <v>678</v>
      </c>
      <c r="Q365" s="1163"/>
      <c r="R365" s="1357">
        <v>38500000</v>
      </c>
      <c r="S365" s="1357">
        <v>38500000</v>
      </c>
      <c r="T365" s="1357">
        <f>+Tabla16[[#This Row],[CDPS A 31 JULIO 2022]]-Tabla16[[#This Row],[CDP]]</f>
        <v>0</v>
      </c>
      <c r="U365" s="1357">
        <v>38500000</v>
      </c>
      <c r="V365" s="1357">
        <v>14501667</v>
      </c>
      <c r="W365" s="1357"/>
    </row>
    <row r="366" spans="1:23" s="1207" customFormat="1" ht="45" hidden="1" customHeight="1" x14ac:dyDescent="0.3">
      <c r="A366" s="1355">
        <v>2022374</v>
      </c>
      <c r="B366" s="1172">
        <v>7658</v>
      </c>
      <c r="C366" s="1356" t="s">
        <v>679</v>
      </c>
      <c r="D366" s="1190" t="s">
        <v>701</v>
      </c>
      <c r="E366" s="1174">
        <v>80111600</v>
      </c>
      <c r="F366" s="1379" t="s">
        <v>1037</v>
      </c>
      <c r="G366" s="1380">
        <v>44562</v>
      </c>
      <c r="H366" s="1380">
        <v>44592</v>
      </c>
      <c r="I366" s="1176">
        <v>11</v>
      </c>
      <c r="J366" s="1176" t="s">
        <v>673</v>
      </c>
      <c r="K366" s="1177" t="s">
        <v>674</v>
      </c>
      <c r="L366" s="1178" t="s">
        <v>675</v>
      </c>
      <c r="M366" s="1179">
        <f>50985000-1485000</f>
        <v>49500000</v>
      </c>
      <c r="N366" s="1376" t="s">
        <v>1024</v>
      </c>
      <c r="O366" s="1174" t="s">
        <v>771</v>
      </c>
      <c r="P366" s="1207" t="s">
        <v>678</v>
      </c>
      <c r="Q366" s="1163"/>
      <c r="R366" s="1357">
        <v>49500000</v>
      </c>
      <c r="S366" s="1357">
        <v>49500000</v>
      </c>
      <c r="T366" s="1357">
        <f>+Tabla16[[#This Row],[CDPS A 31 JULIO 2022]]-Tabla16[[#This Row],[CDP]]</f>
        <v>0</v>
      </c>
      <c r="U366" s="1357">
        <v>49500000</v>
      </c>
      <c r="V366" s="1357">
        <v>18000000</v>
      </c>
      <c r="W366" s="1357"/>
    </row>
    <row r="367" spans="1:23" s="1207" customFormat="1" ht="45" hidden="1" customHeight="1" x14ac:dyDescent="0.3">
      <c r="A367" s="1355">
        <v>2022375</v>
      </c>
      <c r="B367" s="1172">
        <v>7658</v>
      </c>
      <c r="C367" s="1356" t="s">
        <v>679</v>
      </c>
      <c r="D367" s="1190" t="s">
        <v>701</v>
      </c>
      <c r="E367" s="1174">
        <v>80111600</v>
      </c>
      <c r="F367" s="1379" t="s">
        <v>1038</v>
      </c>
      <c r="G367" s="1380">
        <v>44562</v>
      </c>
      <c r="H367" s="1380">
        <v>44592</v>
      </c>
      <c r="I367" s="1176">
        <v>12</v>
      </c>
      <c r="J367" s="1176" t="s">
        <v>673</v>
      </c>
      <c r="K367" s="1177" t="s">
        <v>674</v>
      </c>
      <c r="L367" s="1178" t="s">
        <v>675</v>
      </c>
      <c r="M367" s="1179">
        <v>55620000</v>
      </c>
      <c r="N367" s="1376" t="s">
        <v>1024</v>
      </c>
      <c r="O367" s="1174" t="s">
        <v>771</v>
      </c>
      <c r="P367" s="1207" t="s">
        <v>678</v>
      </c>
      <c r="Q367" s="1163"/>
      <c r="R367" s="1357">
        <v>54000000</v>
      </c>
      <c r="S367" s="1357">
        <v>54000000</v>
      </c>
      <c r="T367" s="1357">
        <f>+Tabla16[[#This Row],[CDPS A 31 JULIO 2022]]-Tabla16[[#This Row],[CDP]]</f>
        <v>0</v>
      </c>
      <c r="U367" s="1357">
        <v>54000000</v>
      </c>
      <c r="V367" s="1357">
        <v>19050000</v>
      </c>
      <c r="W367" s="1357"/>
    </row>
    <row r="368" spans="1:23" s="1207" customFormat="1" ht="45" hidden="1" customHeight="1" x14ac:dyDescent="0.3">
      <c r="A368" s="1355">
        <v>2022376</v>
      </c>
      <c r="B368" s="1172">
        <v>7658</v>
      </c>
      <c r="C368" s="1356" t="s">
        <v>679</v>
      </c>
      <c r="D368" s="1190" t="s">
        <v>701</v>
      </c>
      <c r="E368" s="1174">
        <v>80111600</v>
      </c>
      <c r="F368" s="1379" t="s">
        <v>1039</v>
      </c>
      <c r="G368" s="1380">
        <v>44562</v>
      </c>
      <c r="H368" s="1380">
        <v>44592</v>
      </c>
      <c r="I368" s="1176">
        <v>12</v>
      </c>
      <c r="J368" s="1176" t="s">
        <v>673</v>
      </c>
      <c r="K368" s="1177" t="s">
        <v>674</v>
      </c>
      <c r="L368" s="1178" t="s">
        <v>675</v>
      </c>
      <c r="M368" s="1179">
        <v>55620000</v>
      </c>
      <c r="N368" s="1376" t="s">
        <v>1024</v>
      </c>
      <c r="O368" s="1174" t="s">
        <v>771</v>
      </c>
      <c r="P368" s="1207" t="s">
        <v>678</v>
      </c>
      <c r="Q368" s="1163"/>
      <c r="R368" s="1357">
        <v>54000000</v>
      </c>
      <c r="S368" s="1357">
        <v>54000000</v>
      </c>
      <c r="T368" s="1357">
        <f>+Tabla16[[#This Row],[CDPS A 31 JULIO 2022]]-Tabla16[[#This Row],[CDP]]</f>
        <v>0</v>
      </c>
      <c r="U368" s="1357">
        <v>54000000</v>
      </c>
      <c r="V368" s="1357">
        <v>18750000</v>
      </c>
      <c r="W368" s="1357"/>
    </row>
    <row r="369" spans="1:23" s="1207" customFormat="1" ht="45" hidden="1" customHeight="1" x14ac:dyDescent="0.3">
      <c r="A369" s="1355">
        <v>2022377</v>
      </c>
      <c r="B369" s="1172">
        <v>7658</v>
      </c>
      <c r="C369" s="1356" t="s">
        <v>679</v>
      </c>
      <c r="D369" s="1190" t="s">
        <v>701</v>
      </c>
      <c r="E369" s="1174">
        <v>80111600</v>
      </c>
      <c r="F369" s="1379" t="s">
        <v>1040</v>
      </c>
      <c r="G369" s="1380">
        <v>44562</v>
      </c>
      <c r="H369" s="1380">
        <v>44592</v>
      </c>
      <c r="I369" s="1176">
        <v>12</v>
      </c>
      <c r="J369" s="1176" t="s">
        <v>673</v>
      </c>
      <c r="K369" s="1177" t="s">
        <v>674</v>
      </c>
      <c r="L369" s="1178" t="s">
        <v>675</v>
      </c>
      <c r="M369" s="1179">
        <v>55620000</v>
      </c>
      <c r="N369" s="1376" t="s">
        <v>1024</v>
      </c>
      <c r="O369" s="1174" t="s">
        <v>771</v>
      </c>
      <c r="P369" s="1207" t="s">
        <v>678</v>
      </c>
      <c r="Q369" s="1163"/>
      <c r="R369" s="1357">
        <v>54000000</v>
      </c>
      <c r="S369" s="1357">
        <v>54000000</v>
      </c>
      <c r="T369" s="1357">
        <f>+Tabla16[[#This Row],[CDPS A 31 JULIO 2022]]-Tabla16[[#This Row],[CDP]]</f>
        <v>0</v>
      </c>
      <c r="U369" s="1357">
        <v>54000000</v>
      </c>
      <c r="V369" s="1357">
        <v>18750000</v>
      </c>
      <c r="W369" s="1357"/>
    </row>
    <row r="370" spans="1:23" s="1207" customFormat="1" ht="45" hidden="1" customHeight="1" x14ac:dyDescent="0.3">
      <c r="A370" s="1355">
        <v>2022378</v>
      </c>
      <c r="B370" s="1172">
        <v>7658</v>
      </c>
      <c r="C370" s="1356" t="s">
        <v>679</v>
      </c>
      <c r="D370" s="1190" t="s">
        <v>701</v>
      </c>
      <c r="E370" s="1174">
        <v>80111600</v>
      </c>
      <c r="F370" s="1379" t="s">
        <v>1041</v>
      </c>
      <c r="G370" s="1380">
        <v>44562</v>
      </c>
      <c r="H370" s="1380">
        <v>44592</v>
      </c>
      <c r="I370" s="1176">
        <v>12</v>
      </c>
      <c r="J370" s="1176" t="s">
        <v>673</v>
      </c>
      <c r="K370" s="1177" t="s">
        <v>674</v>
      </c>
      <c r="L370" s="1178" t="s">
        <v>675</v>
      </c>
      <c r="M370" s="1179">
        <v>55620000</v>
      </c>
      <c r="N370" s="1376" t="s">
        <v>1024</v>
      </c>
      <c r="O370" s="1174" t="s">
        <v>771</v>
      </c>
      <c r="P370" s="1207" t="s">
        <v>678</v>
      </c>
      <c r="Q370" s="1163"/>
      <c r="R370" s="1357">
        <v>54000000</v>
      </c>
      <c r="S370" s="1357">
        <v>54000000</v>
      </c>
      <c r="T370" s="1357">
        <f>+Tabla16[[#This Row],[CDPS A 31 JULIO 2022]]-Tabla16[[#This Row],[CDP]]</f>
        <v>0</v>
      </c>
      <c r="U370" s="1357">
        <v>54000000</v>
      </c>
      <c r="V370" s="1357">
        <v>19050000</v>
      </c>
      <c r="W370" s="1357"/>
    </row>
    <row r="371" spans="1:23" s="1207" customFormat="1" ht="45" hidden="1" customHeight="1" x14ac:dyDescent="0.3">
      <c r="A371" s="1355">
        <v>2022379</v>
      </c>
      <c r="B371" s="1172">
        <v>7658</v>
      </c>
      <c r="C371" s="1356" t="s">
        <v>679</v>
      </c>
      <c r="D371" s="1190" t="s">
        <v>701</v>
      </c>
      <c r="E371" s="1174">
        <v>80111600</v>
      </c>
      <c r="F371" s="1379" t="s">
        <v>1042</v>
      </c>
      <c r="G371" s="1380">
        <v>44562</v>
      </c>
      <c r="H371" s="1380">
        <v>44592</v>
      </c>
      <c r="I371" s="1176">
        <v>11</v>
      </c>
      <c r="J371" s="1176" t="s">
        <v>673</v>
      </c>
      <c r="K371" s="1177" t="s">
        <v>674</v>
      </c>
      <c r="L371" s="1178" t="s">
        <v>675</v>
      </c>
      <c r="M371" s="1179">
        <v>50985000</v>
      </c>
      <c r="N371" s="1376" t="s">
        <v>1024</v>
      </c>
      <c r="O371" s="1174" t="s">
        <v>771</v>
      </c>
      <c r="P371" s="1207" t="s">
        <v>678</v>
      </c>
      <c r="Q371" s="1163"/>
      <c r="R371" s="1357">
        <v>49500000</v>
      </c>
      <c r="S371" s="1357">
        <v>49500000</v>
      </c>
      <c r="T371" s="1357">
        <f>+Tabla16[[#This Row],[CDPS A 31 JULIO 2022]]-Tabla16[[#This Row],[CDP]]</f>
        <v>0</v>
      </c>
      <c r="U371" s="1357">
        <v>49500000</v>
      </c>
      <c r="V371" s="1357">
        <v>18750000</v>
      </c>
      <c r="W371" s="1357"/>
    </row>
    <row r="372" spans="1:23" s="1207" customFormat="1" ht="45" hidden="1" customHeight="1" x14ac:dyDescent="0.3">
      <c r="A372" s="1355">
        <v>2022380</v>
      </c>
      <c r="B372" s="1172">
        <v>7658</v>
      </c>
      <c r="C372" s="1356" t="s">
        <v>679</v>
      </c>
      <c r="D372" s="1190" t="s">
        <v>701</v>
      </c>
      <c r="E372" s="1174">
        <v>80111600</v>
      </c>
      <c r="F372" s="1379" t="s">
        <v>1043</v>
      </c>
      <c r="G372" s="1380">
        <v>44562</v>
      </c>
      <c r="H372" s="1380">
        <v>44592</v>
      </c>
      <c r="I372" s="1176">
        <v>11</v>
      </c>
      <c r="J372" s="1176" t="s">
        <v>673</v>
      </c>
      <c r="K372" s="1177" t="s">
        <v>674</v>
      </c>
      <c r="L372" s="1178" t="s">
        <v>675</v>
      </c>
      <c r="M372" s="1179">
        <v>50985000</v>
      </c>
      <c r="N372" s="1376" t="s">
        <v>1024</v>
      </c>
      <c r="O372" s="1174" t="s">
        <v>771</v>
      </c>
      <c r="P372" s="1207" t="s">
        <v>678</v>
      </c>
      <c r="Q372" s="1163"/>
      <c r="R372" s="1357">
        <v>49500000</v>
      </c>
      <c r="S372" s="1357">
        <v>49500000</v>
      </c>
      <c r="T372" s="1357">
        <f>+Tabla16[[#This Row],[CDPS A 31 JULIO 2022]]-Tabla16[[#This Row],[CDP]]</f>
        <v>0</v>
      </c>
      <c r="U372" s="1357">
        <v>49500000</v>
      </c>
      <c r="V372" s="1357">
        <v>18750000</v>
      </c>
      <c r="W372" s="1357"/>
    </row>
    <row r="373" spans="1:23" s="1207" customFormat="1" ht="45" hidden="1" customHeight="1" x14ac:dyDescent="0.3">
      <c r="A373" s="1355">
        <v>2022381</v>
      </c>
      <c r="B373" s="1172">
        <v>7658</v>
      </c>
      <c r="C373" s="1356" t="s">
        <v>679</v>
      </c>
      <c r="D373" s="1190" t="s">
        <v>701</v>
      </c>
      <c r="E373" s="1174">
        <v>80111600</v>
      </c>
      <c r="F373" s="1379" t="s">
        <v>1044</v>
      </c>
      <c r="G373" s="1380">
        <v>44562</v>
      </c>
      <c r="H373" s="1380">
        <v>44592</v>
      </c>
      <c r="I373" s="1176">
        <v>12</v>
      </c>
      <c r="J373" s="1176" t="s">
        <v>673</v>
      </c>
      <c r="K373" s="1177" t="s">
        <v>674</v>
      </c>
      <c r="L373" s="1178" t="s">
        <v>675</v>
      </c>
      <c r="M373" s="1179">
        <v>84000000</v>
      </c>
      <c r="N373" s="1376" t="s">
        <v>1024</v>
      </c>
      <c r="O373" s="1174" t="s">
        <v>771</v>
      </c>
      <c r="P373" s="1207" t="s">
        <v>678</v>
      </c>
      <c r="Q373" s="1163"/>
      <c r="R373" s="1357">
        <v>81600000</v>
      </c>
      <c r="S373" s="1357">
        <v>81600000</v>
      </c>
      <c r="T373" s="1357">
        <f>+Tabla16[[#This Row],[CDPS A 31 JULIO 2022]]-Tabla16[[#This Row],[CDP]]</f>
        <v>0</v>
      </c>
      <c r="U373" s="1357">
        <v>81600000</v>
      </c>
      <c r="V373" s="1357">
        <v>29920000</v>
      </c>
      <c r="W373" s="1357"/>
    </row>
    <row r="374" spans="1:23" s="1207" customFormat="1" ht="45" hidden="1" customHeight="1" x14ac:dyDescent="0.3">
      <c r="A374" s="1355">
        <v>2022382</v>
      </c>
      <c r="B374" s="1172">
        <v>7658</v>
      </c>
      <c r="C374" s="1356" t="s">
        <v>679</v>
      </c>
      <c r="D374" s="1190" t="s">
        <v>701</v>
      </c>
      <c r="E374" s="1174">
        <v>80111600</v>
      </c>
      <c r="F374" s="1379" t="s">
        <v>1045</v>
      </c>
      <c r="G374" s="1380">
        <v>44562</v>
      </c>
      <c r="H374" s="1380">
        <v>44592</v>
      </c>
      <c r="I374" s="1176">
        <v>12</v>
      </c>
      <c r="J374" s="1176" t="s">
        <v>673</v>
      </c>
      <c r="K374" s="1177" t="s">
        <v>674</v>
      </c>
      <c r="L374" s="1178" t="s">
        <v>675</v>
      </c>
      <c r="M374" s="1179">
        <v>84000000</v>
      </c>
      <c r="N374" s="1376" t="s">
        <v>1024</v>
      </c>
      <c r="O374" s="1174" t="s">
        <v>771</v>
      </c>
      <c r="P374" s="1207" t="s">
        <v>678</v>
      </c>
      <c r="Q374" s="1163"/>
      <c r="R374" s="1357">
        <v>81600000</v>
      </c>
      <c r="S374" s="1357">
        <v>81600000</v>
      </c>
      <c r="T374" s="1357">
        <f>+Tabla16[[#This Row],[CDPS A 31 JULIO 2022]]-Tabla16[[#This Row],[CDP]]</f>
        <v>0</v>
      </c>
      <c r="U374" s="1357">
        <v>81600000</v>
      </c>
      <c r="V374" s="1357">
        <v>28333333</v>
      </c>
      <c r="W374" s="1357"/>
    </row>
    <row r="375" spans="1:23" s="1207" customFormat="1" ht="45" hidden="1" customHeight="1" x14ac:dyDescent="0.3">
      <c r="A375" s="1355">
        <v>2022383</v>
      </c>
      <c r="B375" s="1172">
        <v>7658</v>
      </c>
      <c r="C375" s="1356" t="s">
        <v>679</v>
      </c>
      <c r="D375" s="1190" t="s">
        <v>701</v>
      </c>
      <c r="E375" s="1174">
        <v>80111600</v>
      </c>
      <c r="F375" s="1379" t="s">
        <v>1046</v>
      </c>
      <c r="G375" s="1380">
        <v>44562</v>
      </c>
      <c r="H375" s="1380">
        <v>44592</v>
      </c>
      <c r="I375" s="1176">
        <v>12</v>
      </c>
      <c r="J375" s="1176" t="s">
        <v>673</v>
      </c>
      <c r="K375" s="1177" t="s">
        <v>674</v>
      </c>
      <c r="L375" s="1178" t="s">
        <v>675</v>
      </c>
      <c r="M375" s="1179">
        <v>84000000</v>
      </c>
      <c r="N375" s="1376" t="s">
        <v>1024</v>
      </c>
      <c r="O375" s="1174" t="s">
        <v>771</v>
      </c>
      <c r="P375" s="1207" t="s">
        <v>678</v>
      </c>
      <c r="Q375" s="1163"/>
      <c r="R375" s="1357">
        <v>81600000</v>
      </c>
      <c r="S375" s="1357">
        <v>81600000</v>
      </c>
      <c r="T375" s="1357">
        <f>+Tabla16[[#This Row],[CDPS A 31 JULIO 2022]]-Tabla16[[#This Row],[CDP]]</f>
        <v>0</v>
      </c>
      <c r="U375" s="1357">
        <v>81600000</v>
      </c>
      <c r="V375" s="1357">
        <v>28333333</v>
      </c>
      <c r="W375" s="1357"/>
    </row>
    <row r="376" spans="1:23" s="1207" customFormat="1" ht="45" hidden="1" customHeight="1" x14ac:dyDescent="0.3">
      <c r="A376" s="1355">
        <v>2022384</v>
      </c>
      <c r="B376" s="1172">
        <v>7658</v>
      </c>
      <c r="C376" s="1356" t="s">
        <v>679</v>
      </c>
      <c r="D376" s="1190" t="s">
        <v>701</v>
      </c>
      <c r="E376" s="1174">
        <v>80111600</v>
      </c>
      <c r="F376" s="1379" t="s">
        <v>1047</v>
      </c>
      <c r="G376" s="1380">
        <v>44562</v>
      </c>
      <c r="H376" s="1380">
        <v>44592</v>
      </c>
      <c r="I376" s="1176">
        <v>12</v>
      </c>
      <c r="J376" s="1176" t="s">
        <v>673</v>
      </c>
      <c r="K376" s="1177" t="s">
        <v>674</v>
      </c>
      <c r="L376" s="1178" t="s">
        <v>675</v>
      </c>
      <c r="M376" s="1179">
        <v>84000000</v>
      </c>
      <c r="N376" s="1376" t="s">
        <v>1024</v>
      </c>
      <c r="O376" s="1174" t="s">
        <v>771</v>
      </c>
      <c r="P376" s="1207" t="s">
        <v>678</v>
      </c>
      <c r="Q376" s="1163"/>
      <c r="R376" s="1357">
        <v>27000000</v>
      </c>
      <c r="S376" s="1357">
        <v>27000000</v>
      </c>
      <c r="T376" s="1357">
        <f>+Tabla16[[#This Row],[CDPS A 31 JULIO 2022]]-Tabla16[[#This Row],[CDP]]</f>
        <v>0</v>
      </c>
      <c r="U376" s="1357">
        <v>27000000</v>
      </c>
      <c r="V376" s="1357">
        <v>3750000</v>
      </c>
      <c r="W376" s="1357"/>
    </row>
    <row r="377" spans="1:23" s="1207" customFormat="1" ht="45" hidden="1" customHeight="1" x14ac:dyDescent="0.3">
      <c r="A377" s="1355">
        <v>2022385</v>
      </c>
      <c r="B377" s="1172">
        <v>7658</v>
      </c>
      <c r="C377" s="1356" t="s">
        <v>679</v>
      </c>
      <c r="D377" s="1190" t="s">
        <v>701</v>
      </c>
      <c r="E377" s="1174">
        <v>80111600</v>
      </c>
      <c r="F377" s="1379" t="s">
        <v>1048</v>
      </c>
      <c r="G377" s="1380">
        <v>44562</v>
      </c>
      <c r="H377" s="1380">
        <v>44592</v>
      </c>
      <c r="I377" s="1176">
        <v>12</v>
      </c>
      <c r="J377" s="1176" t="s">
        <v>673</v>
      </c>
      <c r="K377" s="1177" t="s">
        <v>674</v>
      </c>
      <c r="L377" s="1178" t="s">
        <v>675</v>
      </c>
      <c r="M377" s="1179">
        <v>84000000</v>
      </c>
      <c r="N377" s="1376" t="s">
        <v>1024</v>
      </c>
      <c r="O377" s="1174" t="s">
        <v>771</v>
      </c>
      <c r="P377" s="1207" t="s">
        <v>678</v>
      </c>
      <c r="Q377" s="1163"/>
      <c r="R377" s="1357">
        <v>81600000</v>
      </c>
      <c r="S377" s="1357">
        <v>81600000</v>
      </c>
      <c r="T377" s="1357">
        <f>+Tabla16[[#This Row],[CDPS A 31 JULIO 2022]]-Tabla16[[#This Row],[CDP]]</f>
        <v>0</v>
      </c>
      <c r="U377" s="1357">
        <v>81600000</v>
      </c>
      <c r="V377" s="1357">
        <v>28106667</v>
      </c>
      <c r="W377" s="1357"/>
    </row>
    <row r="378" spans="1:23" s="1207" customFormat="1" ht="45" hidden="1" customHeight="1" x14ac:dyDescent="0.3">
      <c r="A378" s="1355">
        <v>2022386</v>
      </c>
      <c r="B378" s="1172">
        <v>7658</v>
      </c>
      <c r="C378" s="1356" t="s">
        <v>679</v>
      </c>
      <c r="D378" s="1190" t="s">
        <v>701</v>
      </c>
      <c r="E378" s="1174">
        <v>80111600</v>
      </c>
      <c r="F378" s="1379" t="s">
        <v>1049</v>
      </c>
      <c r="G378" s="1380">
        <v>44562</v>
      </c>
      <c r="H378" s="1380">
        <v>44592</v>
      </c>
      <c r="I378" s="1176">
        <v>12</v>
      </c>
      <c r="J378" s="1176" t="s">
        <v>673</v>
      </c>
      <c r="K378" s="1177" t="s">
        <v>674</v>
      </c>
      <c r="L378" s="1178" t="s">
        <v>675</v>
      </c>
      <c r="M378" s="1179">
        <v>84000000</v>
      </c>
      <c r="N378" s="1376" t="s">
        <v>1024</v>
      </c>
      <c r="O378" s="1174" t="s">
        <v>771</v>
      </c>
      <c r="P378" s="1207" t="s">
        <v>678</v>
      </c>
      <c r="Q378" s="1163"/>
      <c r="R378" s="1357">
        <v>81600000</v>
      </c>
      <c r="S378" s="1357">
        <v>81600000</v>
      </c>
      <c r="T378" s="1357">
        <f>+Tabla16[[#This Row],[CDPS A 31 JULIO 2022]]-Tabla16[[#This Row],[CDP]]</f>
        <v>0</v>
      </c>
      <c r="U378" s="1357">
        <v>81600000</v>
      </c>
      <c r="V378" s="1357">
        <v>28333333</v>
      </c>
      <c r="W378" s="1357"/>
    </row>
    <row r="379" spans="1:23" s="1207" customFormat="1" ht="45" hidden="1" customHeight="1" x14ac:dyDescent="0.3">
      <c r="A379" s="1355">
        <v>2022387</v>
      </c>
      <c r="B379" s="1172">
        <v>7658</v>
      </c>
      <c r="C379" s="1356" t="s">
        <v>679</v>
      </c>
      <c r="D379" s="1190" t="s">
        <v>701</v>
      </c>
      <c r="E379" s="1174">
        <v>80111600</v>
      </c>
      <c r="F379" s="1379" t="s">
        <v>1050</v>
      </c>
      <c r="G379" s="1380">
        <v>44562</v>
      </c>
      <c r="H379" s="1380">
        <v>44592</v>
      </c>
      <c r="I379" s="1176">
        <v>12</v>
      </c>
      <c r="J379" s="1176" t="s">
        <v>673</v>
      </c>
      <c r="K379" s="1177" t="s">
        <v>674</v>
      </c>
      <c r="L379" s="1178" t="s">
        <v>675</v>
      </c>
      <c r="M379" s="1179">
        <v>90000000</v>
      </c>
      <c r="N379" s="1376" t="s">
        <v>1024</v>
      </c>
      <c r="O379" s="1174" t="s">
        <v>771</v>
      </c>
      <c r="P379" s="1207" t="s">
        <v>678</v>
      </c>
      <c r="Q379" s="1163"/>
      <c r="R379" s="1357">
        <v>87600000</v>
      </c>
      <c r="S379" s="1357">
        <v>87600000</v>
      </c>
      <c r="T379" s="1357">
        <f>+Tabla16[[#This Row],[CDPS A 31 JULIO 2022]]-Tabla16[[#This Row],[CDP]]</f>
        <v>0</v>
      </c>
      <c r="U379" s="1357">
        <v>87600000</v>
      </c>
      <c r="V379" s="1357">
        <v>29200000</v>
      </c>
      <c r="W379" s="1357"/>
    </row>
    <row r="380" spans="1:23" s="1207" customFormat="1" ht="45" hidden="1" customHeight="1" x14ac:dyDescent="0.3">
      <c r="A380" s="1355">
        <v>2022389</v>
      </c>
      <c r="B380" s="1172">
        <v>7658</v>
      </c>
      <c r="C380" s="1356" t="s">
        <v>679</v>
      </c>
      <c r="D380" s="1190" t="s">
        <v>692</v>
      </c>
      <c r="E380" s="1174" t="s">
        <v>1051</v>
      </c>
      <c r="F380" s="1379" t="s">
        <v>1052</v>
      </c>
      <c r="G380" s="1380">
        <v>44621</v>
      </c>
      <c r="H380" s="1380">
        <v>44682</v>
      </c>
      <c r="I380" s="1176">
        <v>7</v>
      </c>
      <c r="J380" s="1176" t="s">
        <v>645</v>
      </c>
      <c r="K380" s="1177" t="s">
        <v>674</v>
      </c>
      <c r="L380" s="1178" t="s">
        <v>675</v>
      </c>
      <c r="M380" s="1179">
        <f>816036232-66036232</f>
        <v>750000000</v>
      </c>
      <c r="N380" s="1376" t="s">
        <v>768</v>
      </c>
      <c r="O380" s="1174" t="s">
        <v>767</v>
      </c>
      <c r="P380" s="1207" t="s">
        <v>678</v>
      </c>
      <c r="Q380" s="1163"/>
      <c r="R380" s="1357">
        <v>816036232</v>
      </c>
      <c r="S380" s="1357">
        <v>816036232</v>
      </c>
      <c r="T380" s="1357">
        <f>+Tabla16[[#This Row],[CDPS A 31 JULIO 2022]]-Tabla16[[#This Row],[CDP]]</f>
        <v>0</v>
      </c>
      <c r="U380" s="1357">
        <v>683963768</v>
      </c>
      <c r="V380" s="1357"/>
      <c r="W380" s="1357"/>
    </row>
    <row r="381" spans="1:23" s="1207" customFormat="1" ht="45" hidden="1" customHeight="1" x14ac:dyDescent="0.3">
      <c r="A381" s="1355">
        <v>2022390</v>
      </c>
      <c r="B381" s="1172">
        <v>7658</v>
      </c>
      <c r="C381" s="1356" t="s">
        <v>679</v>
      </c>
      <c r="D381" s="1190" t="s">
        <v>692</v>
      </c>
      <c r="E381" s="1174" t="s">
        <v>1051</v>
      </c>
      <c r="F381" s="1379" t="s">
        <v>1053</v>
      </c>
      <c r="G381" s="1380">
        <v>44562</v>
      </c>
      <c r="H381" s="1380">
        <v>44592</v>
      </c>
      <c r="I381" s="1176">
        <v>2</v>
      </c>
      <c r="J381" s="1176" t="s">
        <v>645</v>
      </c>
      <c r="K381" s="1177" t="s">
        <v>674</v>
      </c>
      <c r="L381" s="1178" t="s">
        <v>675</v>
      </c>
      <c r="M381" s="1179">
        <v>183963768</v>
      </c>
      <c r="N381" s="1376" t="s">
        <v>768</v>
      </c>
      <c r="O381" s="1174" t="s">
        <v>767</v>
      </c>
      <c r="P381" s="1207" t="s">
        <v>748</v>
      </c>
      <c r="Q381" s="1163"/>
      <c r="R381" s="1357">
        <v>183963768</v>
      </c>
      <c r="S381" s="1357">
        <v>183963768</v>
      </c>
      <c r="T381" s="1357">
        <f>+Tabla16[[#This Row],[CDPS A 31 JULIO 2022]]-Tabla16[[#This Row],[CDP]]</f>
        <v>0</v>
      </c>
      <c r="U381" s="1357">
        <v>183963768</v>
      </c>
      <c r="V381" s="1357">
        <v>183963768</v>
      </c>
      <c r="W381" s="1357"/>
    </row>
    <row r="382" spans="1:23" s="1207" customFormat="1" ht="45" hidden="1" customHeight="1" x14ac:dyDescent="0.3">
      <c r="A382" s="1355">
        <v>2022391</v>
      </c>
      <c r="B382" s="1172">
        <v>7658</v>
      </c>
      <c r="C382" s="1356" t="s">
        <v>679</v>
      </c>
      <c r="D382" s="1190" t="s">
        <v>692</v>
      </c>
      <c r="E382" s="1174" t="s">
        <v>1054</v>
      </c>
      <c r="F382" s="1379" t="s">
        <v>1055</v>
      </c>
      <c r="G382" s="1380">
        <v>44713</v>
      </c>
      <c r="H382" s="1380">
        <v>44803</v>
      </c>
      <c r="I382" s="1176">
        <v>4</v>
      </c>
      <c r="J382" s="1176" t="s">
        <v>645</v>
      </c>
      <c r="K382" s="1177" t="s">
        <v>770</v>
      </c>
      <c r="L382" s="1178" t="s">
        <v>981</v>
      </c>
      <c r="M382" s="1179">
        <f>617440000-450000000</f>
        <v>167440000</v>
      </c>
      <c r="N382" s="1376" t="s">
        <v>768</v>
      </c>
      <c r="O382" s="1174" t="s">
        <v>767</v>
      </c>
      <c r="P382" s="1207" t="s">
        <v>678</v>
      </c>
      <c r="Q382" s="1163"/>
      <c r="R382" s="1269">
        <v>0</v>
      </c>
      <c r="S382" s="1357"/>
      <c r="T382" s="1357">
        <f>+Tabla16[[#This Row],[CDPS A 31 JULIO 2022]]-Tabla16[[#This Row],[CDP]]</f>
        <v>0</v>
      </c>
      <c r="U382" s="1357"/>
      <c r="V382" s="1357"/>
      <c r="W382" s="1357"/>
    </row>
    <row r="383" spans="1:23" s="1207" customFormat="1" ht="45" hidden="1" customHeight="1" x14ac:dyDescent="0.3">
      <c r="A383" s="1355">
        <v>2022392</v>
      </c>
      <c r="B383" s="1172">
        <v>7658</v>
      </c>
      <c r="C383" s="1356" t="s">
        <v>679</v>
      </c>
      <c r="D383" s="1190" t="s">
        <v>692</v>
      </c>
      <c r="E383" s="1174" t="s">
        <v>1056</v>
      </c>
      <c r="F383" s="1379" t="s">
        <v>1057</v>
      </c>
      <c r="G383" s="1380">
        <v>44687</v>
      </c>
      <c r="H383" s="1380">
        <v>44742</v>
      </c>
      <c r="I383" s="1176">
        <v>6</v>
      </c>
      <c r="J383" s="1176" t="s">
        <v>696</v>
      </c>
      <c r="K383" s="1177" t="s">
        <v>674</v>
      </c>
      <c r="L383" s="1178" t="s">
        <v>675</v>
      </c>
      <c r="M383" s="1179">
        <f>300000000-180000000-2307582</f>
        <v>117692418</v>
      </c>
      <c r="N383" s="1376" t="s">
        <v>768</v>
      </c>
      <c r="O383" s="1174" t="s">
        <v>767</v>
      </c>
      <c r="P383" s="1207" t="s">
        <v>678</v>
      </c>
      <c r="Q383" s="1163" t="s">
        <v>1058</v>
      </c>
      <c r="R383" s="1357">
        <v>120000000</v>
      </c>
      <c r="S383" s="1357">
        <v>120000000</v>
      </c>
      <c r="T383" s="1357">
        <f>+Tabla16[[#This Row],[CDPS A 31 JULIO 2022]]-Tabla16[[#This Row],[CDP]]</f>
        <v>0</v>
      </c>
      <c r="U383" s="1357"/>
      <c r="V383" s="1357"/>
      <c r="W383" s="1357"/>
    </row>
    <row r="384" spans="1:23" s="1207" customFormat="1" ht="45" hidden="1" customHeight="1" x14ac:dyDescent="0.3">
      <c r="A384" s="1355">
        <v>2022393</v>
      </c>
      <c r="B384" s="1172">
        <v>7658</v>
      </c>
      <c r="C384" s="1356" t="s">
        <v>679</v>
      </c>
      <c r="D384" s="1190" t="s">
        <v>692</v>
      </c>
      <c r="E384" s="1174" t="s">
        <v>1059</v>
      </c>
      <c r="F384" s="1379" t="s">
        <v>1060</v>
      </c>
      <c r="G384" s="1380">
        <v>44687</v>
      </c>
      <c r="H384" s="1380">
        <v>44743</v>
      </c>
      <c r="I384" s="1176">
        <v>5</v>
      </c>
      <c r="J384" s="1176" t="s">
        <v>687</v>
      </c>
      <c r="K384" s="1177" t="s">
        <v>674</v>
      </c>
      <c r="L384" s="1178" t="s">
        <v>675</v>
      </c>
      <c r="M384" s="1179">
        <f>200000000+180000000+70000000</f>
        <v>450000000</v>
      </c>
      <c r="N384" s="1376" t="s">
        <v>768</v>
      </c>
      <c r="O384" s="1174" t="s">
        <v>767</v>
      </c>
      <c r="P384" s="1207" t="s">
        <v>678</v>
      </c>
      <c r="Q384" s="1163"/>
      <c r="R384" s="1357">
        <v>450000000</v>
      </c>
      <c r="S384" s="1357">
        <v>380000000</v>
      </c>
      <c r="T384" s="1357">
        <f>+Tabla16[[#This Row],[CDPS A 31 JULIO 2022]]-Tabla16[[#This Row],[CDP]]</f>
        <v>70000000</v>
      </c>
      <c r="U384" s="1357"/>
      <c r="V384" s="1357"/>
      <c r="W384" s="1357"/>
    </row>
    <row r="385" spans="1:16378" ht="45" hidden="1" customHeight="1" x14ac:dyDescent="0.3">
      <c r="A385" s="1355">
        <v>2022394</v>
      </c>
      <c r="B385" s="1172">
        <v>7658</v>
      </c>
      <c r="C385" s="1356" t="s">
        <v>679</v>
      </c>
      <c r="D385" s="1190" t="s">
        <v>692</v>
      </c>
      <c r="E385" s="1174" t="s">
        <v>1061</v>
      </c>
      <c r="F385" s="1379" t="s">
        <v>1062</v>
      </c>
      <c r="G385" s="1377">
        <v>44713</v>
      </c>
      <c r="H385" s="1377">
        <v>44803</v>
      </c>
      <c r="I385" s="1176">
        <v>4</v>
      </c>
      <c r="J385" s="1176" t="s">
        <v>687</v>
      </c>
      <c r="K385" s="1177" t="s">
        <v>674</v>
      </c>
      <c r="L385" s="1178" t="s">
        <v>675</v>
      </c>
      <c r="M385" s="1179">
        <f>150000000-76286376-3700000-19395017-10000000</f>
        <v>40618607</v>
      </c>
      <c r="N385" s="1376" t="s">
        <v>768</v>
      </c>
      <c r="O385" s="1174" t="s">
        <v>767</v>
      </c>
      <c r="P385" s="1207" t="s">
        <v>678</v>
      </c>
      <c r="Q385" s="1163"/>
      <c r="R385" s="1269">
        <v>0</v>
      </c>
      <c r="S385" s="1357"/>
      <c r="T385" s="1357">
        <f>+Tabla16[[#This Row],[CDPS A 31 JULIO 2022]]-Tabla16[[#This Row],[CDP]]</f>
        <v>0</v>
      </c>
      <c r="U385" s="1357"/>
      <c r="V385" s="1357"/>
      <c r="W385" s="1357"/>
      <c r="X385" s="1207"/>
      <c r="Y385" s="1207"/>
      <c r="Z385" s="1207"/>
      <c r="AA385" s="1207"/>
      <c r="AB385" s="1207"/>
      <c r="AC385" s="1207"/>
      <c r="AD385" s="1207"/>
      <c r="AE385" s="1207"/>
      <c r="AF385" s="1207"/>
      <c r="AG385" s="1207"/>
      <c r="AH385" s="1207"/>
      <c r="AI385" s="1207"/>
      <c r="AJ385" s="1207"/>
      <c r="AK385" s="1207"/>
      <c r="AL385" s="1207"/>
      <c r="AM385" s="1207"/>
      <c r="AN385" s="1207"/>
      <c r="AO385" s="1207"/>
      <c r="AP385" s="1207"/>
      <c r="AQ385" s="1207"/>
      <c r="AR385" s="1207"/>
      <c r="AS385" s="1207"/>
      <c r="AT385" s="1207"/>
      <c r="AU385" s="1207"/>
      <c r="AV385" s="1207"/>
      <c r="AW385" s="1207"/>
      <c r="AX385" s="1207"/>
      <c r="AY385" s="1207"/>
      <c r="AZ385" s="1207"/>
      <c r="BA385" s="1207"/>
      <c r="BB385" s="1207"/>
      <c r="BC385" s="1207"/>
      <c r="BD385" s="1207"/>
      <c r="BE385" s="1207"/>
      <c r="BF385" s="1207"/>
      <c r="BG385" s="1207"/>
      <c r="BH385" s="1207"/>
      <c r="BI385" s="1207"/>
      <c r="BJ385" s="1207"/>
      <c r="BK385" s="1207"/>
      <c r="BL385" s="1207"/>
      <c r="BM385" s="1207"/>
      <c r="BN385" s="1207"/>
      <c r="BO385" s="1207"/>
      <c r="BP385" s="1207"/>
      <c r="BQ385" s="1207"/>
      <c r="BR385" s="1207"/>
      <c r="BS385" s="1207"/>
      <c r="BT385" s="1207"/>
      <c r="BU385" s="1207"/>
      <c r="BV385" s="1207"/>
      <c r="BW385" s="1207"/>
      <c r="BX385" s="1207"/>
      <c r="BY385" s="1207"/>
      <c r="BZ385" s="1207"/>
      <c r="CA385" s="1207"/>
      <c r="CB385" s="1207"/>
      <c r="CC385" s="1207"/>
      <c r="CD385" s="1207"/>
      <c r="CE385" s="1207"/>
      <c r="CF385" s="1207"/>
    </row>
    <row r="386" spans="1:16378" ht="45" hidden="1" customHeight="1" x14ac:dyDescent="0.3">
      <c r="A386" s="1355">
        <v>2022398</v>
      </c>
      <c r="B386" s="1172">
        <v>7658</v>
      </c>
      <c r="C386" s="1356" t="s">
        <v>679</v>
      </c>
      <c r="D386" s="1190" t="s">
        <v>692</v>
      </c>
      <c r="E386" s="1174" t="s">
        <v>1063</v>
      </c>
      <c r="F386" s="1379" t="s">
        <v>1064</v>
      </c>
      <c r="G386" s="1377">
        <v>44682</v>
      </c>
      <c r="H386" s="1377">
        <v>44713</v>
      </c>
      <c r="I386" s="1176">
        <v>7</v>
      </c>
      <c r="J386" s="1176" t="s">
        <v>699</v>
      </c>
      <c r="K386" s="1177" t="s">
        <v>674</v>
      </c>
      <c r="L386" s="1178" t="s">
        <v>675</v>
      </c>
      <c r="M386" s="1179">
        <f>10000000-10000000+10000000</f>
        <v>10000000</v>
      </c>
      <c r="N386" s="1376" t="s">
        <v>768</v>
      </c>
      <c r="O386" s="1174" t="s">
        <v>767</v>
      </c>
      <c r="P386" s="1207" t="s">
        <v>678</v>
      </c>
      <c r="Q386" s="1163"/>
      <c r="R386" s="1357"/>
      <c r="S386" s="1357"/>
      <c r="T386" s="1357">
        <f>+Tabla16[[#This Row],[CDPS A 31 JULIO 2022]]-Tabla16[[#This Row],[CDP]]</f>
        <v>0</v>
      </c>
      <c r="U386" s="1357"/>
      <c r="V386" s="1357"/>
      <c r="W386" s="1357"/>
      <c r="X386" s="1207"/>
      <c r="Y386" s="1207"/>
      <c r="Z386" s="1207"/>
      <c r="AA386" s="1207"/>
      <c r="AB386" s="1207"/>
      <c r="AC386" s="1207"/>
      <c r="AD386" s="1207"/>
      <c r="AE386" s="1207"/>
      <c r="AF386" s="1207"/>
      <c r="AG386" s="1207"/>
      <c r="AH386" s="1207"/>
      <c r="AI386" s="1207"/>
      <c r="AJ386" s="1207"/>
      <c r="AK386" s="1207"/>
      <c r="AL386" s="1207"/>
      <c r="AM386" s="1207"/>
      <c r="AN386" s="1207"/>
      <c r="AO386" s="1207"/>
      <c r="AP386" s="1207"/>
      <c r="AQ386" s="1207"/>
      <c r="AR386" s="1207"/>
      <c r="AS386" s="1207"/>
      <c r="AT386" s="1207"/>
      <c r="AU386" s="1207"/>
      <c r="AV386" s="1207"/>
      <c r="AW386" s="1207"/>
      <c r="AX386" s="1207"/>
      <c r="AY386" s="1207"/>
      <c r="AZ386" s="1207"/>
      <c r="BA386" s="1207"/>
      <c r="BB386" s="1207"/>
      <c r="BC386" s="1207"/>
      <c r="BD386" s="1207"/>
      <c r="BE386" s="1207"/>
      <c r="BF386" s="1207"/>
      <c r="BG386" s="1207"/>
      <c r="BH386" s="1207"/>
      <c r="BI386" s="1207"/>
      <c r="BJ386" s="1207"/>
      <c r="BK386" s="1207"/>
      <c r="BL386" s="1207"/>
      <c r="BM386" s="1207"/>
      <c r="BN386" s="1207"/>
      <c r="BO386" s="1207"/>
      <c r="BP386" s="1207"/>
      <c r="BQ386" s="1207"/>
      <c r="BR386" s="1207"/>
      <c r="BS386" s="1207"/>
      <c r="BT386" s="1207"/>
      <c r="BU386" s="1207"/>
      <c r="BV386" s="1207"/>
      <c r="BW386" s="1207"/>
      <c r="BX386" s="1207"/>
      <c r="BY386" s="1207"/>
      <c r="BZ386" s="1207"/>
      <c r="CA386" s="1207"/>
      <c r="CB386" s="1207"/>
      <c r="CC386" s="1207"/>
      <c r="CD386" s="1207"/>
      <c r="CE386" s="1207"/>
      <c r="CF386" s="1207"/>
    </row>
    <row r="387" spans="1:16378" ht="45" hidden="1" customHeight="1" x14ac:dyDescent="0.3">
      <c r="A387" s="1355">
        <v>2022399</v>
      </c>
      <c r="B387" s="1172">
        <v>7658</v>
      </c>
      <c r="C387" s="1356" t="s">
        <v>679</v>
      </c>
      <c r="D387" s="1190" t="s">
        <v>692</v>
      </c>
      <c r="E387" s="1174" t="s">
        <v>1065</v>
      </c>
      <c r="F387" s="1379" t="s">
        <v>1066</v>
      </c>
      <c r="G387" s="1377">
        <v>44753</v>
      </c>
      <c r="H387" s="1377">
        <v>44774</v>
      </c>
      <c r="I387" s="1176">
        <v>1</v>
      </c>
      <c r="J387" s="1176" t="s">
        <v>699</v>
      </c>
      <c r="K387" s="1177" t="s">
        <v>674</v>
      </c>
      <c r="L387" s="1178" t="s">
        <v>675</v>
      </c>
      <c r="M387" s="1179">
        <f>20000000-20000000+19395017</f>
        <v>19395017</v>
      </c>
      <c r="N387" s="1376" t="s">
        <v>768</v>
      </c>
      <c r="O387" s="1174" t="s">
        <v>767</v>
      </c>
      <c r="P387" s="1207" t="s">
        <v>678</v>
      </c>
      <c r="Q387" s="1207"/>
      <c r="R387" s="1207"/>
      <c r="S387" s="1207"/>
      <c r="T387" s="1207"/>
      <c r="U387" s="1207"/>
      <c r="V387" s="1207"/>
      <c r="W387" s="1207"/>
      <c r="CG387" s="1317"/>
      <c r="CH387" s="1317"/>
      <c r="CI387" s="1317"/>
      <c r="CJ387" s="1317"/>
      <c r="CK387" s="1317"/>
      <c r="CL387" s="1317"/>
      <c r="CM387" s="1317"/>
      <c r="CN387" s="1317"/>
      <c r="CO387" s="1317"/>
      <c r="CP387" s="1317"/>
      <c r="CQ387" s="1317"/>
      <c r="CR387" s="1317"/>
      <c r="CS387" s="1317"/>
      <c r="CT387" s="1317"/>
      <c r="CU387" s="1317"/>
      <c r="CV387" s="1317"/>
      <c r="CW387" s="1317"/>
      <c r="CX387" s="1317"/>
      <c r="CY387" s="1317"/>
      <c r="CZ387" s="1317"/>
      <c r="DA387" s="1317"/>
      <c r="DB387" s="1317"/>
      <c r="DC387" s="1317"/>
      <c r="DD387" s="1317"/>
      <c r="DE387" s="1317"/>
      <c r="DF387" s="1317"/>
      <c r="DG387" s="1317"/>
      <c r="DH387" s="1317"/>
      <c r="DI387" s="1317"/>
      <c r="DJ387" s="1317"/>
      <c r="DK387" s="1317"/>
      <c r="DL387" s="1317"/>
      <c r="DM387" s="1317"/>
      <c r="DN387" s="1317"/>
      <c r="DO387" s="1317"/>
      <c r="DP387" s="1317"/>
      <c r="DQ387" s="1317"/>
      <c r="DR387" s="1317"/>
      <c r="DS387" s="1317"/>
      <c r="DT387" s="1317"/>
      <c r="DU387" s="1317"/>
      <c r="DV387" s="1317"/>
      <c r="DW387" s="1317"/>
      <c r="DX387" s="1317"/>
      <c r="DY387" s="1317"/>
      <c r="DZ387" s="1317"/>
      <c r="EA387" s="1317"/>
      <c r="EB387" s="1317"/>
      <c r="EC387" s="1317"/>
      <c r="ED387" s="1317"/>
      <c r="EE387" s="1317"/>
      <c r="EF387" s="1317"/>
      <c r="EG387" s="1317"/>
      <c r="EH387" s="1317"/>
      <c r="EI387" s="1317"/>
      <c r="EJ387" s="1317"/>
      <c r="EK387" s="1317"/>
      <c r="EL387" s="1317"/>
      <c r="EM387" s="1317"/>
      <c r="EN387" s="1317"/>
      <c r="EO387" s="1317"/>
      <c r="EP387" s="1317"/>
      <c r="EQ387" s="1317"/>
      <c r="ER387" s="1317"/>
      <c r="ES387" s="1317"/>
      <c r="ET387" s="1317"/>
      <c r="EU387" s="1317"/>
      <c r="EV387" s="1317"/>
      <c r="EW387" s="1317"/>
      <c r="EX387" s="1317"/>
      <c r="EY387" s="1317"/>
      <c r="EZ387" s="1317"/>
      <c r="FA387" s="1317"/>
      <c r="FB387" s="1317"/>
      <c r="FC387" s="1317"/>
      <c r="FD387" s="1317"/>
      <c r="FE387" s="1317"/>
      <c r="FF387" s="1317"/>
      <c r="FG387" s="1317"/>
      <c r="FH387" s="1317"/>
      <c r="FI387" s="1317"/>
      <c r="FJ387" s="1317"/>
      <c r="FK387" s="1317"/>
      <c r="FL387" s="1317"/>
      <c r="FM387" s="1317"/>
      <c r="FN387" s="1317"/>
      <c r="FO387" s="1317"/>
      <c r="FP387" s="1317"/>
      <c r="FQ387" s="1317"/>
      <c r="FR387" s="1317"/>
      <c r="FS387" s="1317"/>
      <c r="FT387" s="1317"/>
      <c r="FU387" s="1317"/>
      <c r="FV387" s="1317"/>
      <c r="FW387" s="1317"/>
      <c r="FX387" s="1317"/>
      <c r="FY387" s="1317"/>
      <c r="FZ387" s="1317"/>
      <c r="GA387" s="1317"/>
      <c r="GB387" s="1317"/>
      <c r="GC387" s="1317"/>
      <c r="GD387" s="1317"/>
      <c r="GE387" s="1317"/>
      <c r="GF387" s="1317"/>
      <c r="GG387" s="1317"/>
      <c r="GH387" s="1317"/>
      <c r="GI387" s="1317"/>
      <c r="GJ387" s="1317"/>
      <c r="GK387" s="1317"/>
      <c r="GL387" s="1317"/>
      <c r="GM387" s="1317"/>
      <c r="GN387" s="1317"/>
      <c r="GO387" s="1317"/>
      <c r="GP387" s="1317"/>
      <c r="GQ387" s="1317"/>
      <c r="GR387" s="1317"/>
      <c r="GS387" s="1317"/>
      <c r="GT387" s="1317"/>
      <c r="GU387" s="1317"/>
      <c r="GV387" s="1317"/>
      <c r="GW387" s="1317"/>
      <c r="GX387" s="1317"/>
      <c r="GY387" s="1317"/>
      <c r="GZ387" s="1317"/>
      <c r="HA387" s="1317"/>
      <c r="HB387" s="1317"/>
      <c r="HC387" s="1317"/>
      <c r="HD387" s="1317"/>
      <c r="HE387" s="1317"/>
      <c r="HF387" s="1317"/>
      <c r="HG387" s="1317"/>
      <c r="HH387" s="1317"/>
      <c r="HI387" s="1317"/>
      <c r="HJ387" s="1317"/>
      <c r="HK387" s="1317"/>
      <c r="HL387" s="1317"/>
      <c r="HM387" s="1317"/>
      <c r="HN387" s="1317"/>
      <c r="HO387" s="1317"/>
      <c r="HP387" s="1317"/>
      <c r="HQ387" s="1317"/>
      <c r="HR387" s="1317"/>
      <c r="HS387" s="1317"/>
      <c r="HT387" s="1317"/>
      <c r="HU387" s="1317"/>
      <c r="HV387" s="1317"/>
      <c r="HW387" s="1317"/>
      <c r="HX387" s="1317"/>
      <c r="HY387" s="1317"/>
      <c r="HZ387" s="1317"/>
      <c r="IA387" s="1317"/>
      <c r="IB387" s="1317"/>
      <c r="IC387" s="1317"/>
      <c r="ID387" s="1317"/>
      <c r="IE387" s="1317"/>
      <c r="IF387" s="1317"/>
      <c r="IG387" s="1317"/>
      <c r="IH387" s="1317"/>
      <c r="II387" s="1317"/>
      <c r="IJ387" s="1317"/>
      <c r="IK387" s="1317"/>
      <c r="IL387" s="1317"/>
      <c r="IM387" s="1317"/>
      <c r="IN387" s="1317"/>
      <c r="IO387" s="1317"/>
      <c r="IP387" s="1317"/>
      <c r="IQ387" s="1317"/>
      <c r="IR387" s="1317"/>
      <c r="IS387" s="1317"/>
      <c r="IT387" s="1317"/>
      <c r="IU387" s="1317"/>
      <c r="IV387" s="1317"/>
      <c r="IW387" s="1317"/>
      <c r="IX387" s="1317"/>
      <c r="IY387" s="1317"/>
      <c r="IZ387" s="1317"/>
      <c r="JA387" s="1317"/>
      <c r="JB387" s="1317"/>
      <c r="JC387" s="1317"/>
      <c r="JD387" s="1317"/>
      <c r="JE387" s="1317"/>
      <c r="JF387" s="1317"/>
      <c r="JG387" s="1317"/>
      <c r="JH387" s="1317"/>
      <c r="JI387" s="1317"/>
      <c r="JJ387" s="1317"/>
      <c r="JK387" s="1317"/>
      <c r="JL387" s="1317"/>
      <c r="JM387" s="1317"/>
      <c r="JN387" s="1317"/>
      <c r="JO387" s="1317"/>
      <c r="JP387" s="1317"/>
      <c r="JQ387" s="1317"/>
      <c r="JR387" s="1317"/>
      <c r="JS387" s="1317"/>
      <c r="JT387" s="1317"/>
      <c r="JU387" s="1317"/>
      <c r="JV387" s="1317"/>
      <c r="JW387" s="1317"/>
      <c r="JX387" s="1317"/>
      <c r="JY387" s="1317"/>
      <c r="JZ387" s="1317"/>
      <c r="KA387" s="1317"/>
      <c r="KB387" s="1317"/>
      <c r="KC387" s="1317"/>
      <c r="KD387" s="1317"/>
      <c r="KE387" s="1317"/>
      <c r="KF387" s="1317"/>
      <c r="KG387" s="1317"/>
      <c r="KH387" s="1317"/>
      <c r="KI387" s="1317"/>
      <c r="KJ387" s="1317"/>
      <c r="KK387" s="1317"/>
      <c r="KL387" s="1317"/>
      <c r="KM387" s="1317"/>
      <c r="KN387" s="1317"/>
      <c r="KO387" s="1317"/>
      <c r="KP387" s="1317"/>
      <c r="KQ387" s="1317"/>
      <c r="KR387" s="1317"/>
      <c r="KS387" s="1317"/>
      <c r="KT387" s="1317"/>
      <c r="KU387" s="1317"/>
      <c r="KV387" s="1317"/>
      <c r="KW387" s="1317"/>
      <c r="KX387" s="1317"/>
      <c r="KY387" s="1317"/>
      <c r="KZ387" s="1317"/>
      <c r="LA387" s="1317"/>
      <c r="LB387" s="1317"/>
      <c r="LC387" s="1317"/>
      <c r="LD387" s="1317"/>
      <c r="LE387" s="1317"/>
      <c r="LF387" s="1317"/>
      <c r="LG387" s="1317"/>
      <c r="LH387" s="1317"/>
      <c r="LI387" s="1317"/>
      <c r="LJ387" s="1317"/>
      <c r="LK387" s="1317"/>
      <c r="LL387" s="1317"/>
      <c r="LM387" s="1317"/>
      <c r="LN387" s="1317"/>
      <c r="LO387" s="1317"/>
      <c r="LP387" s="1317"/>
      <c r="LQ387" s="1317"/>
      <c r="LR387" s="1317"/>
      <c r="LS387" s="1317"/>
      <c r="LT387" s="1317"/>
      <c r="LU387" s="1317"/>
      <c r="LV387" s="1317"/>
      <c r="LW387" s="1317"/>
      <c r="LX387" s="1317"/>
      <c r="LY387" s="1317"/>
      <c r="LZ387" s="1317"/>
      <c r="MA387" s="1317"/>
      <c r="MB387" s="1317"/>
      <c r="MC387" s="1317"/>
      <c r="MD387" s="1317"/>
      <c r="ME387" s="1317"/>
      <c r="MF387" s="1317"/>
      <c r="MG387" s="1317"/>
      <c r="MH387" s="1317"/>
      <c r="MI387" s="1317"/>
      <c r="MJ387" s="1317"/>
      <c r="MK387" s="1317"/>
      <c r="ML387" s="1317"/>
      <c r="MM387" s="1317"/>
      <c r="MN387" s="1317"/>
      <c r="MO387" s="1317"/>
      <c r="MP387" s="1317"/>
      <c r="MQ387" s="1317"/>
      <c r="MR387" s="1317"/>
      <c r="MS387" s="1317"/>
      <c r="MT387" s="1317"/>
      <c r="MU387" s="1317"/>
      <c r="MV387" s="1317"/>
      <c r="MW387" s="1317"/>
      <c r="MX387" s="1317"/>
      <c r="MY387" s="1317"/>
      <c r="MZ387" s="1317"/>
      <c r="NA387" s="1317"/>
      <c r="NB387" s="1317"/>
      <c r="NC387" s="1317"/>
      <c r="ND387" s="1317"/>
      <c r="NE387" s="1317"/>
      <c r="NF387" s="1317"/>
      <c r="NG387" s="1317"/>
      <c r="NH387" s="1317"/>
      <c r="NI387" s="1317"/>
      <c r="NJ387" s="1317"/>
      <c r="NK387" s="1317"/>
      <c r="NL387" s="1317"/>
      <c r="NM387" s="1317"/>
      <c r="NN387" s="1317"/>
      <c r="NO387" s="1317"/>
      <c r="NP387" s="1317"/>
      <c r="NQ387" s="1317"/>
      <c r="NR387" s="1317"/>
      <c r="NS387" s="1317"/>
      <c r="NT387" s="1317"/>
      <c r="NU387" s="1317"/>
      <c r="NV387" s="1317"/>
      <c r="NW387" s="1317"/>
      <c r="NX387" s="1317"/>
      <c r="NY387" s="1317"/>
      <c r="NZ387" s="1317"/>
      <c r="OA387" s="1317"/>
      <c r="OB387" s="1317"/>
      <c r="OC387" s="1317"/>
      <c r="OD387" s="1317"/>
      <c r="OE387" s="1317"/>
      <c r="OF387" s="1317"/>
      <c r="OG387" s="1317"/>
      <c r="OH387" s="1317"/>
      <c r="OI387" s="1317"/>
      <c r="OJ387" s="1317"/>
      <c r="OK387" s="1317"/>
      <c r="OL387" s="1317"/>
      <c r="OM387" s="1317"/>
      <c r="ON387" s="1317"/>
      <c r="OO387" s="1317"/>
      <c r="OP387" s="1317"/>
      <c r="OQ387" s="1317"/>
      <c r="OR387" s="1317"/>
      <c r="OS387" s="1317"/>
      <c r="OT387" s="1317"/>
      <c r="OU387" s="1317"/>
      <c r="OV387" s="1317"/>
      <c r="OW387" s="1317"/>
      <c r="OX387" s="1317"/>
      <c r="OY387" s="1317"/>
      <c r="OZ387" s="1317"/>
      <c r="PA387" s="1317"/>
      <c r="PB387" s="1317"/>
      <c r="PC387" s="1317"/>
      <c r="PD387" s="1317"/>
      <c r="PE387" s="1317"/>
      <c r="PF387" s="1317"/>
      <c r="PG387" s="1317"/>
      <c r="PH387" s="1317"/>
      <c r="PI387" s="1317"/>
      <c r="PJ387" s="1317"/>
      <c r="PK387" s="1317"/>
      <c r="PL387" s="1317"/>
      <c r="PM387" s="1317"/>
      <c r="PN387" s="1317"/>
      <c r="PO387" s="1317"/>
      <c r="PP387" s="1317"/>
      <c r="PQ387" s="1317"/>
      <c r="PR387" s="1317"/>
      <c r="PS387" s="1317"/>
      <c r="PT387" s="1317"/>
      <c r="PU387" s="1317"/>
      <c r="PV387" s="1317"/>
      <c r="PW387" s="1317"/>
      <c r="PX387" s="1317"/>
      <c r="PY387" s="1317"/>
      <c r="PZ387" s="1317"/>
      <c r="QA387" s="1317"/>
      <c r="QB387" s="1317"/>
      <c r="QC387" s="1317"/>
      <c r="QD387" s="1317"/>
      <c r="QE387" s="1317"/>
      <c r="QF387" s="1317"/>
      <c r="QG387" s="1317"/>
      <c r="QH387" s="1317"/>
      <c r="QI387" s="1317"/>
      <c r="QJ387" s="1317"/>
      <c r="QK387" s="1317"/>
      <c r="QL387" s="1317"/>
      <c r="QM387" s="1317"/>
      <c r="QN387" s="1317"/>
      <c r="QO387" s="1317"/>
      <c r="QP387" s="1317"/>
      <c r="QQ387" s="1317"/>
      <c r="QR387" s="1317"/>
      <c r="QS387" s="1317"/>
      <c r="QT387" s="1317"/>
      <c r="QU387" s="1317"/>
      <c r="QV387" s="1317"/>
      <c r="QW387" s="1317"/>
      <c r="QX387" s="1317"/>
      <c r="QY387" s="1317"/>
      <c r="QZ387" s="1317"/>
      <c r="RA387" s="1317"/>
      <c r="RB387" s="1317"/>
      <c r="RC387" s="1317"/>
      <c r="RD387" s="1317"/>
      <c r="RE387" s="1317"/>
      <c r="RF387" s="1317"/>
      <c r="RG387" s="1317"/>
      <c r="RH387" s="1317"/>
      <c r="RI387" s="1317"/>
      <c r="RJ387" s="1317"/>
      <c r="RK387" s="1317"/>
      <c r="RL387" s="1317"/>
      <c r="RM387" s="1317"/>
      <c r="RN387" s="1317"/>
      <c r="RO387" s="1317"/>
      <c r="RP387" s="1317"/>
      <c r="RQ387" s="1317"/>
      <c r="RR387" s="1317"/>
      <c r="RS387" s="1317"/>
      <c r="RT387" s="1317"/>
      <c r="RU387" s="1317"/>
      <c r="RV387" s="1317"/>
      <c r="RW387" s="1317"/>
      <c r="RX387" s="1317"/>
      <c r="RY387" s="1317"/>
      <c r="RZ387" s="1317"/>
      <c r="SA387" s="1317"/>
      <c r="SB387" s="1317"/>
      <c r="SC387" s="1317"/>
      <c r="SD387" s="1317"/>
      <c r="SE387" s="1317"/>
      <c r="SF387" s="1317"/>
      <c r="SG387" s="1317"/>
      <c r="SH387" s="1317"/>
      <c r="SI387" s="1317"/>
      <c r="SJ387" s="1317"/>
      <c r="SK387" s="1317"/>
      <c r="SL387" s="1317"/>
      <c r="SM387" s="1317"/>
      <c r="SN387" s="1317"/>
      <c r="SO387" s="1317"/>
      <c r="SP387" s="1317"/>
      <c r="SQ387" s="1317"/>
      <c r="SR387" s="1317"/>
      <c r="SS387" s="1317"/>
      <c r="ST387" s="1317"/>
      <c r="SU387" s="1317"/>
      <c r="SV387" s="1317"/>
      <c r="SW387" s="1317"/>
      <c r="SX387" s="1317"/>
      <c r="SY387" s="1317"/>
      <c r="SZ387" s="1317"/>
      <c r="TA387" s="1317"/>
      <c r="TB387" s="1317"/>
      <c r="TC387" s="1317"/>
      <c r="TD387" s="1317"/>
      <c r="TE387" s="1317"/>
      <c r="TF387" s="1317"/>
      <c r="TG387" s="1317"/>
      <c r="TH387" s="1317"/>
      <c r="TI387" s="1317"/>
      <c r="TJ387" s="1317"/>
      <c r="TK387" s="1317"/>
      <c r="TL387" s="1317"/>
      <c r="TM387" s="1317"/>
      <c r="TN387" s="1317"/>
      <c r="TO387" s="1317"/>
      <c r="TP387" s="1317"/>
      <c r="TQ387" s="1317"/>
      <c r="TR387" s="1317"/>
      <c r="TS387" s="1317"/>
      <c r="TT387" s="1317"/>
      <c r="TU387" s="1317"/>
      <c r="TV387" s="1317"/>
      <c r="TW387" s="1317"/>
      <c r="TX387" s="1317"/>
      <c r="TY387" s="1317"/>
      <c r="TZ387" s="1317"/>
      <c r="UA387" s="1317"/>
      <c r="UB387" s="1317"/>
      <c r="UC387" s="1317"/>
      <c r="UD387" s="1317"/>
      <c r="UE387" s="1317"/>
      <c r="UF387" s="1317"/>
      <c r="UG387" s="1317"/>
      <c r="UH387" s="1317"/>
      <c r="UI387" s="1317"/>
      <c r="UJ387" s="1317"/>
      <c r="UK387" s="1317"/>
      <c r="UL387" s="1317"/>
      <c r="UM387" s="1317"/>
      <c r="UN387" s="1317"/>
      <c r="UO387" s="1317"/>
      <c r="UP387" s="1317"/>
      <c r="UQ387" s="1317"/>
      <c r="UR387" s="1317"/>
      <c r="US387" s="1317"/>
      <c r="UT387" s="1317"/>
      <c r="UU387" s="1317"/>
      <c r="UV387" s="1317"/>
      <c r="UW387" s="1317"/>
      <c r="UX387" s="1317"/>
      <c r="UY387" s="1317"/>
      <c r="UZ387" s="1317"/>
      <c r="VA387" s="1317"/>
      <c r="VB387" s="1317"/>
      <c r="VC387" s="1317"/>
      <c r="VD387" s="1317"/>
      <c r="VE387" s="1317"/>
      <c r="VF387" s="1317"/>
      <c r="VG387" s="1317"/>
      <c r="VH387" s="1317"/>
      <c r="VI387" s="1317"/>
      <c r="VJ387" s="1317"/>
      <c r="VK387" s="1317"/>
      <c r="VL387" s="1317"/>
      <c r="VM387" s="1317"/>
      <c r="VN387" s="1317"/>
      <c r="VO387" s="1317"/>
      <c r="VP387" s="1317"/>
      <c r="VQ387" s="1317"/>
      <c r="VR387" s="1317"/>
      <c r="VS387" s="1317"/>
      <c r="VT387" s="1317"/>
      <c r="VU387" s="1317"/>
      <c r="VV387" s="1317"/>
      <c r="VW387" s="1317"/>
      <c r="VX387" s="1317"/>
      <c r="VY387" s="1317"/>
      <c r="VZ387" s="1317"/>
      <c r="WA387" s="1317"/>
      <c r="WB387" s="1317"/>
      <c r="WC387" s="1317"/>
      <c r="WD387" s="1317"/>
      <c r="WE387" s="1317"/>
      <c r="WF387" s="1317"/>
      <c r="WG387" s="1317"/>
      <c r="WH387" s="1317"/>
      <c r="WI387" s="1317"/>
      <c r="WJ387" s="1317"/>
      <c r="WK387" s="1317"/>
      <c r="WL387" s="1317"/>
      <c r="WM387" s="1317"/>
      <c r="WN387" s="1317"/>
      <c r="WO387" s="1317"/>
      <c r="WP387" s="1317"/>
      <c r="WQ387" s="1317"/>
      <c r="WR387" s="1317"/>
      <c r="WS387" s="1317"/>
      <c r="WT387" s="1317"/>
      <c r="WU387" s="1317"/>
      <c r="WV387" s="1317"/>
      <c r="WW387" s="1317"/>
      <c r="WX387" s="1317"/>
      <c r="WY387" s="1317"/>
      <c r="WZ387" s="1317"/>
      <c r="XA387" s="1317"/>
      <c r="XB387" s="1317"/>
      <c r="XC387" s="1317"/>
      <c r="XD387" s="1317"/>
      <c r="XE387" s="1317"/>
      <c r="XF387" s="1317"/>
      <c r="XG387" s="1317"/>
      <c r="XH387" s="1317"/>
      <c r="XI387" s="1317"/>
      <c r="XJ387" s="1317"/>
      <c r="XK387" s="1317"/>
      <c r="XL387" s="1317"/>
      <c r="XM387" s="1317"/>
      <c r="XN387" s="1317"/>
      <c r="XO387" s="1317"/>
      <c r="XP387" s="1317"/>
      <c r="XQ387" s="1317"/>
      <c r="XR387" s="1317"/>
      <c r="XS387" s="1317"/>
      <c r="XT387" s="1317"/>
      <c r="XU387" s="1317"/>
      <c r="XV387" s="1317"/>
      <c r="XW387" s="1317"/>
      <c r="XX387" s="1317"/>
      <c r="XY387" s="1317"/>
      <c r="XZ387" s="1317"/>
      <c r="YA387" s="1317"/>
      <c r="YB387" s="1317"/>
      <c r="YC387" s="1317"/>
      <c r="YD387" s="1317"/>
      <c r="YE387" s="1317"/>
      <c r="YF387" s="1317"/>
      <c r="YG387" s="1317"/>
      <c r="YH387" s="1317"/>
      <c r="YI387" s="1317"/>
      <c r="YJ387" s="1317"/>
      <c r="YK387" s="1317"/>
      <c r="YL387" s="1317"/>
      <c r="YM387" s="1317"/>
      <c r="YN387" s="1317"/>
      <c r="YO387" s="1317"/>
      <c r="YP387" s="1317"/>
      <c r="YQ387" s="1317"/>
      <c r="YR387" s="1317"/>
      <c r="YS387" s="1317"/>
      <c r="YT387" s="1317"/>
      <c r="YU387" s="1317"/>
      <c r="YV387" s="1317"/>
      <c r="YW387" s="1317"/>
      <c r="YX387" s="1317"/>
      <c r="YY387" s="1317"/>
      <c r="YZ387" s="1317"/>
      <c r="ZA387" s="1317"/>
      <c r="ZB387" s="1317"/>
      <c r="ZC387" s="1317"/>
      <c r="ZD387" s="1317"/>
      <c r="ZE387" s="1317"/>
      <c r="ZF387" s="1317"/>
      <c r="ZG387" s="1317"/>
      <c r="ZH387" s="1317"/>
      <c r="ZI387" s="1317"/>
      <c r="ZJ387" s="1317"/>
      <c r="ZK387" s="1317"/>
      <c r="ZL387" s="1317"/>
      <c r="ZM387" s="1317"/>
      <c r="ZN387" s="1317"/>
      <c r="ZO387" s="1317"/>
      <c r="ZP387" s="1317"/>
      <c r="ZQ387" s="1317"/>
      <c r="ZR387" s="1317"/>
      <c r="ZS387" s="1317"/>
      <c r="ZT387" s="1317"/>
      <c r="ZU387" s="1317"/>
      <c r="ZV387" s="1317"/>
      <c r="ZW387" s="1317"/>
      <c r="ZX387" s="1317"/>
      <c r="ZY387" s="1317"/>
      <c r="ZZ387" s="1317"/>
      <c r="AAA387" s="1317"/>
      <c r="AAB387" s="1317"/>
      <c r="AAC387" s="1317"/>
      <c r="AAD387" s="1317"/>
      <c r="AAE387" s="1317"/>
      <c r="AAF387" s="1317"/>
      <c r="AAG387" s="1317"/>
      <c r="AAH387" s="1317"/>
      <c r="AAI387" s="1317"/>
      <c r="AAJ387" s="1317"/>
      <c r="AAK387" s="1317"/>
      <c r="AAL387" s="1317"/>
      <c r="AAM387" s="1317"/>
      <c r="AAN387" s="1317"/>
      <c r="AAO387" s="1317"/>
      <c r="AAP387" s="1317"/>
      <c r="AAQ387" s="1317"/>
      <c r="AAR387" s="1317"/>
      <c r="AAS387" s="1317"/>
      <c r="AAT387" s="1317"/>
      <c r="AAU387" s="1317"/>
      <c r="AAV387" s="1317"/>
      <c r="AAW387" s="1317"/>
      <c r="AAX387" s="1317"/>
      <c r="AAY387" s="1317"/>
      <c r="AAZ387" s="1317"/>
      <c r="ABA387" s="1317"/>
      <c r="ABB387" s="1317"/>
      <c r="ABC387" s="1317"/>
      <c r="ABD387" s="1317"/>
      <c r="ABE387" s="1317"/>
      <c r="ABF387" s="1317"/>
      <c r="ABG387" s="1317"/>
      <c r="ABH387" s="1317"/>
      <c r="ABI387" s="1317"/>
      <c r="ABJ387" s="1317"/>
      <c r="ABK387" s="1317"/>
      <c r="ABL387" s="1317"/>
      <c r="ABM387" s="1317"/>
      <c r="ABN387" s="1317"/>
      <c r="ABO387" s="1317"/>
      <c r="ABP387" s="1317"/>
      <c r="ABQ387" s="1317"/>
      <c r="ABR387" s="1317"/>
      <c r="ABS387" s="1317"/>
      <c r="ABT387" s="1317"/>
      <c r="ABU387" s="1317"/>
      <c r="ABV387" s="1317"/>
      <c r="ABW387" s="1317"/>
      <c r="ABX387" s="1317"/>
      <c r="ABY387" s="1317"/>
      <c r="ABZ387" s="1317"/>
      <c r="ACA387" s="1317"/>
      <c r="ACB387" s="1317"/>
      <c r="ACC387" s="1317"/>
      <c r="ACD387" s="1317"/>
      <c r="ACE387" s="1317"/>
      <c r="ACF387" s="1317"/>
      <c r="ACG387" s="1317"/>
      <c r="ACH387" s="1317"/>
      <c r="ACI387" s="1317"/>
      <c r="ACJ387" s="1317"/>
      <c r="ACK387" s="1317"/>
      <c r="ACL387" s="1317"/>
      <c r="ACM387" s="1317"/>
      <c r="ACN387" s="1317"/>
      <c r="ACO387" s="1317"/>
      <c r="ACP387" s="1317"/>
      <c r="ACQ387" s="1317"/>
      <c r="ACR387" s="1317"/>
      <c r="ACS387" s="1317"/>
      <c r="ACT387" s="1317"/>
      <c r="ACU387" s="1317"/>
      <c r="ACV387" s="1317"/>
      <c r="ACW387" s="1317"/>
      <c r="ACX387" s="1317"/>
      <c r="ACY387" s="1317"/>
      <c r="ACZ387" s="1317"/>
      <c r="ADA387" s="1317"/>
      <c r="ADB387" s="1317"/>
      <c r="ADC387" s="1317"/>
      <c r="ADD387" s="1317"/>
      <c r="ADE387" s="1317"/>
      <c r="ADF387" s="1317"/>
      <c r="ADG387" s="1317"/>
      <c r="ADH387" s="1317"/>
      <c r="ADI387" s="1317"/>
      <c r="ADJ387" s="1317"/>
      <c r="ADK387" s="1317"/>
      <c r="ADL387" s="1317"/>
      <c r="ADM387" s="1317"/>
      <c r="ADN387" s="1317"/>
      <c r="ADO387" s="1317"/>
      <c r="ADP387" s="1317"/>
      <c r="ADQ387" s="1317"/>
      <c r="ADR387" s="1317"/>
      <c r="ADS387" s="1317"/>
      <c r="ADT387" s="1317"/>
      <c r="ADU387" s="1317"/>
      <c r="ADV387" s="1317"/>
      <c r="ADW387" s="1317"/>
      <c r="ADX387" s="1317"/>
      <c r="ADY387" s="1317"/>
      <c r="ADZ387" s="1317"/>
      <c r="AEA387" s="1317"/>
      <c r="AEB387" s="1317"/>
      <c r="AEC387" s="1317"/>
      <c r="AED387" s="1317"/>
      <c r="AEE387" s="1317"/>
      <c r="AEF387" s="1317"/>
      <c r="AEG387" s="1317"/>
      <c r="AEH387" s="1317"/>
      <c r="AEI387" s="1317"/>
      <c r="AEJ387" s="1317"/>
      <c r="AEK387" s="1317"/>
      <c r="AEL387" s="1317"/>
      <c r="AEM387" s="1317"/>
      <c r="AEN387" s="1317"/>
      <c r="AEO387" s="1317"/>
      <c r="AEP387" s="1317"/>
      <c r="AEQ387" s="1317"/>
      <c r="AER387" s="1317"/>
      <c r="AES387" s="1317"/>
      <c r="AET387" s="1317"/>
      <c r="AEU387" s="1317"/>
      <c r="AEV387" s="1317"/>
      <c r="AEW387" s="1317"/>
      <c r="AEX387" s="1317"/>
      <c r="AEY387" s="1317"/>
      <c r="AEZ387" s="1317"/>
      <c r="AFA387" s="1317"/>
      <c r="AFB387" s="1317"/>
      <c r="AFC387" s="1317"/>
      <c r="AFD387" s="1317"/>
      <c r="AFE387" s="1317"/>
      <c r="AFF387" s="1317"/>
      <c r="AFG387" s="1317"/>
      <c r="AFH387" s="1317"/>
      <c r="AFI387" s="1317"/>
      <c r="AFJ387" s="1317"/>
      <c r="AFK387" s="1317"/>
      <c r="AFL387" s="1317"/>
      <c r="AFM387" s="1317"/>
      <c r="AFN387" s="1317"/>
      <c r="AFO387" s="1317"/>
      <c r="AFP387" s="1317"/>
      <c r="AFQ387" s="1317"/>
      <c r="AFR387" s="1317"/>
      <c r="AFS387" s="1317"/>
      <c r="AFT387" s="1317"/>
      <c r="AFU387" s="1317"/>
      <c r="AFV387" s="1317"/>
      <c r="AFW387" s="1317"/>
      <c r="AFX387" s="1317"/>
      <c r="AFY387" s="1317"/>
      <c r="AFZ387" s="1317"/>
      <c r="AGA387" s="1317"/>
      <c r="AGB387" s="1317"/>
      <c r="AGC387" s="1317"/>
      <c r="AGD387" s="1317"/>
      <c r="AGE387" s="1317"/>
      <c r="AGF387" s="1317"/>
      <c r="AGG387" s="1317"/>
      <c r="AGH387" s="1317"/>
      <c r="AGI387" s="1317"/>
      <c r="AGJ387" s="1317"/>
      <c r="AGK387" s="1317"/>
      <c r="AGL387" s="1317"/>
      <c r="AGM387" s="1317"/>
      <c r="AGN387" s="1317"/>
      <c r="AGO387" s="1317"/>
      <c r="AGP387" s="1317"/>
      <c r="AGQ387" s="1317"/>
      <c r="AGR387" s="1317"/>
      <c r="AGS387" s="1317"/>
      <c r="AGT387" s="1317"/>
      <c r="AGU387" s="1317"/>
      <c r="AGV387" s="1317"/>
      <c r="AGW387" s="1317"/>
      <c r="AGX387" s="1317"/>
      <c r="AGY387" s="1317"/>
      <c r="AGZ387" s="1317"/>
      <c r="AHA387" s="1317"/>
      <c r="AHB387" s="1317"/>
      <c r="AHC387" s="1317"/>
      <c r="AHD387" s="1317"/>
      <c r="AHE387" s="1317"/>
      <c r="AHF387" s="1317"/>
      <c r="AHG387" s="1317"/>
      <c r="AHH387" s="1317"/>
      <c r="AHI387" s="1317"/>
      <c r="AHJ387" s="1317"/>
      <c r="AHK387" s="1317"/>
      <c r="AHL387" s="1317"/>
      <c r="AHM387" s="1317"/>
      <c r="AHN387" s="1317"/>
      <c r="AHO387" s="1317"/>
      <c r="AHP387" s="1317"/>
      <c r="AHQ387" s="1317"/>
      <c r="AHR387" s="1317"/>
      <c r="AHS387" s="1317"/>
      <c r="AHT387" s="1317"/>
      <c r="AHU387" s="1317"/>
      <c r="AHV387" s="1317"/>
      <c r="AHW387" s="1317"/>
      <c r="AHX387" s="1317"/>
      <c r="AHY387" s="1317"/>
      <c r="AHZ387" s="1317"/>
      <c r="AIA387" s="1317"/>
      <c r="AIB387" s="1317"/>
      <c r="AIC387" s="1317"/>
      <c r="AID387" s="1317"/>
      <c r="AIE387" s="1317"/>
      <c r="AIF387" s="1317"/>
      <c r="AIG387" s="1317"/>
      <c r="AIH387" s="1317"/>
      <c r="AII387" s="1317"/>
      <c r="AIJ387" s="1317"/>
      <c r="AIK387" s="1317"/>
      <c r="AIL387" s="1317"/>
      <c r="AIM387" s="1317"/>
      <c r="AIN387" s="1317"/>
      <c r="AIO387" s="1317"/>
      <c r="AIP387" s="1317"/>
      <c r="AIQ387" s="1317"/>
      <c r="AIR387" s="1317"/>
      <c r="AIS387" s="1317"/>
      <c r="AIT387" s="1317"/>
      <c r="AIU387" s="1317"/>
      <c r="AIV387" s="1317"/>
      <c r="AIW387" s="1317"/>
      <c r="AIX387" s="1317"/>
      <c r="AIY387" s="1317"/>
      <c r="AIZ387" s="1317"/>
      <c r="AJA387" s="1317"/>
      <c r="AJB387" s="1317"/>
      <c r="AJC387" s="1317"/>
      <c r="AJD387" s="1317"/>
      <c r="AJE387" s="1317"/>
      <c r="AJF387" s="1317"/>
      <c r="AJG387" s="1317"/>
      <c r="AJH387" s="1317"/>
      <c r="AJI387" s="1317"/>
      <c r="AJJ387" s="1317"/>
      <c r="AJK387" s="1317"/>
      <c r="AJL387" s="1317"/>
      <c r="AJM387" s="1317"/>
      <c r="AJN387" s="1317"/>
      <c r="AJO387" s="1317"/>
      <c r="AJP387" s="1317"/>
      <c r="AJQ387" s="1317"/>
      <c r="AJR387" s="1317"/>
      <c r="AJS387" s="1317"/>
      <c r="AJT387" s="1317"/>
      <c r="AJU387" s="1317"/>
      <c r="AJV387" s="1317"/>
      <c r="AJW387" s="1317"/>
      <c r="AJX387" s="1317"/>
      <c r="AJY387" s="1317"/>
      <c r="AJZ387" s="1317"/>
      <c r="AKA387" s="1317"/>
      <c r="AKB387" s="1317"/>
      <c r="AKC387" s="1317"/>
      <c r="AKD387" s="1317"/>
      <c r="AKE387" s="1317"/>
      <c r="AKF387" s="1317"/>
      <c r="AKG387" s="1317"/>
      <c r="AKH387" s="1317"/>
      <c r="AKI387" s="1317"/>
      <c r="AKJ387" s="1317"/>
      <c r="AKK387" s="1317"/>
      <c r="AKL387" s="1317"/>
      <c r="AKM387" s="1317"/>
      <c r="AKN387" s="1317"/>
      <c r="AKO387" s="1317"/>
      <c r="AKP387" s="1317"/>
      <c r="AKQ387" s="1317"/>
      <c r="AKR387" s="1317"/>
      <c r="AKS387" s="1317"/>
      <c r="AKT387" s="1317"/>
      <c r="AKU387" s="1317"/>
      <c r="AKV387" s="1317"/>
      <c r="AKW387" s="1317"/>
      <c r="AKX387" s="1317"/>
      <c r="AKY387" s="1317"/>
      <c r="AKZ387" s="1317"/>
      <c r="ALA387" s="1317"/>
      <c r="ALB387" s="1317"/>
      <c r="ALC387" s="1317"/>
      <c r="ALD387" s="1317"/>
      <c r="ALE387" s="1317"/>
      <c r="ALF387" s="1317"/>
      <c r="ALG387" s="1317"/>
      <c r="ALH387" s="1317"/>
      <c r="ALI387" s="1317"/>
      <c r="ALJ387" s="1317"/>
      <c r="ALK387" s="1317"/>
      <c r="ALL387" s="1317"/>
      <c r="ALM387" s="1317"/>
      <c r="ALN387" s="1317"/>
      <c r="ALO387" s="1317"/>
      <c r="ALP387" s="1317"/>
      <c r="ALQ387" s="1317"/>
      <c r="ALR387" s="1317"/>
      <c r="ALS387" s="1317"/>
      <c r="ALT387" s="1317"/>
      <c r="ALU387" s="1317"/>
      <c r="ALV387" s="1317"/>
      <c r="ALW387" s="1317"/>
      <c r="ALX387" s="1317"/>
      <c r="ALY387" s="1317"/>
      <c r="ALZ387" s="1317"/>
      <c r="AMA387" s="1317"/>
      <c r="AMB387" s="1317"/>
      <c r="AMC387" s="1317"/>
      <c r="AMD387" s="1317"/>
      <c r="AME387" s="1317"/>
      <c r="AMF387" s="1317"/>
      <c r="AMG387" s="1317"/>
      <c r="AMH387" s="1317"/>
      <c r="AMI387" s="1317"/>
      <c r="AMJ387" s="1317"/>
      <c r="AMK387" s="1317"/>
      <c r="AML387" s="1317"/>
      <c r="AMM387" s="1317"/>
      <c r="AMN387" s="1317"/>
      <c r="AMO387" s="1317"/>
      <c r="AMP387" s="1317"/>
      <c r="AMQ387" s="1317"/>
      <c r="AMR387" s="1317"/>
      <c r="AMS387" s="1317"/>
      <c r="AMT387" s="1317"/>
      <c r="AMU387" s="1317"/>
      <c r="AMV387" s="1317"/>
      <c r="AMW387" s="1317"/>
      <c r="AMX387" s="1317"/>
      <c r="AMY387" s="1317"/>
      <c r="AMZ387" s="1317"/>
      <c r="ANA387" s="1317"/>
      <c r="ANB387" s="1317"/>
      <c r="ANC387" s="1317"/>
      <c r="AND387" s="1317"/>
      <c r="ANE387" s="1317"/>
      <c r="ANF387" s="1317"/>
      <c r="ANG387" s="1317"/>
      <c r="ANH387" s="1317"/>
      <c r="ANI387" s="1317"/>
      <c r="ANJ387" s="1317"/>
      <c r="ANK387" s="1317"/>
      <c r="ANL387" s="1317"/>
      <c r="ANM387" s="1317"/>
      <c r="ANN387" s="1317"/>
      <c r="ANO387" s="1317"/>
      <c r="ANP387" s="1317"/>
      <c r="ANQ387" s="1317"/>
      <c r="ANR387" s="1317"/>
      <c r="ANS387" s="1317"/>
      <c r="ANT387" s="1317"/>
      <c r="ANU387" s="1317"/>
      <c r="ANV387" s="1317"/>
      <c r="ANW387" s="1317"/>
      <c r="ANX387" s="1317"/>
      <c r="ANY387" s="1317"/>
      <c r="ANZ387" s="1317"/>
      <c r="AOA387" s="1317"/>
      <c r="AOB387" s="1317"/>
      <c r="AOC387" s="1317"/>
      <c r="AOD387" s="1317"/>
      <c r="AOE387" s="1317"/>
      <c r="AOF387" s="1317"/>
      <c r="AOG387" s="1317"/>
      <c r="AOH387" s="1317"/>
      <c r="AOI387" s="1317"/>
      <c r="AOJ387" s="1317"/>
      <c r="AOK387" s="1317"/>
      <c r="AOL387" s="1317"/>
      <c r="AOM387" s="1317"/>
      <c r="AON387" s="1317"/>
      <c r="AOO387" s="1317"/>
      <c r="AOP387" s="1317"/>
      <c r="AOQ387" s="1317"/>
      <c r="AOR387" s="1317"/>
      <c r="AOS387" s="1317"/>
      <c r="AOT387" s="1317"/>
      <c r="AOU387" s="1317"/>
      <c r="AOV387" s="1317"/>
      <c r="AOW387" s="1317"/>
      <c r="AOX387" s="1317"/>
      <c r="AOY387" s="1317"/>
      <c r="AOZ387" s="1317"/>
      <c r="APA387" s="1317"/>
      <c r="APB387" s="1317"/>
      <c r="APC387" s="1317"/>
      <c r="APD387" s="1317"/>
      <c r="APE387" s="1317"/>
      <c r="APF387" s="1317"/>
      <c r="APG387" s="1317"/>
      <c r="APH387" s="1317"/>
      <c r="API387" s="1317"/>
      <c r="APJ387" s="1317"/>
      <c r="APK387" s="1317"/>
      <c r="APL387" s="1317"/>
      <c r="APM387" s="1317"/>
      <c r="APN387" s="1317"/>
      <c r="APO387" s="1317"/>
      <c r="APP387" s="1317"/>
      <c r="APQ387" s="1317"/>
      <c r="APR387" s="1317"/>
      <c r="APS387" s="1317"/>
      <c r="APT387" s="1317"/>
      <c r="APU387" s="1317"/>
      <c r="APV387" s="1317"/>
      <c r="APW387" s="1317"/>
      <c r="APX387" s="1317"/>
      <c r="APY387" s="1317"/>
      <c r="APZ387" s="1317"/>
      <c r="AQA387" s="1317"/>
      <c r="AQB387" s="1317"/>
      <c r="AQC387" s="1317"/>
      <c r="AQD387" s="1317"/>
      <c r="AQE387" s="1317"/>
      <c r="AQF387" s="1317"/>
      <c r="AQG387" s="1317"/>
      <c r="AQH387" s="1317"/>
      <c r="AQI387" s="1317"/>
      <c r="AQJ387" s="1317"/>
      <c r="AQK387" s="1317"/>
      <c r="AQL387" s="1317"/>
      <c r="AQM387" s="1317"/>
      <c r="AQN387" s="1317"/>
      <c r="AQO387" s="1317"/>
      <c r="AQP387" s="1317"/>
      <c r="AQQ387" s="1317"/>
      <c r="AQR387" s="1317"/>
      <c r="AQS387" s="1317"/>
      <c r="AQT387" s="1317"/>
      <c r="AQU387" s="1317"/>
      <c r="AQV387" s="1317"/>
      <c r="AQW387" s="1317"/>
      <c r="AQX387" s="1317"/>
      <c r="AQY387" s="1317"/>
      <c r="AQZ387" s="1317"/>
      <c r="ARA387" s="1317"/>
      <c r="ARB387" s="1317"/>
      <c r="ARC387" s="1317"/>
      <c r="ARD387" s="1317"/>
      <c r="ARE387" s="1317"/>
      <c r="ARF387" s="1317"/>
      <c r="ARG387" s="1317"/>
      <c r="ARH387" s="1317"/>
      <c r="ARI387" s="1317"/>
      <c r="ARJ387" s="1317"/>
      <c r="ARK387" s="1317"/>
      <c r="ARL387" s="1317"/>
      <c r="ARM387" s="1317"/>
      <c r="ARN387" s="1317"/>
      <c r="ARO387" s="1317"/>
      <c r="ARP387" s="1317"/>
      <c r="ARQ387" s="1317"/>
      <c r="ARR387" s="1317"/>
      <c r="ARS387" s="1317"/>
      <c r="ART387" s="1317"/>
      <c r="ARU387" s="1317"/>
      <c r="ARV387" s="1317"/>
      <c r="ARW387" s="1317"/>
      <c r="ARX387" s="1317"/>
      <c r="ARY387" s="1317"/>
      <c r="ARZ387" s="1317"/>
      <c r="ASA387" s="1317"/>
      <c r="ASB387" s="1317"/>
      <c r="ASC387" s="1317"/>
      <c r="ASD387" s="1317"/>
      <c r="ASE387" s="1317"/>
      <c r="ASF387" s="1317"/>
      <c r="ASG387" s="1317"/>
      <c r="ASH387" s="1317"/>
      <c r="ASI387" s="1317"/>
      <c r="ASJ387" s="1317"/>
      <c r="ASK387" s="1317"/>
      <c r="ASL387" s="1317"/>
      <c r="ASM387" s="1317"/>
      <c r="ASN387" s="1317"/>
      <c r="ASO387" s="1317"/>
      <c r="ASP387" s="1317"/>
      <c r="ASQ387" s="1317"/>
      <c r="ASR387" s="1317"/>
      <c r="ASS387" s="1317"/>
      <c r="AST387" s="1317"/>
      <c r="ASU387" s="1317"/>
      <c r="ASV387" s="1317"/>
      <c r="ASW387" s="1317"/>
      <c r="ASX387" s="1317"/>
      <c r="ASY387" s="1317"/>
      <c r="ASZ387" s="1317"/>
      <c r="ATA387" s="1317"/>
      <c r="ATB387" s="1317"/>
      <c r="ATC387" s="1317"/>
      <c r="ATD387" s="1317"/>
      <c r="ATE387" s="1317"/>
      <c r="ATF387" s="1317"/>
      <c r="ATG387" s="1317"/>
      <c r="ATH387" s="1317"/>
      <c r="ATI387" s="1317"/>
      <c r="ATJ387" s="1317"/>
      <c r="ATK387" s="1317"/>
      <c r="ATL387" s="1317"/>
      <c r="ATM387" s="1317"/>
      <c r="ATN387" s="1317"/>
      <c r="ATO387" s="1317"/>
      <c r="ATP387" s="1317"/>
      <c r="ATQ387" s="1317"/>
      <c r="ATR387" s="1317"/>
      <c r="ATS387" s="1317"/>
      <c r="ATT387" s="1317"/>
      <c r="ATU387" s="1317"/>
      <c r="ATV387" s="1317"/>
      <c r="ATW387" s="1317"/>
      <c r="ATX387" s="1317"/>
      <c r="ATY387" s="1317"/>
      <c r="ATZ387" s="1317"/>
      <c r="AUA387" s="1317"/>
      <c r="AUB387" s="1317"/>
      <c r="AUC387" s="1317"/>
      <c r="AUD387" s="1317"/>
      <c r="AUE387" s="1317"/>
      <c r="AUF387" s="1317"/>
      <c r="AUG387" s="1317"/>
      <c r="AUH387" s="1317"/>
      <c r="AUI387" s="1317"/>
      <c r="AUJ387" s="1317"/>
      <c r="AUK387" s="1317"/>
      <c r="AUL387" s="1317"/>
      <c r="AUM387" s="1317"/>
      <c r="AUN387" s="1317"/>
      <c r="AUO387" s="1317"/>
      <c r="AUP387" s="1317"/>
      <c r="AUQ387" s="1317"/>
      <c r="AUR387" s="1317"/>
      <c r="AUS387" s="1317"/>
      <c r="AUT387" s="1317"/>
      <c r="AUU387" s="1317"/>
      <c r="AUV387" s="1317"/>
      <c r="AUW387" s="1317"/>
      <c r="AUX387" s="1317"/>
      <c r="AUY387" s="1317"/>
      <c r="AUZ387" s="1317"/>
      <c r="AVA387" s="1317"/>
      <c r="AVB387" s="1317"/>
      <c r="AVC387" s="1317"/>
      <c r="AVD387" s="1317"/>
      <c r="AVE387" s="1317"/>
      <c r="AVF387" s="1317"/>
      <c r="AVG387" s="1317"/>
      <c r="AVH387" s="1317"/>
      <c r="AVI387" s="1317"/>
      <c r="AVJ387" s="1317"/>
      <c r="AVK387" s="1317"/>
      <c r="AVL387" s="1317"/>
      <c r="AVM387" s="1317"/>
      <c r="AVN387" s="1317"/>
      <c r="AVO387" s="1317"/>
      <c r="AVP387" s="1317"/>
      <c r="AVQ387" s="1317"/>
      <c r="AVR387" s="1317"/>
      <c r="AVS387" s="1317"/>
      <c r="AVT387" s="1317"/>
      <c r="AVU387" s="1317"/>
      <c r="AVV387" s="1317"/>
      <c r="AVW387" s="1317"/>
      <c r="AVX387" s="1317"/>
      <c r="AVY387" s="1317"/>
      <c r="AVZ387" s="1317"/>
      <c r="AWA387" s="1317"/>
      <c r="AWB387" s="1317"/>
      <c r="AWC387" s="1317"/>
      <c r="AWD387" s="1317"/>
      <c r="AWE387" s="1317"/>
      <c r="AWF387" s="1317"/>
      <c r="AWG387" s="1317"/>
      <c r="AWH387" s="1317"/>
      <c r="AWI387" s="1317"/>
      <c r="AWJ387" s="1317"/>
      <c r="AWK387" s="1317"/>
      <c r="AWL387" s="1317"/>
      <c r="AWM387" s="1317"/>
      <c r="AWN387" s="1317"/>
      <c r="AWO387" s="1317"/>
      <c r="AWP387" s="1317"/>
      <c r="AWQ387" s="1317"/>
      <c r="AWR387" s="1317"/>
      <c r="AWS387" s="1317"/>
      <c r="AWT387" s="1317"/>
      <c r="AWU387" s="1317"/>
      <c r="AWV387" s="1317"/>
      <c r="AWW387" s="1317"/>
      <c r="AWX387" s="1317"/>
      <c r="AWY387" s="1317"/>
      <c r="AWZ387" s="1317"/>
      <c r="AXA387" s="1317"/>
      <c r="AXB387" s="1317"/>
      <c r="AXC387" s="1317"/>
      <c r="AXD387" s="1317"/>
      <c r="AXE387" s="1317"/>
      <c r="AXF387" s="1317"/>
      <c r="AXG387" s="1317"/>
      <c r="AXH387" s="1317"/>
      <c r="AXI387" s="1317"/>
      <c r="AXJ387" s="1317"/>
      <c r="AXK387" s="1317"/>
      <c r="AXL387" s="1317"/>
      <c r="AXM387" s="1317"/>
      <c r="AXN387" s="1317"/>
      <c r="AXO387" s="1317"/>
      <c r="AXP387" s="1317"/>
      <c r="AXQ387" s="1317"/>
      <c r="AXR387" s="1317"/>
      <c r="AXS387" s="1317"/>
      <c r="AXT387" s="1317"/>
      <c r="AXU387" s="1317"/>
      <c r="AXV387" s="1317"/>
      <c r="AXW387" s="1317"/>
      <c r="AXX387" s="1317"/>
      <c r="AXY387" s="1317"/>
      <c r="AXZ387" s="1317"/>
      <c r="AYA387" s="1317"/>
      <c r="AYB387" s="1317"/>
      <c r="AYC387" s="1317"/>
      <c r="AYD387" s="1317"/>
      <c r="AYE387" s="1317"/>
      <c r="AYF387" s="1317"/>
      <c r="AYG387" s="1317"/>
      <c r="AYH387" s="1317"/>
      <c r="AYI387" s="1317"/>
      <c r="AYJ387" s="1317"/>
      <c r="AYK387" s="1317"/>
      <c r="AYL387" s="1317"/>
      <c r="AYM387" s="1317"/>
      <c r="AYN387" s="1317"/>
      <c r="AYO387" s="1317"/>
      <c r="AYP387" s="1317"/>
      <c r="AYQ387" s="1317"/>
      <c r="AYR387" s="1317"/>
      <c r="AYS387" s="1317"/>
      <c r="AYT387" s="1317"/>
      <c r="AYU387" s="1317"/>
      <c r="AYV387" s="1317"/>
      <c r="AYW387" s="1317"/>
      <c r="AYX387" s="1317"/>
      <c r="AYY387" s="1317"/>
      <c r="AYZ387" s="1317"/>
      <c r="AZA387" s="1317"/>
      <c r="AZB387" s="1317"/>
      <c r="AZC387" s="1317"/>
      <c r="AZD387" s="1317"/>
      <c r="AZE387" s="1317"/>
      <c r="AZF387" s="1317"/>
      <c r="AZG387" s="1317"/>
      <c r="AZH387" s="1317"/>
      <c r="AZI387" s="1317"/>
      <c r="AZJ387" s="1317"/>
      <c r="AZK387" s="1317"/>
      <c r="AZL387" s="1317"/>
      <c r="AZM387" s="1317"/>
      <c r="AZN387" s="1317"/>
      <c r="AZO387" s="1317"/>
      <c r="AZP387" s="1317"/>
      <c r="AZQ387" s="1317"/>
      <c r="AZR387" s="1317"/>
      <c r="AZS387" s="1317"/>
      <c r="AZT387" s="1317"/>
      <c r="AZU387" s="1317"/>
      <c r="AZV387" s="1317"/>
      <c r="AZW387" s="1317"/>
      <c r="AZX387" s="1317"/>
      <c r="AZY387" s="1317"/>
      <c r="AZZ387" s="1317"/>
      <c r="BAA387" s="1317"/>
      <c r="BAB387" s="1317"/>
      <c r="BAC387" s="1317"/>
      <c r="BAD387" s="1317"/>
      <c r="BAE387" s="1317"/>
      <c r="BAF387" s="1317"/>
      <c r="BAG387" s="1317"/>
      <c r="BAH387" s="1317"/>
      <c r="BAI387" s="1317"/>
      <c r="BAJ387" s="1317"/>
      <c r="BAK387" s="1317"/>
      <c r="BAL387" s="1317"/>
      <c r="BAM387" s="1317"/>
      <c r="BAN387" s="1317"/>
      <c r="BAO387" s="1317"/>
      <c r="BAP387" s="1317"/>
      <c r="BAQ387" s="1317"/>
      <c r="BAR387" s="1317"/>
      <c r="BAS387" s="1317"/>
      <c r="BAT387" s="1317"/>
      <c r="BAU387" s="1317"/>
      <c r="BAV387" s="1317"/>
      <c r="BAW387" s="1317"/>
      <c r="BAX387" s="1317"/>
      <c r="BAY387" s="1317"/>
      <c r="BAZ387" s="1317"/>
      <c r="BBA387" s="1317"/>
      <c r="BBB387" s="1317"/>
      <c r="BBC387" s="1317"/>
      <c r="BBD387" s="1317"/>
      <c r="BBE387" s="1317"/>
      <c r="BBF387" s="1317"/>
      <c r="BBG387" s="1317"/>
      <c r="BBH387" s="1317"/>
      <c r="BBI387" s="1317"/>
      <c r="BBJ387" s="1317"/>
      <c r="BBK387" s="1317"/>
      <c r="BBL387" s="1317"/>
      <c r="BBM387" s="1317"/>
      <c r="BBN387" s="1317"/>
      <c r="BBO387" s="1317"/>
      <c r="BBP387" s="1317"/>
      <c r="BBQ387" s="1317"/>
      <c r="BBR387" s="1317"/>
      <c r="BBS387" s="1317"/>
      <c r="BBT387" s="1317"/>
      <c r="BBU387" s="1317"/>
      <c r="BBV387" s="1317"/>
      <c r="BBW387" s="1317"/>
      <c r="BBX387" s="1317"/>
      <c r="BBY387" s="1317"/>
      <c r="BBZ387" s="1317"/>
      <c r="BCA387" s="1317"/>
      <c r="BCB387" s="1317"/>
      <c r="BCC387" s="1317"/>
      <c r="BCD387" s="1317"/>
      <c r="BCE387" s="1317"/>
      <c r="BCF387" s="1317"/>
      <c r="BCG387" s="1317"/>
      <c r="BCH387" s="1317"/>
      <c r="BCI387" s="1317"/>
      <c r="BCJ387" s="1317"/>
      <c r="BCK387" s="1317"/>
      <c r="BCL387" s="1317"/>
      <c r="BCM387" s="1317"/>
      <c r="BCN387" s="1317"/>
      <c r="BCO387" s="1317"/>
      <c r="BCP387" s="1317"/>
      <c r="BCQ387" s="1317"/>
      <c r="BCR387" s="1317"/>
      <c r="BCS387" s="1317"/>
      <c r="BCT387" s="1317"/>
      <c r="BCU387" s="1317"/>
      <c r="BCV387" s="1317"/>
      <c r="BCW387" s="1317"/>
      <c r="BCX387" s="1317"/>
      <c r="BCY387" s="1317"/>
      <c r="BCZ387" s="1317"/>
      <c r="BDA387" s="1317"/>
      <c r="BDB387" s="1317"/>
      <c r="BDC387" s="1317"/>
      <c r="BDD387" s="1317"/>
      <c r="BDE387" s="1317"/>
      <c r="BDF387" s="1317"/>
      <c r="BDG387" s="1317"/>
      <c r="BDH387" s="1317"/>
      <c r="BDI387" s="1317"/>
      <c r="BDJ387" s="1317"/>
      <c r="BDK387" s="1317"/>
      <c r="BDL387" s="1317"/>
      <c r="BDM387" s="1317"/>
      <c r="BDN387" s="1317"/>
      <c r="BDO387" s="1317"/>
      <c r="BDP387" s="1317"/>
      <c r="BDQ387" s="1317"/>
      <c r="BDR387" s="1317"/>
      <c r="BDS387" s="1317"/>
      <c r="BDT387" s="1317"/>
      <c r="BDU387" s="1317"/>
      <c r="BDV387" s="1317"/>
      <c r="BDW387" s="1317"/>
      <c r="BDX387" s="1317"/>
      <c r="BDY387" s="1317"/>
      <c r="BDZ387" s="1317"/>
      <c r="BEA387" s="1317"/>
      <c r="BEB387" s="1317"/>
      <c r="BEC387" s="1317"/>
      <c r="BED387" s="1317"/>
      <c r="BEE387" s="1317"/>
      <c r="BEF387" s="1317"/>
      <c r="BEG387" s="1317"/>
      <c r="BEH387" s="1317"/>
      <c r="BEI387" s="1317"/>
      <c r="BEJ387" s="1317"/>
      <c r="BEK387" s="1317"/>
      <c r="BEL387" s="1317"/>
      <c r="BEM387" s="1317"/>
      <c r="BEN387" s="1317"/>
      <c r="BEO387" s="1317"/>
      <c r="BEP387" s="1317"/>
      <c r="BEQ387" s="1317"/>
      <c r="BER387" s="1317"/>
      <c r="BES387" s="1317"/>
      <c r="BET387" s="1317"/>
      <c r="BEU387" s="1317"/>
      <c r="BEV387" s="1317"/>
      <c r="BEW387" s="1317"/>
      <c r="BEX387" s="1317"/>
      <c r="BEY387" s="1317"/>
      <c r="BEZ387" s="1317"/>
      <c r="BFA387" s="1317"/>
      <c r="BFB387" s="1317"/>
      <c r="BFC387" s="1317"/>
      <c r="BFD387" s="1317"/>
      <c r="BFE387" s="1317"/>
      <c r="BFF387" s="1317"/>
      <c r="BFG387" s="1317"/>
      <c r="BFH387" s="1317"/>
      <c r="BFI387" s="1317"/>
      <c r="BFJ387" s="1317"/>
      <c r="BFK387" s="1317"/>
      <c r="BFL387" s="1317"/>
      <c r="BFM387" s="1317"/>
      <c r="BFN387" s="1317"/>
      <c r="BFO387" s="1317"/>
      <c r="BFP387" s="1317"/>
      <c r="BFQ387" s="1317"/>
      <c r="BFR387" s="1317"/>
      <c r="BFS387" s="1317"/>
      <c r="BFT387" s="1317"/>
      <c r="BFU387" s="1317"/>
      <c r="BFV387" s="1317"/>
      <c r="BFW387" s="1317"/>
      <c r="BFX387" s="1317"/>
      <c r="BFY387" s="1317"/>
      <c r="BFZ387" s="1317"/>
      <c r="BGA387" s="1317"/>
      <c r="BGB387" s="1317"/>
      <c r="BGC387" s="1317"/>
      <c r="BGD387" s="1317"/>
      <c r="BGE387" s="1317"/>
      <c r="BGF387" s="1317"/>
      <c r="BGG387" s="1317"/>
      <c r="BGH387" s="1317"/>
      <c r="BGI387" s="1317"/>
      <c r="BGJ387" s="1317"/>
      <c r="BGK387" s="1317"/>
      <c r="BGL387" s="1317"/>
      <c r="BGM387" s="1317"/>
      <c r="BGN387" s="1317"/>
      <c r="BGO387" s="1317"/>
      <c r="BGP387" s="1317"/>
      <c r="BGQ387" s="1317"/>
      <c r="BGR387" s="1317"/>
      <c r="BGS387" s="1317"/>
      <c r="BGT387" s="1317"/>
      <c r="BGU387" s="1317"/>
      <c r="BGV387" s="1317"/>
      <c r="BGW387" s="1317"/>
      <c r="BGX387" s="1317"/>
      <c r="BGY387" s="1317"/>
      <c r="BGZ387" s="1317"/>
      <c r="BHA387" s="1317"/>
      <c r="BHB387" s="1317"/>
      <c r="BHC387" s="1317"/>
      <c r="BHD387" s="1317"/>
      <c r="BHE387" s="1317"/>
      <c r="BHF387" s="1317"/>
      <c r="BHG387" s="1317"/>
      <c r="BHH387" s="1317"/>
      <c r="BHI387" s="1317"/>
      <c r="BHJ387" s="1317"/>
      <c r="BHK387" s="1317"/>
      <c r="BHL387" s="1317"/>
      <c r="BHM387" s="1317"/>
      <c r="BHN387" s="1317"/>
      <c r="BHO387" s="1317"/>
      <c r="BHP387" s="1317"/>
      <c r="BHQ387" s="1317"/>
      <c r="BHR387" s="1317"/>
      <c r="BHS387" s="1317"/>
      <c r="BHT387" s="1317"/>
      <c r="BHU387" s="1317"/>
      <c r="BHV387" s="1317"/>
      <c r="BHW387" s="1317"/>
      <c r="BHX387" s="1317"/>
      <c r="BHY387" s="1317"/>
      <c r="BHZ387" s="1317"/>
      <c r="BIA387" s="1317"/>
      <c r="BIB387" s="1317"/>
      <c r="BIC387" s="1317"/>
      <c r="BID387" s="1317"/>
      <c r="BIE387" s="1317"/>
      <c r="BIF387" s="1317"/>
      <c r="BIG387" s="1317"/>
      <c r="BIH387" s="1317"/>
      <c r="BII387" s="1317"/>
      <c r="BIJ387" s="1317"/>
      <c r="BIK387" s="1317"/>
      <c r="BIL387" s="1317"/>
      <c r="BIM387" s="1317"/>
      <c r="BIN387" s="1317"/>
      <c r="BIO387" s="1317"/>
      <c r="BIP387" s="1317"/>
      <c r="BIQ387" s="1317"/>
      <c r="BIR387" s="1317"/>
      <c r="BIS387" s="1317"/>
      <c r="BIT387" s="1317"/>
      <c r="BIU387" s="1317"/>
      <c r="BIV387" s="1317"/>
      <c r="BIW387" s="1317"/>
      <c r="BIX387" s="1317"/>
      <c r="BIY387" s="1317"/>
      <c r="BIZ387" s="1317"/>
      <c r="BJA387" s="1317"/>
      <c r="BJB387" s="1317"/>
      <c r="BJC387" s="1317"/>
      <c r="BJD387" s="1317"/>
      <c r="BJE387" s="1317"/>
      <c r="BJF387" s="1317"/>
      <c r="BJG387" s="1317"/>
      <c r="BJH387" s="1317"/>
      <c r="BJI387" s="1317"/>
      <c r="BJJ387" s="1317"/>
      <c r="BJK387" s="1317"/>
      <c r="BJL387" s="1317"/>
      <c r="BJM387" s="1317"/>
      <c r="BJN387" s="1317"/>
      <c r="BJO387" s="1317"/>
      <c r="BJP387" s="1317"/>
      <c r="BJQ387" s="1317"/>
      <c r="BJR387" s="1317"/>
      <c r="BJS387" s="1317"/>
      <c r="BJT387" s="1317"/>
      <c r="BJU387" s="1317"/>
      <c r="BJV387" s="1317"/>
      <c r="BJW387" s="1317"/>
      <c r="BJX387" s="1317"/>
      <c r="BJY387" s="1317"/>
      <c r="BJZ387" s="1317"/>
      <c r="BKA387" s="1317"/>
      <c r="BKB387" s="1317"/>
      <c r="BKC387" s="1317"/>
      <c r="BKD387" s="1317"/>
      <c r="BKE387" s="1317"/>
      <c r="BKF387" s="1317"/>
      <c r="BKG387" s="1317"/>
      <c r="BKH387" s="1317"/>
      <c r="BKI387" s="1317"/>
      <c r="BKJ387" s="1317"/>
      <c r="BKK387" s="1317"/>
      <c r="BKL387" s="1317"/>
      <c r="BKM387" s="1317"/>
      <c r="BKN387" s="1317"/>
      <c r="BKO387" s="1317"/>
      <c r="BKP387" s="1317"/>
      <c r="BKQ387" s="1317"/>
      <c r="BKR387" s="1317"/>
      <c r="BKS387" s="1317"/>
      <c r="BKT387" s="1317"/>
      <c r="BKU387" s="1317"/>
      <c r="BKV387" s="1317"/>
      <c r="BKW387" s="1317"/>
      <c r="BKX387" s="1317"/>
      <c r="BKY387" s="1317"/>
      <c r="BKZ387" s="1317"/>
      <c r="BLA387" s="1317"/>
      <c r="BLB387" s="1317"/>
      <c r="BLC387" s="1317"/>
      <c r="BLD387" s="1317"/>
      <c r="BLE387" s="1317"/>
      <c r="BLF387" s="1317"/>
      <c r="BLG387" s="1317"/>
      <c r="BLH387" s="1317"/>
      <c r="BLI387" s="1317"/>
      <c r="BLJ387" s="1317"/>
      <c r="BLK387" s="1317"/>
      <c r="BLL387" s="1317"/>
      <c r="BLM387" s="1317"/>
      <c r="BLN387" s="1317"/>
      <c r="BLO387" s="1317"/>
      <c r="BLP387" s="1317"/>
      <c r="BLQ387" s="1317"/>
      <c r="BLR387" s="1317"/>
      <c r="BLS387" s="1317"/>
      <c r="BLT387" s="1317"/>
      <c r="BLU387" s="1317"/>
      <c r="BLV387" s="1317"/>
      <c r="BLW387" s="1317"/>
      <c r="BLX387" s="1317"/>
      <c r="BLY387" s="1317"/>
      <c r="BLZ387" s="1317"/>
      <c r="BMA387" s="1317"/>
      <c r="BMB387" s="1317"/>
      <c r="BMC387" s="1317"/>
      <c r="BMD387" s="1317"/>
      <c r="BME387" s="1317"/>
      <c r="BMF387" s="1317"/>
      <c r="BMG387" s="1317"/>
      <c r="BMH387" s="1317"/>
      <c r="BMI387" s="1317"/>
      <c r="BMJ387" s="1317"/>
      <c r="BMK387" s="1317"/>
      <c r="BML387" s="1317"/>
      <c r="BMM387" s="1317"/>
      <c r="BMN387" s="1317"/>
      <c r="BMO387" s="1317"/>
      <c r="BMP387" s="1317"/>
      <c r="BMQ387" s="1317"/>
      <c r="BMR387" s="1317"/>
      <c r="BMS387" s="1317"/>
      <c r="BMT387" s="1317"/>
      <c r="BMU387" s="1317"/>
      <c r="BMV387" s="1317"/>
      <c r="BMW387" s="1317"/>
      <c r="BMX387" s="1317"/>
      <c r="BMY387" s="1317"/>
      <c r="BMZ387" s="1317"/>
      <c r="BNA387" s="1317"/>
      <c r="BNB387" s="1317"/>
      <c r="BNC387" s="1317"/>
      <c r="BND387" s="1317"/>
      <c r="BNE387" s="1317"/>
      <c r="BNF387" s="1317"/>
      <c r="BNG387" s="1317"/>
      <c r="BNH387" s="1317"/>
      <c r="BNI387" s="1317"/>
      <c r="BNJ387" s="1317"/>
      <c r="BNK387" s="1317"/>
      <c r="BNL387" s="1317"/>
      <c r="BNM387" s="1317"/>
      <c r="BNN387" s="1317"/>
      <c r="BNO387" s="1317"/>
      <c r="BNP387" s="1317"/>
      <c r="BNQ387" s="1317"/>
      <c r="BNR387" s="1317"/>
      <c r="BNS387" s="1317"/>
      <c r="BNT387" s="1317"/>
      <c r="BNU387" s="1317"/>
      <c r="BNV387" s="1317"/>
      <c r="BNW387" s="1317"/>
      <c r="BNX387" s="1317"/>
      <c r="BNY387" s="1317"/>
      <c r="BNZ387" s="1317"/>
      <c r="BOA387" s="1317"/>
      <c r="BOB387" s="1317"/>
      <c r="BOC387" s="1317"/>
      <c r="BOD387" s="1317"/>
      <c r="BOE387" s="1317"/>
      <c r="BOF387" s="1317"/>
      <c r="BOG387" s="1317"/>
      <c r="BOH387" s="1317"/>
      <c r="BOI387" s="1317"/>
      <c r="BOJ387" s="1317"/>
      <c r="BOK387" s="1317"/>
      <c r="BOL387" s="1317"/>
      <c r="BOM387" s="1317"/>
      <c r="BON387" s="1317"/>
      <c r="BOO387" s="1317"/>
      <c r="BOP387" s="1317"/>
      <c r="BOQ387" s="1317"/>
      <c r="BOR387" s="1317"/>
      <c r="BOS387" s="1317"/>
      <c r="BOT387" s="1317"/>
      <c r="BOU387" s="1317"/>
      <c r="BOV387" s="1317"/>
      <c r="BOW387" s="1317"/>
      <c r="BOX387" s="1317"/>
      <c r="BOY387" s="1317"/>
      <c r="BOZ387" s="1317"/>
      <c r="BPA387" s="1317"/>
      <c r="BPB387" s="1317"/>
      <c r="BPC387" s="1317"/>
      <c r="BPD387" s="1317"/>
      <c r="BPE387" s="1317"/>
      <c r="BPF387" s="1317"/>
      <c r="BPG387" s="1317"/>
      <c r="BPH387" s="1317"/>
      <c r="BPI387" s="1317"/>
      <c r="BPJ387" s="1317"/>
      <c r="BPK387" s="1317"/>
      <c r="BPL387" s="1317"/>
      <c r="BPM387" s="1317"/>
      <c r="BPN387" s="1317"/>
      <c r="BPO387" s="1317"/>
      <c r="BPP387" s="1317"/>
      <c r="BPQ387" s="1317"/>
      <c r="BPR387" s="1317"/>
      <c r="BPS387" s="1317"/>
      <c r="BPT387" s="1317"/>
      <c r="BPU387" s="1317"/>
      <c r="BPV387" s="1317"/>
      <c r="BPW387" s="1317"/>
      <c r="BPX387" s="1317"/>
      <c r="BPY387" s="1317"/>
      <c r="BPZ387" s="1317"/>
      <c r="BQA387" s="1317"/>
      <c r="BQB387" s="1317"/>
      <c r="BQC387" s="1317"/>
      <c r="BQD387" s="1317"/>
      <c r="BQE387" s="1317"/>
      <c r="BQF387" s="1317"/>
      <c r="BQG387" s="1317"/>
      <c r="BQH387" s="1317"/>
      <c r="BQI387" s="1317"/>
      <c r="BQJ387" s="1317"/>
      <c r="BQK387" s="1317"/>
      <c r="BQL387" s="1317"/>
      <c r="BQM387" s="1317"/>
      <c r="BQN387" s="1317"/>
      <c r="BQO387" s="1317"/>
      <c r="BQP387" s="1317"/>
      <c r="BQQ387" s="1317"/>
      <c r="BQR387" s="1317"/>
      <c r="BQS387" s="1317"/>
      <c r="BQT387" s="1317"/>
      <c r="BQU387" s="1317"/>
      <c r="BQV387" s="1317"/>
      <c r="BQW387" s="1317"/>
      <c r="BQX387" s="1317"/>
      <c r="BQY387" s="1317"/>
      <c r="BQZ387" s="1317"/>
      <c r="BRA387" s="1317"/>
      <c r="BRB387" s="1317"/>
      <c r="BRC387" s="1317"/>
      <c r="BRD387" s="1317"/>
      <c r="BRE387" s="1317"/>
      <c r="BRF387" s="1317"/>
      <c r="BRG387" s="1317"/>
      <c r="BRH387" s="1317"/>
      <c r="BRI387" s="1317"/>
      <c r="BRJ387" s="1317"/>
      <c r="BRK387" s="1317"/>
      <c r="BRL387" s="1317"/>
      <c r="BRM387" s="1317"/>
      <c r="BRN387" s="1317"/>
      <c r="BRO387" s="1317"/>
      <c r="BRP387" s="1317"/>
      <c r="BRQ387" s="1317"/>
      <c r="BRR387" s="1317"/>
      <c r="BRS387" s="1317"/>
      <c r="BRT387" s="1317"/>
      <c r="BRU387" s="1317"/>
      <c r="BRV387" s="1317"/>
      <c r="BRW387" s="1317"/>
      <c r="BRX387" s="1317"/>
      <c r="BRY387" s="1317"/>
      <c r="BRZ387" s="1317"/>
      <c r="BSA387" s="1317"/>
      <c r="BSB387" s="1317"/>
      <c r="BSC387" s="1317"/>
      <c r="BSD387" s="1317"/>
      <c r="BSE387" s="1317"/>
      <c r="BSF387" s="1317"/>
      <c r="BSG387" s="1317"/>
      <c r="BSH387" s="1317"/>
      <c r="BSI387" s="1317"/>
      <c r="BSJ387" s="1317"/>
      <c r="BSK387" s="1317"/>
      <c r="BSL387" s="1317"/>
      <c r="BSM387" s="1317"/>
      <c r="BSN387" s="1317"/>
      <c r="BSO387" s="1317"/>
      <c r="BSP387" s="1317"/>
      <c r="BSQ387" s="1317"/>
      <c r="BSR387" s="1317"/>
      <c r="BSS387" s="1317"/>
      <c r="BST387" s="1317"/>
      <c r="BSU387" s="1317"/>
      <c r="BSV387" s="1317"/>
      <c r="BSW387" s="1317"/>
      <c r="BSX387" s="1317"/>
      <c r="BSY387" s="1317"/>
      <c r="BSZ387" s="1317"/>
      <c r="BTA387" s="1317"/>
      <c r="BTB387" s="1317"/>
      <c r="BTC387" s="1317"/>
      <c r="BTD387" s="1317"/>
      <c r="BTE387" s="1317"/>
      <c r="BTF387" s="1317"/>
      <c r="BTG387" s="1317"/>
      <c r="BTH387" s="1317"/>
      <c r="BTI387" s="1317"/>
      <c r="BTJ387" s="1317"/>
      <c r="BTK387" s="1317"/>
      <c r="BTL387" s="1317"/>
      <c r="BTM387" s="1317"/>
      <c r="BTN387" s="1317"/>
      <c r="BTO387" s="1317"/>
      <c r="BTP387" s="1317"/>
      <c r="BTQ387" s="1317"/>
      <c r="BTR387" s="1317"/>
      <c r="BTS387" s="1317"/>
      <c r="BTT387" s="1317"/>
      <c r="BTU387" s="1317"/>
      <c r="BTV387" s="1317"/>
      <c r="BTW387" s="1317"/>
      <c r="BTX387" s="1317"/>
      <c r="BTY387" s="1317"/>
      <c r="BTZ387" s="1317"/>
      <c r="BUA387" s="1317"/>
      <c r="BUB387" s="1317"/>
      <c r="BUC387" s="1317"/>
      <c r="BUD387" s="1317"/>
      <c r="BUE387" s="1317"/>
      <c r="BUF387" s="1317"/>
      <c r="BUG387" s="1317"/>
      <c r="BUH387" s="1317"/>
      <c r="BUI387" s="1317"/>
      <c r="BUJ387" s="1317"/>
      <c r="BUK387" s="1317"/>
      <c r="BUL387" s="1317"/>
      <c r="BUM387" s="1317"/>
      <c r="BUN387" s="1317"/>
      <c r="BUO387" s="1317"/>
      <c r="BUP387" s="1317"/>
      <c r="BUQ387" s="1317"/>
      <c r="BUR387" s="1317"/>
      <c r="BUS387" s="1317"/>
      <c r="BUT387" s="1317"/>
      <c r="BUU387" s="1317"/>
      <c r="BUV387" s="1317"/>
      <c r="BUW387" s="1317"/>
      <c r="BUX387" s="1317"/>
      <c r="BUY387" s="1317"/>
      <c r="BUZ387" s="1317"/>
      <c r="BVA387" s="1317"/>
      <c r="BVB387" s="1317"/>
      <c r="BVC387" s="1317"/>
      <c r="BVD387" s="1317"/>
      <c r="BVE387" s="1317"/>
      <c r="BVF387" s="1317"/>
      <c r="BVG387" s="1317"/>
      <c r="BVH387" s="1317"/>
      <c r="BVI387" s="1317"/>
      <c r="BVJ387" s="1317"/>
      <c r="BVK387" s="1317"/>
      <c r="BVL387" s="1317"/>
      <c r="BVM387" s="1317"/>
      <c r="BVN387" s="1317"/>
      <c r="BVO387" s="1317"/>
      <c r="BVP387" s="1317"/>
      <c r="BVQ387" s="1317"/>
      <c r="BVR387" s="1317"/>
      <c r="BVS387" s="1317"/>
      <c r="BVT387" s="1317"/>
      <c r="BVU387" s="1317"/>
      <c r="BVV387" s="1317"/>
      <c r="BVW387" s="1317"/>
      <c r="BVX387" s="1317"/>
      <c r="BVY387" s="1317"/>
      <c r="BVZ387" s="1317"/>
      <c r="BWA387" s="1317"/>
      <c r="BWB387" s="1317"/>
      <c r="BWC387" s="1317"/>
      <c r="BWD387" s="1317"/>
      <c r="BWE387" s="1317"/>
      <c r="BWF387" s="1317"/>
      <c r="BWG387" s="1317"/>
      <c r="BWH387" s="1317"/>
      <c r="BWI387" s="1317"/>
      <c r="BWJ387" s="1317"/>
      <c r="BWK387" s="1317"/>
      <c r="BWL387" s="1317"/>
      <c r="BWM387" s="1317"/>
      <c r="BWN387" s="1317"/>
      <c r="BWO387" s="1317"/>
      <c r="BWP387" s="1317"/>
      <c r="BWQ387" s="1317"/>
      <c r="BWR387" s="1317"/>
      <c r="BWS387" s="1317"/>
      <c r="BWT387" s="1317"/>
      <c r="BWU387" s="1317"/>
      <c r="BWV387" s="1317"/>
      <c r="BWW387" s="1317"/>
      <c r="BWX387" s="1317"/>
      <c r="BWY387" s="1317"/>
      <c r="BWZ387" s="1317"/>
      <c r="BXA387" s="1317"/>
      <c r="BXB387" s="1317"/>
      <c r="BXC387" s="1317"/>
      <c r="BXD387" s="1317"/>
      <c r="BXE387" s="1317"/>
      <c r="BXF387" s="1317"/>
      <c r="BXG387" s="1317"/>
      <c r="BXH387" s="1317"/>
      <c r="BXI387" s="1317"/>
      <c r="BXJ387" s="1317"/>
      <c r="BXK387" s="1317"/>
      <c r="BXL387" s="1317"/>
      <c r="BXM387" s="1317"/>
      <c r="BXN387" s="1317"/>
      <c r="BXO387" s="1317"/>
      <c r="BXP387" s="1317"/>
      <c r="BXQ387" s="1317"/>
      <c r="BXR387" s="1317"/>
      <c r="BXS387" s="1317"/>
      <c r="BXT387" s="1317"/>
      <c r="BXU387" s="1317"/>
      <c r="BXV387" s="1317"/>
      <c r="BXW387" s="1317"/>
      <c r="BXX387" s="1317"/>
      <c r="BXY387" s="1317"/>
      <c r="BXZ387" s="1317"/>
      <c r="BYA387" s="1317"/>
      <c r="BYB387" s="1317"/>
      <c r="BYC387" s="1317"/>
      <c r="BYD387" s="1317"/>
      <c r="BYE387" s="1317"/>
      <c r="BYF387" s="1317"/>
      <c r="BYG387" s="1317"/>
      <c r="BYH387" s="1317"/>
      <c r="BYI387" s="1317"/>
      <c r="BYJ387" s="1317"/>
      <c r="BYK387" s="1317"/>
      <c r="BYL387" s="1317"/>
      <c r="BYM387" s="1317"/>
      <c r="BYN387" s="1317"/>
      <c r="BYO387" s="1317"/>
      <c r="BYP387" s="1317"/>
      <c r="BYQ387" s="1317"/>
      <c r="BYR387" s="1317"/>
      <c r="BYS387" s="1317"/>
      <c r="BYT387" s="1317"/>
      <c r="BYU387" s="1317"/>
      <c r="BYV387" s="1317"/>
      <c r="BYW387" s="1317"/>
      <c r="BYX387" s="1317"/>
      <c r="BYY387" s="1317"/>
      <c r="BYZ387" s="1317"/>
      <c r="BZA387" s="1317"/>
      <c r="BZB387" s="1317"/>
      <c r="BZC387" s="1317"/>
      <c r="BZD387" s="1317"/>
      <c r="BZE387" s="1317"/>
      <c r="BZF387" s="1317"/>
      <c r="BZG387" s="1317"/>
      <c r="BZH387" s="1317"/>
      <c r="BZI387" s="1317"/>
      <c r="BZJ387" s="1317"/>
      <c r="BZK387" s="1317"/>
      <c r="BZL387" s="1317"/>
      <c r="BZM387" s="1317"/>
      <c r="BZN387" s="1317"/>
      <c r="BZO387" s="1317"/>
      <c r="BZP387" s="1317"/>
      <c r="BZQ387" s="1317"/>
      <c r="BZR387" s="1317"/>
      <c r="BZS387" s="1317"/>
      <c r="BZT387" s="1317"/>
      <c r="BZU387" s="1317"/>
      <c r="BZV387" s="1317"/>
      <c r="BZW387" s="1317"/>
      <c r="BZX387" s="1317"/>
      <c r="BZY387" s="1317"/>
      <c r="BZZ387" s="1317"/>
      <c r="CAA387" s="1317"/>
      <c r="CAB387" s="1317"/>
      <c r="CAC387" s="1317"/>
      <c r="CAD387" s="1317"/>
      <c r="CAE387" s="1317"/>
      <c r="CAF387" s="1317"/>
      <c r="CAG387" s="1317"/>
      <c r="CAH387" s="1317"/>
      <c r="CAI387" s="1317"/>
      <c r="CAJ387" s="1317"/>
      <c r="CAK387" s="1317"/>
      <c r="CAL387" s="1317"/>
      <c r="CAM387" s="1317"/>
      <c r="CAN387" s="1317"/>
      <c r="CAO387" s="1317"/>
      <c r="CAP387" s="1317"/>
      <c r="CAQ387" s="1317"/>
      <c r="CAR387" s="1317"/>
      <c r="CAS387" s="1317"/>
      <c r="CAT387" s="1317"/>
      <c r="CAU387" s="1317"/>
      <c r="CAV387" s="1317"/>
      <c r="CAW387" s="1317"/>
      <c r="CAX387" s="1317"/>
      <c r="CAY387" s="1317"/>
      <c r="CAZ387" s="1317"/>
      <c r="CBA387" s="1317"/>
      <c r="CBB387" s="1317"/>
      <c r="CBC387" s="1317"/>
      <c r="CBD387" s="1317"/>
      <c r="CBE387" s="1317"/>
      <c r="CBF387" s="1317"/>
      <c r="CBG387" s="1317"/>
      <c r="CBH387" s="1317"/>
      <c r="CBI387" s="1317"/>
      <c r="CBJ387" s="1317"/>
      <c r="CBK387" s="1317"/>
      <c r="CBL387" s="1317"/>
      <c r="CBM387" s="1317"/>
      <c r="CBN387" s="1317"/>
      <c r="CBO387" s="1317"/>
      <c r="CBP387" s="1317"/>
      <c r="CBQ387" s="1317"/>
      <c r="CBR387" s="1317"/>
      <c r="CBS387" s="1317"/>
      <c r="CBT387" s="1317"/>
      <c r="CBU387" s="1317"/>
      <c r="CBV387" s="1317"/>
      <c r="CBW387" s="1317"/>
      <c r="CBX387" s="1317"/>
      <c r="CBY387" s="1317"/>
      <c r="CBZ387" s="1317"/>
      <c r="CCA387" s="1317"/>
      <c r="CCB387" s="1317"/>
      <c r="CCC387" s="1317"/>
      <c r="CCD387" s="1317"/>
      <c r="CCE387" s="1317"/>
      <c r="CCF387" s="1317"/>
      <c r="CCG387" s="1317"/>
      <c r="CCH387" s="1317"/>
      <c r="CCI387" s="1317"/>
      <c r="CCJ387" s="1317"/>
      <c r="CCK387" s="1317"/>
      <c r="CCL387" s="1317"/>
      <c r="CCM387" s="1317"/>
      <c r="CCN387" s="1317"/>
      <c r="CCO387" s="1317"/>
      <c r="CCP387" s="1317"/>
      <c r="CCQ387" s="1317"/>
      <c r="CCR387" s="1317"/>
      <c r="CCS387" s="1317"/>
      <c r="CCT387" s="1317"/>
      <c r="CCU387" s="1317"/>
      <c r="CCV387" s="1317"/>
      <c r="CCW387" s="1317"/>
      <c r="CCX387" s="1317"/>
      <c r="CCY387" s="1317"/>
      <c r="CCZ387" s="1317"/>
      <c r="CDA387" s="1317"/>
      <c r="CDB387" s="1317"/>
      <c r="CDC387" s="1317"/>
      <c r="CDD387" s="1317"/>
      <c r="CDE387" s="1317"/>
      <c r="CDF387" s="1317"/>
      <c r="CDG387" s="1317"/>
      <c r="CDH387" s="1317"/>
      <c r="CDI387" s="1317"/>
      <c r="CDJ387" s="1317"/>
      <c r="CDK387" s="1317"/>
      <c r="CDL387" s="1317"/>
      <c r="CDM387" s="1317"/>
      <c r="CDN387" s="1317"/>
      <c r="CDO387" s="1317"/>
      <c r="CDP387" s="1317"/>
      <c r="CDQ387" s="1317"/>
      <c r="CDR387" s="1317"/>
      <c r="CDS387" s="1317"/>
      <c r="CDT387" s="1317"/>
      <c r="CDU387" s="1317"/>
      <c r="CDV387" s="1317"/>
      <c r="CDW387" s="1317"/>
      <c r="CDX387" s="1317"/>
      <c r="CDY387" s="1317"/>
      <c r="CDZ387" s="1317"/>
      <c r="CEA387" s="1317"/>
      <c r="CEB387" s="1317"/>
      <c r="CEC387" s="1317"/>
      <c r="CED387" s="1317"/>
      <c r="CEE387" s="1317"/>
      <c r="CEF387" s="1317"/>
      <c r="CEG387" s="1317"/>
      <c r="CEH387" s="1317"/>
      <c r="CEI387" s="1317"/>
      <c r="CEJ387" s="1317"/>
      <c r="CEK387" s="1317"/>
      <c r="CEL387" s="1317"/>
      <c r="CEM387" s="1317"/>
      <c r="CEN387" s="1317"/>
      <c r="CEO387" s="1317"/>
      <c r="CEP387" s="1317"/>
      <c r="CEQ387" s="1317"/>
      <c r="CER387" s="1317"/>
      <c r="CES387" s="1317"/>
      <c r="CET387" s="1317"/>
      <c r="CEU387" s="1317"/>
      <c r="CEV387" s="1317"/>
      <c r="CEW387" s="1317"/>
      <c r="CEX387" s="1317"/>
      <c r="CEY387" s="1317"/>
      <c r="CEZ387" s="1317"/>
      <c r="CFA387" s="1317"/>
      <c r="CFB387" s="1317"/>
      <c r="CFC387" s="1317"/>
      <c r="CFD387" s="1317"/>
      <c r="CFE387" s="1317"/>
      <c r="CFF387" s="1317"/>
      <c r="CFG387" s="1317"/>
      <c r="CFH387" s="1317"/>
      <c r="CFI387" s="1317"/>
      <c r="CFJ387" s="1317"/>
      <c r="CFK387" s="1317"/>
      <c r="CFL387" s="1317"/>
      <c r="CFM387" s="1317"/>
      <c r="CFN387" s="1317"/>
      <c r="CFO387" s="1317"/>
      <c r="CFP387" s="1317"/>
      <c r="CFQ387" s="1317"/>
      <c r="CFR387" s="1317"/>
      <c r="CFS387" s="1317"/>
      <c r="CFT387" s="1317"/>
      <c r="CFU387" s="1317"/>
      <c r="CFV387" s="1317"/>
      <c r="CFW387" s="1317"/>
      <c r="CFX387" s="1317"/>
      <c r="CFY387" s="1317"/>
      <c r="CFZ387" s="1317"/>
      <c r="CGA387" s="1317"/>
      <c r="CGB387" s="1317"/>
      <c r="CGC387" s="1317"/>
      <c r="CGD387" s="1317"/>
      <c r="CGE387" s="1317"/>
      <c r="CGF387" s="1317"/>
      <c r="CGG387" s="1317"/>
      <c r="CGH387" s="1317"/>
      <c r="CGI387" s="1317"/>
      <c r="CGJ387" s="1317"/>
      <c r="CGK387" s="1317"/>
      <c r="CGL387" s="1317"/>
      <c r="CGM387" s="1317"/>
      <c r="CGN387" s="1317"/>
      <c r="CGO387" s="1317"/>
      <c r="CGP387" s="1317"/>
      <c r="CGQ387" s="1317"/>
      <c r="CGR387" s="1317"/>
      <c r="CGS387" s="1317"/>
      <c r="CGT387" s="1317"/>
      <c r="CGU387" s="1317"/>
      <c r="CGV387" s="1317"/>
      <c r="CGW387" s="1317"/>
      <c r="CGX387" s="1317"/>
      <c r="CGY387" s="1317"/>
      <c r="CGZ387" s="1317"/>
      <c r="CHA387" s="1317"/>
      <c r="CHB387" s="1317"/>
      <c r="CHC387" s="1317"/>
      <c r="CHD387" s="1317"/>
      <c r="CHE387" s="1317"/>
      <c r="CHF387" s="1317"/>
      <c r="CHG387" s="1317"/>
      <c r="CHH387" s="1317"/>
      <c r="CHI387" s="1317"/>
      <c r="CHJ387" s="1317"/>
      <c r="CHK387" s="1317"/>
      <c r="CHL387" s="1317"/>
      <c r="CHM387" s="1317"/>
      <c r="CHN387" s="1317"/>
      <c r="CHO387" s="1317"/>
      <c r="CHP387" s="1317"/>
      <c r="CHQ387" s="1317"/>
      <c r="CHR387" s="1317"/>
      <c r="CHS387" s="1317"/>
      <c r="CHT387" s="1317"/>
      <c r="CHU387" s="1317"/>
      <c r="CHV387" s="1317"/>
      <c r="CHW387" s="1317"/>
      <c r="CHX387" s="1317"/>
      <c r="CHY387" s="1317"/>
      <c r="CHZ387" s="1317"/>
      <c r="CIA387" s="1317"/>
      <c r="CIB387" s="1317"/>
      <c r="CIC387" s="1317"/>
      <c r="CID387" s="1317"/>
      <c r="CIE387" s="1317"/>
      <c r="CIF387" s="1317"/>
      <c r="CIG387" s="1317"/>
      <c r="CIH387" s="1317"/>
      <c r="CII387" s="1317"/>
      <c r="CIJ387" s="1317"/>
      <c r="CIK387" s="1317"/>
      <c r="CIL387" s="1317"/>
      <c r="CIM387" s="1317"/>
      <c r="CIN387" s="1317"/>
      <c r="CIO387" s="1317"/>
      <c r="CIP387" s="1317"/>
      <c r="CIQ387" s="1317"/>
      <c r="CIR387" s="1317"/>
      <c r="CIS387" s="1317"/>
      <c r="CIT387" s="1317"/>
      <c r="CIU387" s="1317"/>
      <c r="CIV387" s="1317"/>
      <c r="CIW387" s="1317"/>
      <c r="CIX387" s="1317"/>
      <c r="CIY387" s="1317"/>
      <c r="CIZ387" s="1317"/>
      <c r="CJA387" s="1317"/>
      <c r="CJB387" s="1317"/>
      <c r="CJC387" s="1317"/>
      <c r="CJD387" s="1317"/>
      <c r="CJE387" s="1317"/>
      <c r="CJF387" s="1317"/>
      <c r="CJG387" s="1317"/>
      <c r="CJH387" s="1317"/>
      <c r="CJI387" s="1317"/>
      <c r="CJJ387" s="1317"/>
      <c r="CJK387" s="1317"/>
      <c r="CJL387" s="1317"/>
      <c r="CJM387" s="1317"/>
      <c r="CJN387" s="1317"/>
      <c r="CJO387" s="1317"/>
      <c r="CJP387" s="1317"/>
      <c r="CJQ387" s="1317"/>
      <c r="CJR387" s="1317"/>
      <c r="CJS387" s="1317"/>
      <c r="CJT387" s="1317"/>
      <c r="CJU387" s="1317"/>
      <c r="CJV387" s="1317"/>
      <c r="CJW387" s="1317"/>
      <c r="CJX387" s="1317"/>
      <c r="CJY387" s="1317"/>
      <c r="CJZ387" s="1317"/>
      <c r="CKA387" s="1317"/>
      <c r="CKB387" s="1317"/>
      <c r="CKC387" s="1317"/>
      <c r="CKD387" s="1317"/>
      <c r="CKE387" s="1317"/>
      <c r="CKF387" s="1317"/>
      <c r="CKG387" s="1317"/>
      <c r="CKH387" s="1317"/>
      <c r="CKI387" s="1317"/>
      <c r="CKJ387" s="1317"/>
      <c r="CKK387" s="1317"/>
      <c r="CKL387" s="1317"/>
      <c r="CKM387" s="1317"/>
      <c r="CKN387" s="1317"/>
      <c r="CKO387" s="1317"/>
      <c r="CKP387" s="1317"/>
      <c r="CKQ387" s="1317"/>
      <c r="CKR387" s="1317"/>
      <c r="CKS387" s="1317"/>
      <c r="CKT387" s="1317"/>
      <c r="CKU387" s="1317"/>
      <c r="CKV387" s="1317"/>
      <c r="CKW387" s="1317"/>
      <c r="CKX387" s="1317"/>
      <c r="CKY387" s="1317"/>
      <c r="CKZ387" s="1317"/>
      <c r="CLA387" s="1317"/>
      <c r="CLB387" s="1317"/>
      <c r="CLC387" s="1317"/>
      <c r="CLD387" s="1317"/>
      <c r="CLE387" s="1317"/>
      <c r="CLF387" s="1317"/>
      <c r="CLG387" s="1317"/>
      <c r="CLH387" s="1317"/>
      <c r="CLI387" s="1317"/>
      <c r="CLJ387" s="1317"/>
      <c r="CLK387" s="1317"/>
      <c r="CLL387" s="1317"/>
      <c r="CLM387" s="1317"/>
      <c r="CLN387" s="1317"/>
      <c r="CLO387" s="1317"/>
      <c r="CLP387" s="1317"/>
      <c r="CLQ387" s="1317"/>
      <c r="CLR387" s="1317"/>
      <c r="CLS387" s="1317"/>
      <c r="CLT387" s="1317"/>
      <c r="CLU387" s="1317"/>
      <c r="CLV387" s="1317"/>
      <c r="CLW387" s="1317"/>
      <c r="CLX387" s="1317"/>
      <c r="CLY387" s="1317"/>
      <c r="CLZ387" s="1317"/>
      <c r="CMA387" s="1317"/>
      <c r="CMB387" s="1317"/>
      <c r="CMC387" s="1317"/>
      <c r="CMD387" s="1317"/>
      <c r="CME387" s="1317"/>
      <c r="CMF387" s="1317"/>
      <c r="CMG387" s="1317"/>
      <c r="CMH387" s="1317"/>
      <c r="CMI387" s="1317"/>
      <c r="CMJ387" s="1317"/>
      <c r="CMK387" s="1317"/>
      <c r="CML387" s="1317"/>
      <c r="CMM387" s="1317"/>
      <c r="CMN387" s="1317"/>
      <c r="CMO387" s="1317"/>
      <c r="CMP387" s="1317"/>
      <c r="CMQ387" s="1317"/>
      <c r="CMR387" s="1317"/>
      <c r="CMS387" s="1317"/>
      <c r="CMT387" s="1317"/>
      <c r="CMU387" s="1317"/>
      <c r="CMV387" s="1317"/>
      <c r="CMW387" s="1317"/>
      <c r="CMX387" s="1317"/>
      <c r="CMY387" s="1317"/>
      <c r="CMZ387" s="1317"/>
      <c r="CNA387" s="1317"/>
      <c r="CNB387" s="1317"/>
      <c r="CNC387" s="1317"/>
      <c r="CND387" s="1317"/>
      <c r="CNE387" s="1317"/>
      <c r="CNF387" s="1317"/>
      <c r="CNG387" s="1317"/>
      <c r="CNH387" s="1317"/>
      <c r="CNI387" s="1317"/>
      <c r="CNJ387" s="1317"/>
      <c r="CNK387" s="1317"/>
      <c r="CNL387" s="1317"/>
      <c r="CNM387" s="1317"/>
      <c r="CNN387" s="1317"/>
      <c r="CNO387" s="1317"/>
      <c r="CNP387" s="1317"/>
      <c r="CNQ387" s="1317"/>
      <c r="CNR387" s="1317"/>
      <c r="CNS387" s="1317"/>
      <c r="CNT387" s="1317"/>
      <c r="CNU387" s="1317"/>
      <c r="CNV387" s="1317"/>
      <c r="CNW387" s="1317"/>
      <c r="CNX387" s="1317"/>
      <c r="CNY387" s="1317"/>
      <c r="CNZ387" s="1317"/>
      <c r="COA387" s="1317"/>
      <c r="COB387" s="1317"/>
      <c r="COC387" s="1317"/>
      <c r="COD387" s="1317"/>
      <c r="COE387" s="1317"/>
      <c r="COF387" s="1317"/>
      <c r="COG387" s="1317"/>
      <c r="COH387" s="1317"/>
      <c r="COI387" s="1317"/>
      <c r="COJ387" s="1317"/>
      <c r="COK387" s="1317"/>
      <c r="COL387" s="1317"/>
      <c r="COM387" s="1317"/>
      <c r="CON387" s="1317"/>
      <c r="COO387" s="1317"/>
      <c r="COP387" s="1317"/>
      <c r="COQ387" s="1317"/>
      <c r="COR387" s="1317"/>
      <c r="COS387" s="1317"/>
      <c r="COT387" s="1317"/>
      <c r="COU387" s="1317"/>
      <c r="COV387" s="1317"/>
      <c r="COW387" s="1317"/>
      <c r="COX387" s="1317"/>
      <c r="COY387" s="1317"/>
      <c r="COZ387" s="1317"/>
      <c r="CPA387" s="1317"/>
      <c r="CPB387" s="1317"/>
      <c r="CPC387" s="1317"/>
      <c r="CPD387" s="1317"/>
      <c r="CPE387" s="1317"/>
      <c r="CPF387" s="1317"/>
      <c r="CPG387" s="1317"/>
      <c r="CPH387" s="1317"/>
      <c r="CPI387" s="1317"/>
      <c r="CPJ387" s="1317"/>
      <c r="CPK387" s="1317"/>
      <c r="CPL387" s="1317"/>
      <c r="CPM387" s="1317"/>
      <c r="CPN387" s="1317"/>
      <c r="CPO387" s="1317"/>
      <c r="CPP387" s="1317"/>
      <c r="CPQ387" s="1317"/>
      <c r="CPR387" s="1317"/>
      <c r="CPS387" s="1317"/>
      <c r="CPT387" s="1317"/>
      <c r="CPU387" s="1317"/>
      <c r="CPV387" s="1317"/>
      <c r="CPW387" s="1317"/>
      <c r="CPX387" s="1317"/>
      <c r="CPY387" s="1317"/>
      <c r="CPZ387" s="1317"/>
      <c r="CQA387" s="1317"/>
      <c r="CQB387" s="1317"/>
      <c r="CQC387" s="1317"/>
      <c r="CQD387" s="1317"/>
      <c r="CQE387" s="1317"/>
      <c r="CQF387" s="1317"/>
      <c r="CQG387" s="1317"/>
      <c r="CQH387" s="1317"/>
      <c r="CQI387" s="1317"/>
      <c r="CQJ387" s="1317"/>
      <c r="CQK387" s="1317"/>
      <c r="CQL387" s="1317"/>
      <c r="CQM387" s="1317"/>
      <c r="CQN387" s="1317"/>
      <c r="CQO387" s="1317"/>
      <c r="CQP387" s="1317"/>
      <c r="CQQ387" s="1317"/>
      <c r="CQR387" s="1317"/>
      <c r="CQS387" s="1317"/>
      <c r="CQT387" s="1317"/>
      <c r="CQU387" s="1317"/>
      <c r="CQV387" s="1317"/>
      <c r="CQW387" s="1317"/>
      <c r="CQX387" s="1317"/>
      <c r="CQY387" s="1317"/>
      <c r="CQZ387" s="1317"/>
      <c r="CRA387" s="1317"/>
      <c r="CRB387" s="1317"/>
      <c r="CRC387" s="1317"/>
      <c r="CRD387" s="1317"/>
      <c r="CRE387" s="1317"/>
      <c r="CRF387" s="1317"/>
      <c r="CRG387" s="1317"/>
      <c r="CRH387" s="1317"/>
      <c r="CRI387" s="1317"/>
      <c r="CRJ387" s="1317"/>
      <c r="CRK387" s="1317"/>
      <c r="CRL387" s="1317"/>
      <c r="CRM387" s="1317"/>
      <c r="CRN387" s="1317"/>
      <c r="CRO387" s="1317"/>
      <c r="CRP387" s="1317"/>
      <c r="CRQ387" s="1317"/>
      <c r="CRR387" s="1317"/>
      <c r="CRS387" s="1317"/>
      <c r="CRT387" s="1317"/>
      <c r="CRU387" s="1317"/>
      <c r="CRV387" s="1317"/>
      <c r="CRW387" s="1317"/>
      <c r="CRX387" s="1317"/>
      <c r="CRY387" s="1317"/>
      <c r="CRZ387" s="1317"/>
      <c r="CSA387" s="1317"/>
      <c r="CSB387" s="1317"/>
      <c r="CSC387" s="1317"/>
      <c r="CSD387" s="1317"/>
      <c r="CSE387" s="1317"/>
      <c r="CSF387" s="1317"/>
      <c r="CSG387" s="1317"/>
      <c r="CSH387" s="1317"/>
      <c r="CSI387" s="1317"/>
      <c r="CSJ387" s="1317"/>
      <c r="CSK387" s="1317"/>
      <c r="CSL387" s="1317"/>
      <c r="CSM387" s="1317"/>
      <c r="CSN387" s="1317"/>
      <c r="CSO387" s="1317"/>
      <c r="CSP387" s="1317"/>
      <c r="CSQ387" s="1317"/>
      <c r="CSR387" s="1317"/>
      <c r="CSS387" s="1317"/>
      <c r="CST387" s="1317"/>
      <c r="CSU387" s="1317"/>
      <c r="CSV387" s="1317"/>
      <c r="CSW387" s="1317"/>
      <c r="CSX387" s="1317"/>
      <c r="CSY387" s="1317"/>
      <c r="CSZ387" s="1317"/>
      <c r="CTA387" s="1317"/>
      <c r="CTB387" s="1317"/>
      <c r="CTC387" s="1317"/>
      <c r="CTD387" s="1317"/>
      <c r="CTE387" s="1317"/>
      <c r="CTF387" s="1317"/>
      <c r="CTG387" s="1317"/>
      <c r="CTH387" s="1317"/>
      <c r="CTI387" s="1317"/>
      <c r="CTJ387" s="1317"/>
      <c r="CTK387" s="1317"/>
      <c r="CTL387" s="1317"/>
      <c r="CTM387" s="1317"/>
      <c r="CTN387" s="1317"/>
      <c r="CTO387" s="1317"/>
      <c r="CTP387" s="1317"/>
      <c r="CTQ387" s="1317"/>
      <c r="CTR387" s="1317"/>
      <c r="CTS387" s="1317"/>
      <c r="CTT387" s="1317"/>
      <c r="CTU387" s="1317"/>
      <c r="CTV387" s="1317"/>
      <c r="CTW387" s="1317"/>
      <c r="CTX387" s="1317"/>
      <c r="CTY387" s="1317"/>
      <c r="CTZ387" s="1317"/>
      <c r="CUA387" s="1317"/>
      <c r="CUB387" s="1317"/>
      <c r="CUC387" s="1317"/>
      <c r="CUD387" s="1317"/>
      <c r="CUE387" s="1317"/>
      <c r="CUF387" s="1317"/>
      <c r="CUG387" s="1317"/>
      <c r="CUH387" s="1317"/>
      <c r="CUI387" s="1317"/>
      <c r="CUJ387" s="1317"/>
      <c r="CUK387" s="1317"/>
      <c r="CUL387" s="1317"/>
      <c r="CUM387" s="1317"/>
      <c r="CUN387" s="1317"/>
      <c r="CUO387" s="1317"/>
      <c r="CUP387" s="1317"/>
      <c r="CUQ387" s="1317"/>
      <c r="CUR387" s="1317"/>
      <c r="CUS387" s="1317"/>
      <c r="CUT387" s="1317"/>
      <c r="CUU387" s="1317"/>
      <c r="CUV387" s="1317"/>
      <c r="CUW387" s="1317"/>
      <c r="CUX387" s="1317"/>
      <c r="CUY387" s="1317"/>
      <c r="CUZ387" s="1317"/>
      <c r="CVA387" s="1317"/>
      <c r="CVB387" s="1317"/>
      <c r="CVC387" s="1317"/>
      <c r="CVD387" s="1317"/>
      <c r="CVE387" s="1317"/>
      <c r="CVF387" s="1317"/>
      <c r="CVG387" s="1317"/>
      <c r="CVH387" s="1317"/>
      <c r="CVI387" s="1317"/>
      <c r="CVJ387" s="1317"/>
      <c r="CVK387" s="1317"/>
      <c r="CVL387" s="1317"/>
      <c r="CVM387" s="1317"/>
      <c r="CVN387" s="1317"/>
      <c r="CVO387" s="1317"/>
      <c r="CVP387" s="1317"/>
      <c r="CVQ387" s="1317"/>
      <c r="CVR387" s="1317"/>
      <c r="CVS387" s="1317"/>
      <c r="CVT387" s="1317"/>
      <c r="CVU387" s="1317"/>
      <c r="CVV387" s="1317"/>
      <c r="CVW387" s="1317"/>
      <c r="CVX387" s="1317"/>
      <c r="CVY387" s="1317"/>
      <c r="CVZ387" s="1317"/>
      <c r="CWA387" s="1317"/>
      <c r="CWB387" s="1317"/>
      <c r="CWC387" s="1317"/>
      <c r="CWD387" s="1317"/>
      <c r="CWE387" s="1317"/>
      <c r="CWF387" s="1317"/>
      <c r="CWG387" s="1317"/>
      <c r="CWH387" s="1317"/>
      <c r="CWI387" s="1317"/>
      <c r="CWJ387" s="1317"/>
      <c r="CWK387" s="1317"/>
      <c r="CWL387" s="1317"/>
      <c r="CWM387" s="1317"/>
      <c r="CWN387" s="1317"/>
      <c r="CWO387" s="1317"/>
      <c r="CWP387" s="1317"/>
      <c r="CWQ387" s="1317"/>
      <c r="CWR387" s="1317"/>
      <c r="CWS387" s="1317"/>
      <c r="CWT387" s="1317"/>
      <c r="CWU387" s="1317"/>
      <c r="CWV387" s="1317"/>
      <c r="CWW387" s="1317"/>
      <c r="CWX387" s="1317"/>
      <c r="CWY387" s="1317"/>
      <c r="CWZ387" s="1317"/>
      <c r="CXA387" s="1317"/>
      <c r="CXB387" s="1317"/>
      <c r="CXC387" s="1317"/>
      <c r="CXD387" s="1317"/>
      <c r="CXE387" s="1317"/>
      <c r="CXF387" s="1317"/>
      <c r="CXG387" s="1317"/>
      <c r="CXH387" s="1317"/>
      <c r="CXI387" s="1317"/>
      <c r="CXJ387" s="1317"/>
      <c r="CXK387" s="1317"/>
      <c r="CXL387" s="1317"/>
      <c r="CXM387" s="1317"/>
      <c r="CXN387" s="1317"/>
      <c r="CXO387" s="1317"/>
      <c r="CXP387" s="1317"/>
      <c r="CXQ387" s="1317"/>
      <c r="CXR387" s="1317"/>
      <c r="CXS387" s="1317"/>
      <c r="CXT387" s="1317"/>
      <c r="CXU387" s="1317"/>
      <c r="CXV387" s="1317"/>
      <c r="CXW387" s="1317"/>
      <c r="CXX387" s="1317"/>
      <c r="CXY387" s="1317"/>
      <c r="CXZ387" s="1317"/>
      <c r="CYA387" s="1317"/>
      <c r="CYB387" s="1317"/>
      <c r="CYC387" s="1317"/>
      <c r="CYD387" s="1317"/>
      <c r="CYE387" s="1317"/>
      <c r="CYF387" s="1317"/>
      <c r="CYG387" s="1317"/>
      <c r="CYH387" s="1317"/>
      <c r="CYI387" s="1317"/>
      <c r="CYJ387" s="1317"/>
      <c r="CYK387" s="1317"/>
      <c r="CYL387" s="1317"/>
      <c r="CYM387" s="1317"/>
      <c r="CYN387" s="1317"/>
      <c r="CYO387" s="1317"/>
      <c r="CYP387" s="1317"/>
      <c r="CYQ387" s="1317"/>
      <c r="CYR387" s="1317"/>
      <c r="CYS387" s="1317"/>
      <c r="CYT387" s="1317"/>
      <c r="CYU387" s="1317"/>
      <c r="CYV387" s="1317"/>
      <c r="CYW387" s="1317"/>
      <c r="CYX387" s="1317"/>
      <c r="CYY387" s="1317"/>
      <c r="CYZ387" s="1317"/>
      <c r="CZA387" s="1317"/>
      <c r="CZB387" s="1317"/>
      <c r="CZC387" s="1317"/>
      <c r="CZD387" s="1317"/>
      <c r="CZE387" s="1317"/>
      <c r="CZF387" s="1317"/>
      <c r="CZG387" s="1317"/>
      <c r="CZH387" s="1317"/>
      <c r="CZI387" s="1317"/>
      <c r="CZJ387" s="1317"/>
      <c r="CZK387" s="1317"/>
      <c r="CZL387" s="1317"/>
      <c r="CZM387" s="1317"/>
      <c r="CZN387" s="1317"/>
      <c r="CZO387" s="1317"/>
      <c r="CZP387" s="1317"/>
      <c r="CZQ387" s="1317"/>
      <c r="CZR387" s="1317"/>
      <c r="CZS387" s="1317"/>
      <c r="CZT387" s="1317"/>
      <c r="CZU387" s="1317"/>
      <c r="CZV387" s="1317"/>
      <c r="CZW387" s="1317"/>
      <c r="CZX387" s="1317"/>
      <c r="CZY387" s="1317"/>
      <c r="CZZ387" s="1317"/>
      <c r="DAA387" s="1317"/>
      <c r="DAB387" s="1317"/>
      <c r="DAC387" s="1317"/>
      <c r="DAD387" s="1317"/>
      <c r="DAE387" s="1317"/>
      <c r="DAF387" s="1317"/>
      <c r="DAG387" s="1317"/>
      <c r="DAH387" s="1317"/>
      <c r="DAI387" s="1317"/>
      <c r="DAJ387" s="1317"/>
      <c r="DAK387" s="1317"/>
      <c r="DAL387" s="1317"/>
      <c r="DAM387" s="1317"/>
      <c r="DAN387" s="1317"/>
      <c r="DAO387" s="1317"/>
      <c r="DAP387" s="1317"/>
      <c r="DAQ387" s="1317"/>
      <c r="DAR387" s="1317"/>
      <c r="DAS387" s="1317"/>
      <c r="DAT387" s="1317"/>
      <c r="DAU387" s="1317"/>
      <c r="DAV387" s="1317"/>
      <c r="DAW387" s="1317"/>
      <c r="DAX387" s="1317"/>
      <c r="DAY387" s="1317"/>
      <c r="DAZ387" s="1317"/>
      <c r="DBA387" s="1317"/>
      <c r="DBB387" s="1317"/>
      <c r="DBC387" s="1317"/>
      <c r="DBD387" s="1317"/>
      <c r="DBE387" s="1317"/>
      <c r="DBF387" s="1317"/>
      <c r="DBG387" s="1317"/>
      <c r="DBH387" s="1317"/>
      <c r="DBI387" s="1317"/>
      <c r="DBJ387" s="1317"/>
      <c r="DBK387" s="1317"/>
      <c r="DBL387" s="1317"/>
      <c r="DBM387" s="1317"/>
      <c r="DBN387" s="1317"/>
      <c r="DBO387" s="1317"/>
      <c r="DBP387" s="1317"/>
      <c r="DBQ387" s="1317"/>
      <c r="DBR387" s="1317"/>
      <c r="DBS387" s="1317"/>
      <c r="DBT387" s="1317"/>
      <c r="DBU387" s="1317"/>
      <c r="DBV387" s="1317"/>
      <c r="DBW387" s="1317"/>
      <c r="DBX387" s="1317"/>
      <c r="DBY387" s="1317"/>
      <c r="DBZ387" s="1317"/>
      <c r="DCA387" s="1317"/>
      <c r="DCB387" s="1317"/>
      <c r="DCC387" s="1317"/>
      <c r="DCD387" s="1317"/>
      <c r="DCE387" s="1317"/>
      <c r="DCF387" s="1317"/>
      <c r="DCG387" s="1317"/>
      <c r="DCH387" s="1317"/>
      <c r="DCI387" s="1317"/>
      <c r="DCJ387" s="1317"/>
      <c r="DCK387" s="1317"/>
      <c r="DCL387" s="1317"/>
      <c r="DCM387" s="1317"/>
      <c r="DCN387" s="1317"/>
      <c r="DCO387" s="1317"/>
      <c r="DCP387" s="1317"/>
      <c r="DCQ387" s="1317"/>
      <c r="DCR387" s="1317"/>
      <c r="DCS387" s="1317"/>
      <c r="DCT387" s="1317"/>
      <c r="DCU387" s="1317"/>
      <c r="DCV387" s="1317"/>
      <c r="DCW387" s="1317"/>
      <c r="DCX387" s="1317"/>
      <c r="DCY387" s="1317"/>
      <c r="DCZ387" s="1317"/>
      <c r="DDA387" s="1317"/>
      <c r="DDB387" s="1317"/>
      <c r="DDC387" s="1317"/>
      <c r="DDD387" s="1317"/>
      <c r="DDE387" s="1317"/>
      <c r="DDF387" s="1317"/>
      <c r="DDG387" s="1317"/>
      <c r="DDH387" s="1317"/>
      <c r="DDI387" s="1317"/>
      <c r="DDJ387" s="1317"/>
      <c r="DDK387" s="1317"/>
      <c r="DDL387" s="1317"/>
      <c r="DDM387" s="1317"/>
      <c r="DDN387" s="1317"/>
      <c r="DDO387" s="1317"/>
      <c r="DDP387" s="1317"/>
      <c r="DDQ387" s="1317"/>
      <c r="DDR387" s="1317"/>
      <c r="DDS387" s="1317"/>
      <c r="DDT387" s="1317"/>
      <c r="DDU387" s="1317"/>
      <c r="DDV387" s="1317"/>
      <c r="DDW387" s="1317"/>
      <c r="DDX387" s="1317"/>
      <c r="DDY387" s="1317"/>
      <c r="DDZ387" s="1317"/>
      <c r="DEA387" s="1317"/>
      <c r="DEB387" s="1317"/>
      <c r="DEC387" s="1317"/>
      <c r="DED387" s="1317"/>
      <c r="DEE387" s="1317"/>
      <c r="DEF387" s="1317"/>
      <c r="DEG387" s="1317"/>
      <c r="DEH387" s="1317"/>
      <c r="DEI387" s="1317"/>
      <c r="DEJ387" s="1317"/>
      <c r="DEK387" s="1317"/>
      <c r="DEL387" s="1317"/>
      <c r="DEM387" s="1317"/>
      <c r="DEN387" s="1317"/>
      <c r="DEO387" s="1317"/>
      <c r="DEP387" s="1317"/>
      <c r="DEQ387" s="1317"/>
      <c r="DER387" s="1317"/>
      <c r="DES387" s="1317"/>
      <c r="DET387" s="1317"/>
      <c r="DEU387" s="1317"/>
      <c r="DEV387" s="1317"/>
      <c r="DEW387" s="1317"/>
      <c r="DEX387" s="1317"/>
      <c r="DEY387" s="1317"/>
      <c r="DEZ387" s="1317"/>
      <c r="DFA387" s="1317"/>
      <c r="DFB387" s="1317"/>
      <c r="DFC387" s="1317"/>
      <c r="DFD387" s="1317"/>
      <c r="DFE387" s="1317"/>
      <c r="DFF387" s="1317"/>
      <c r="DFG387" s="1317"/>
      <c r="DFH387" s="1317"/>
      <c r="DFI387" s="1317"/>
      <c r="DFJ387" s="1317"/>
      <c r="DFK387" s="1317"/>
      <c r="DFL387" s="1317"/>
      <c r="DFM387" s="1317"/>
      <c r="DFN387" s="1317"/>
      <c r="DFO387" s="1317"/>
      <c r="DFP387" s="1317"/>
      <c r="DFQ387" s="1317"/>
      <c r="DFR387" s="1317"/>
      <c r="DFS387" s="1317"/>
      <c r="DFT387" s="1317"/>
      <c r="DFU387" s="1317"/>
      <c r="DFV387" s="1317"/>
      <c r="DFW387" s="1317"/>
      <c r="DFX387" s="1317"/>
      <c r="DFY387" s="1317"/>
      <c r="DFZ387" s="1317"/>
      <c r="DGA387" s="1317"/>
      <c r="DGB387" s="1317"/>
      <c r="DGC387" s="1317"/>
      <c r="DGD387" s="1317"/>
      <c r="DGE387" s="1317"/>
      <c r="DGF387" s="1317"/>
      <c r="DGG387" s="1317"/>
      <c r="DGH387" s="1317"/>
      <c r="DGI387" s="1317"/>
      <c r="DGJ387" s="1317"/>
      <c r="DGK387" s="1317"/>
      <c r="DGL387" s="1317"/>
      <c r="DGM387" s="1317"/>
      <c r="DGN387" s="1317"/>
      <c r="DGO387" s="1317"/>
      <c r="DGP387" s="1317"/>
      <c r="DGQ387" s="1317"/>
      <c r="DGR387" s="1317"/>
      <c r="DGS387" s="1317"/>
      <c r="DGT387" s="1317"/>
      <c r="DGU387" s="1317"/>
      <c r="DGV387" s="1317"/>
      <c r="DGW387" s="1317"/>
      <c r="DGX387" s="1317"/>
      <c r="DGY387" s="1317"/>
      <c r="DGZ387" s="1317"/>
      <c r="DHA387" s="1317"/>
      <c r="DHB387" s="1317"/>
      <c r="DHC387" s="1317"/>
      <c r="DHD387" s="1317"/>
      <c r="DHE387" s="1317"/>
      <c r="DHF387" s="1317"/>
      <c r="DHG387" s="1317"/>
      <c r="DHH387" s="1317"/>
      <c r="DHI387" s="1317"/>
      <c r="DHJ387" s="1317"/>
      <c r="DHK387" s="1317"/>
      <c r="DHL387" s="1317"/>
      <c r="DHM387" s="1317"/>
      <c r="DHN387" s="1317"/>
      <c r="DHO387" s="1317"/>
      <c r="DHP387" s="1317"/>
      <c r="DHQ387" s="1317"/>
      <c r="DHR387" s="1317"/>
      <c r="DHS387" s="1317"/>
      <c r="DHT387" s="1317"/>
      <c r="DHU387" s="1317"/>
      <c r="DHV387" s="1317"/>
      <c r="DHW387" s="1317"/>
      <c r="DHX387" s="1317"/>
      <c r="DHY387" s="1317"/>
      <c r="DHZ387" s="1317"/>
      <c r="DIA387" s="1317"/>
      <c r="DIB387" s="1317"/>
      <c r="DIC387" s="1317"/>
      <c r="DID387" s="1317"/>
      <c r="DIE387" s="1317"/>
      <c r="DIF387" s="1317"/>
      <c r="DIG387" s="1317"/>
      <c r="DIH387" s="1317"/>
      <c r="DII387" s="1317"/>
      <c r="DIJ387" s="1317"/>
      <c r="DIK387" s="1317"/>
      <c r="DIL387" s="1317"/>
      <c r="DIM387" s="1317"/>
      <c r="DIN387" s="1317"/>
      <c r="DIO387" s="1317"/>
      <c r="DIP387" s="1317"/>
      <c r="DIQ387" s="1317"/>
      <c r="DIR387" s="1317"/>
      <c r="DIS387" s="1317"/>
      <c r="DIT387" s="1317"/>
      <c r="DIU387" s="1317"/>
      <c r="DIV387" s="1317"/>
      <c r="DIW387" s="1317"/>
      <c r="DIX387" s="1317"/>
      <c r="DIY387" s="1317"/>
      <c r="DIZ387" s="1317"/>
      <c r="DJA387" s="1317"/>
      <c r="DJB387" s="1317"/>
      <c r="DJC387" s="1317"/>
      <c r="DJD387" s="1317"/>
      <c r="DJE387" s="1317"/>
      <c r="DJF387" s="1317"/>
      <c r="DJG387" s="1317"/>
      <c r="DJH387" s="1317"/>
      <c r="DJI387" s="1317"/>
      <c r="DJJ387" s="1317"/>
      <c r="DJK387" s="1317"/>
      <c r="DJL387" s="1317"/>
      <c r="DJM387" s="1317"/>
      <c r="DJN387" s="1317"/>
      <c r="DJO387" s="1317"/>
      <c r="DJP387" s="1317"/>
      <c r="DJQ387" s="1317"/>
      <c r="DJR387" s="1317"/>
      <c r="DJS387" s="1317"/>
      <c r="DJT387" s="1317"/>
      <c r="DJU387" s="1317"/>
      <c r="DJV387" s="1317"/>
      <c r="DJW387" s="1317"/>
      <c r="DJX387" s="1317"/>
      <c r="DJY387" s="1317"/>
      <c r="DJZ387" s="1317"/>
      <c r="DKA387" s="1317"/>
      <c r="DKB387" s="1317"/>
      <c r="DKC387" s="1317"/>
      <c r="DKD387" s="1317"/>
      <c r="DKE387" s="1317"/>
      <c r="DKF387" s="1317"/>
      <c r="DKG387" s="1317"/>
      <c r="DKH387" s="1317"/>
      <c r="DKI387" s="1317"/>
      <c r="DKJ387" s="1317"/>
      <c r="DKK387" s="1317"/>
      <c r="DKL387" s="1317"/>
      <c r="DKM387" s="1317"/>
      <c r="DKN387" s="1317"/>
      <c r="DKO387" s="1317"/>
      <c r="DKP387" s="1317"/>
      <c r="DKQ387" s="1317"/>
      <c r="DKR387" s="1317"/>
      <c r="DKS387" s="1317"/>
      <c r="DKT387" s="1317"/>
      <c r="DKU387" s="1317"/>
      <c r="DKV387" s="1317"/>
      <c r="DKW387" s="1317"/>
      <c r="DKX387" s="1317"/>
      <c r="DKY387" s="1317"/>
      <c r="DKZ387" s="1317"/>
      <c r="DLA387" s="1317"/>
      <c r="DLB387" s="1317"/>
      <c r="DLC387" s="1317"/>
      <c r="DLD387" s="1317"/>
      <c r="DLE387" s="1317"/>
      <c r="DLF387" s="1317"/>
      <c r="DLG387" s="1317"/>
      <c r="DLH387" s="1317"/>
      <c r="DLI387" s="1317"/>
      <c r="DLJ387" s="1317"/>
      <c r="DLK387" s="1317"/>
      <c r="DLL387" s="1317"/>
      <c r="DLM387" s="1317"/>
      <c r="DLN387" s="1317"/>
      <c r="DLO387" s="1317"/>
      <c r="DLP387" s="1317"/>
      <c r="DLQ387" s="1317"/>
      <c r="DLR387" s="1317"/>
      <c r="DLS387" s="1317"/>
      <c r="DLT387" s="1317"/>
      <c r="DLU387" s="1317"/>
      <c r="DLV387" s="1317"/>
      <c r="DLW387" s="1317"/>
      <c r="DLX387" s="1317"/>
      <c r="DLY387" s="1317"/>
      <c r="DLZ387" s="1317"/>
      <c r="DMA387" s="1317"/>
      <c r="DMB387" s="1317"/>
      <c r="DMC387" s="1317"/>
      <c r="DMD387" s="1317"/>
      <c r="DME387" s="1317"/>
      <c r="DMF387" s="1317"/>
      <c r="DMG387" s="1317"/>
      <c r="DMH387" s="1317"/>
      <c r="DMI387" s="1317"/>
      <c r="DMJ387" s="1317"/>
      <c r="DMK387" s="1317"/>
      <c r="DML387" s="1317"/>
      <c r="DMM387" s="1317"/>
      <c r="DMN387" s="1317"/>
      <c r="DMO387" s="1317"/>
      <c r="DMP387" s="1317"/>
      <c r="DMQ387" s="1317"/>
      <c r="DMR387" s="1317"/>
      <c r="DMS387" s="1317"/>
      <c r="DMT387" s="1317"/>
      <c r="DMU387" s="1317"/>
      <c r="DMV387" s="1317"/>
      <c r="DMW387" s="1317"/>
      <c r="DMX387" s="1317"/>
      <c r="DMY387" s="1317"/>
      <c r="DMZ387" s="1317"/>
      <c r="DNA387" s="1317"/>
      <c r="DNB387" s="1317"/>
      <c r="DNC387" s="1317"/>
      <c r="DND387" s="1317"/>
      <c r="DNE387" s="1317"/>
      <c r="DNF387" s="1317"/>
      <c r="DNG387" s="1317"/>
      <c r="DNH387" s="1317"/>
      <c r="DNI387" s="1317"/>
      <c r="DNJ387" s="1317"/>
      <c r="DNK387" s="1317"/>
      <c r="DNL387" s="1317"/>
      <c r="DNM387" s="1317"/>
      <c r="DNN387" s="1317"/>
      <c r="DNO387" s="1317"/>
      <c r="DNP387" s="1317"/>
      <c r="DNQ387" s="1317"/>
      <c r="DNR387" s="1317"/>
      <c r="DNS387" s="1317"/>
      <c r="DNT387" s="1317"/>
      <c r="DNU387" s="1317"/>
      <c r="DNV387" s="1317"/>
      <c r="DNW387" s="1317"/>
      <c r="DNX387" s="1317"/>
      <c r="DNY387" s="1317"/>
      <c r="DNZ387" s="1317"/>
      <c r="DOA387" s="1317"/>
      <c r="DOB387" s="1317"/>
      <c r="DOC387" s="1317"/>
      <c r="DOD387" s="1317"/>
      <c r="DOE387" s="1317"/>
      <c r="DOF387" s="1317"/>
      <c r="DOG387" s="1317"/>
      <c r="DOH387" s="1317"/>
      <c r="DOI387" s="1317"/>
      <c r="DOJ387" s="1317"/>
      <c r="DOK387" s="1317"/>
      <c r="DOL387" s="1317"/>
      <c r="DOM387" s="1317"/>
      <c r="DON387" s="1317"/>
      <c r="DOO387" s="1317"/>
      <c r="DOP387" s="1317"/>
      <c r="DOQ387" s="1317"/>
      <c r="DOR387" s="1317"/>
      <c r="DOS387" s="1317"/>
      <c r="DOT387" s="1317"/>
      <c r="DOU387" s="1317"/>
      <c r="DOV387" s="1317"/>
      <c r="DOW387" s="1317"/>
      <c r="DOX387" s="1317"/>
      <c r="DOY387" s="1317"/>
      <c r="DOZ387" s="1317"/>
      <c r="DPA387" s="1317"/>
      <c r="DPB387" s="1317"/>
      <c r="DPC387" s="1317"/>
      <c r="DPD387" s="1317"/>
      <c r="DPE387" s="1317"/>
      <c r="DPF387" s="1317"/>
      <c r="DPG387" s="1317"/>
      <c r="DPH387" s="1317"/>
      <c r="DPI387" s="1317"/>
      <c r="DPJ387" s="1317"/>
      <c r="DPK387" s="1317"/>
      <c r="DPL387" s="1317"/>
      <c r="DPM387" s="1317"/>
      <c r="DPN387" s="1317"/>
      <c r="DPO387" s="1317"/>
      <c r="DPP387" s="1317"/>
      <c r="DPQ387" s="1317"/>
      <c r="DPR387" s="1317"/>
      <c r="DPS387" s="1317"/>
      <c r="DPT387" s="1317"/>
      <c r="DPU387" s="1317"/>
      <c r="DPV387" s="1317"/>
      <c r="DPW387" s="1317"/>
      <c r="DPX387" s="1317"/>
      <c r="DPY387" s="1317"/>
      <c r="DPZ387" s="1317"/>
      <c r="DQA387" s="1317"/>
      <c r="DQB387" s="1317"/>
      <c r="DQC387" s="1317"/>
      <c r="DQD387" s="1317"/>
      <c r="DQE387" s="1317"/>
      <c r="DQF387" s="1317"/>
      <c r="DQG387" s="1317"/>
      <c r="DQH387" s="1317"/>
      <c r="DQI387" s="1317"/>
      <c r="DQJ387" s="1317"/>
      <c r="DQK387" s="1317"/>
      <c r="DQL387" s="1317"/>
      <c r="DQM387" s="1317"/>
      <c r="DQN387" s="1317"/>
      <c r="DQO387" s="1317"/>
      <c r="DQP387" s="1317"/>
      <c r="DQQ387" s="1317"/>
      <c r="DQR387" s="1317"/>
      <c r="DQS387" s="1317"/>
      <c r="DQT387" s="1317"/>
      <c r="DQU387" s="1317"/>
      <c r="DQV387" s="1317"/>
      <c r="DQW387" s="1317"/>
      <c r="DQX387" s="1317"/>
      <c r="DQY387" s="1317"/>
      <c r="DQZ387" s="1317"/>
      <c r="DRA387" s="1317"/>
      <c r="DRB387" s="1317"/>
      <c r="DRC387" s="1317"/>
      <c r="DRD387" s="1317"/>
      <c r="DRE387" s="1317"/>
      <c r="DRF387" s="1317"/>
      <c r="DRG387" s="1317"/>
      <c r="DRH387" s="1317"/>
      <c r="DRI387" s="1317"/>
      <c r="DRJ387" s="1317"/>
      <c r="DRK387" s="1317"/>
      <c r="DRL387" s="1317"/>
      <c r="DRM387" s="1317"/>
      <c r="DRN387" s="1317"/>
      <c r="DRO387" s="1317"/>
      <c r="DRP387" s="1317"/>
      <c r="DRQ387" s="1317"/>
      <c r="DRR387" s="1317"/>
      <c r="DRS387" s="1317"/>
      <c r="DRT387" s="1317"/>
      <c r="DRU387" s="1317"/>
      <c r="DRV387" s="1317"/>
      <c r="DRW387" s="1317"/>
      <c r="DRX387" s="1317"/>
      <c r="DRY387" s="1317"/>
      <c r="DRZ387" s="1317"/>
      <c r="DSA387" s="1317"/>
      <c r="DSB387" s="1317"/>
      <c r="DSC387" s="1317"/>
      <c r="DSD387" s="1317"/>
      <c r="DSE387" s="1317"/>
      <c r="DSF387" s="1317"/>
      <c r="DSG387" s="1317"/>
      <c r="DSH387" s="1317"/>
      <c r="DSI387" s="1317"/>
      <c r="DSJ387" s="1317"/>
      <c r="DSK387" s="1317"/>
      <c r="DSL387" s="1317"/>
      <c r="DSM387" s="1317"/>
      <c r="DSN387" s="1317"/>
      <c r="DSO387" s="1317"/>
      <c r="DSP387" s="1317"/>
      <c r="DSQ387" s="1317"/>
      <c r="DSR387" s="1317"/>
      <c r="DSS387" s="1317"/>
      <c r="DST387" s="1317"/>
      <c r="DSU387" s="1317"/>
      <c r="DSV387" s="1317"/>
      <c r="DSW387" s="1317"/>
      <c r="DSX387" s="1317"/>
      <c r="DSY387" s="1317"/>
      <c r="DSZ387" s="1317"/>
      <c r="DTA387" s="1317"/>
      <c r="DTB387" s="1317"/>
      <c r="DTC387" s="1317"/>
      <c r="DTD387" s="1317"/>
      <c r="DTE387" s="1317"/>
      <c r="DTF387" s="1317"/>
      <c r="DTG387" s="1317"/>
      <c r="DTH387" s="1317"/>
      <c r="DTI387" s="1317"/>
      <c r="DTJ387" s="1317"/>
      <c r="DTK387" s="1317"/>
      <c r="DTL387" s="1317"/>
      <c r="DTM387" s="1317"/>
      <c r="DTN387" s="1317"/>
      <c r="DTO387" s="1317"/>
      <c r="DTP387" s="1317"/>
      <c r="DTQ387" s="1317"/>
      <c r="DTR387" s="1317"/>
      <c r="DTS387" s="1317"/>
      <c r="DTT387" s="1317"/>
      <c r="DTU387" s="1317"/>
      <c r="DTV387" s="1317"/>
      <c r="DTW387" s="1317"/>
      <c r="DTX387" s="1317"/>
      <c r="DTY387" s="1317"/>
      <c r="DTZ387" s="1317"/>
      <c r="DUA387" s="1317"/>
      <c r="DUB387" s="1317"/>
      <c r="DUC387" s="1317"/>
      <c r="DUD387" s="1317"/>
      <c r="DUE387" s="1317"/>
      <c r="DUF387" s="1317"/>
      <c r="DUG387" s="1317"/>
      <c r="DUH387" s="1317"/>
      <c r="DUI387" s="1317"/>
      <c r="DUJ387" s="1317"/>
      <c r="DUK387" s="1317"/>
      <c r="DUL387" s="1317"/>
      <c r="DUM387" s="1317"/>
      <c r="DUN387" s="1317"/>
      <c r="DUO387" s="1317"/>
      <c r="DUP387" s="1317"/>
      <c r="DUQ387" s="1317"/>
      <c r="DUR387" s="1317"/>
      <c r="DUS387" s="1317"/>
      <c r="DUT387" s="1317"/>
      <c r="DUU387" s="1317"/>
      <c r="DUV387" s="1317"/>
      <c r="DUW387" s="1317"/>
      <c r="DUX387" s="1317"/>
      <c r="DUY387" s="1317"/>
      <c r="DUZ387" s="1317"/>
      <c r="DVA387" s="1317"/>
      <c r="DVB387" s="1317"/>
      <c r="DVC387" s="1317"/>
      <c r="DVD387" s="1317"/>
      <c r="DVE387" s="1317"/>
      <c r="DVF387" s="1317"/>
      <c r="DVG387" s="1317"/>
      <c r="DVH387" s="1317"/>
      <c r="DVI387" s="1317"/>
      <c r="DVJ387" s="1317"/>
      <c r="DVK387" s="1317"/>
      <c r="DVL387" s="1317"/>
      <c r="DVM387" s="1317"/>
      <c r="DVN387" s="1317"/>
      <c r="DVO387" s="1317"/>
      <c r="DVP387" s="1317"/>
      <c r="DVQ387" s="1317"/>
      <c r="DVR387" s="1317"/>
      <c r="DVS387" s="1317"/>
      <c r="DVT387" s="1317"/>
      <c r="DVU387" s="1317"/>
      <c r="DVV387" s="1317"/>
      <c r="DVW387" s="1317"/>
      <c r="DVX387" s="1317"/>
      <c r="DVY387" s="1317"/>
      <c r="DVZ387" s="1317"/>
      <c r="DWA387" s="1317"/>
      <c r="DWB387" s="1317"/>
      <c r="DWC387" s="1317"/>
      <c r="DWD387" s="1317"/>
      <c r="DWE387" s="1317"/>
      <c r="DWF387" s="1317"/>
      <c r="DWG387" s="1317"/>
      <c r="DWH387" s="1317"/>
      <c r="DWI387" s="1317"/>
      <c r="DWJ387" s="1317"/>
      <c r="DWK387" s="1317"/>
      <c r="DWL387" s="1317"/>
      <c r="DWM387" s="1317"/>
      <c r="DWN387" s="1317"/>
      <c r="DWO387" s="1317"/>
      <c r="DWP387" s="1317"/>
      <c r="DWQ387" s="1317"/>
      <c r="DWR387" s="1317"/>
      <c r="DWS387" s="1317"/>
      <c r="DWT387" s="1317"/>
      <c r="DWU387" s="1317"/>
      <c r="DWV387" s="1317"/>
      <c r="DWW387" s="1317"/>
      <c r="DWX387" s="1317"/>
      <c r="DWY387" s="1317"/>
      <c r="DWZ387" s="1317"/>
      <c r="DXA387" s="1317"/>
      <c r="DXB387" s="1317"/>
      <c r="DXC387" s="1317"/>
      <c r="DXD387" s="1317"/>
      <c r="DXE387" s="1317"/>
      <c r="DXF387" s="1317"/>
      <c r="DXG387" s="1317"/>
      <c r="DXH387" s="1317"/>
      <c r="DXI387" s="1317"/>
      <c r="DXJ387" s="1317"/>
      <c r="DXK387" s="1317"/>
      <c r="DXL387" s="1317"/>
      <c r="DXM387" s="1317"/>
      <c r="DXN387" s="1317"/>
      <c r="DXO387" s="1317"/>
      <c r="DXP387" s="1317"/>
      <c r="DXQ387" s="1317"/>
      <c r="DXR387" s="1317"/>
      <c r="DXS387" s="1317"/>
      <c r="DXT387" s="1317"/>
      <c r="DXU387" s="1317"/>
      <c r="DXV387" s="1317"/>
      <c r="DXW387" s="1317"/>
      <c r="DXX387" s="1317"/>
      <c r="DXY387" s="1317"/>
      <c r="DXZ387" s="1317"/>
      <c r="DYA387" s="1317"/>
      <c r="DYB387" s="1317"/>
      <c r="DYC387" s="1317"/>
      <c r="DYD387" s="1317"/>
      <c r="DYE387" s="1317"/>
      <c r="DYF387" s="1317"/>
      <c r="DYG387" s="1317"/>
      <c r="DYH387" s="1317"/>
      <c r="DYI387" s="1317"/>
      <c r="DYJ387" s="1317"/>
      <c r="DYK387" s="1317"/>
      <c r="DYL387" s="1317"/>
      <c r="DYM387" s="1317"/>
      <c r="DYN387" s="1317"/>
      <c r="DYO387" s="1317"/>
      <c r="DYP387" s="1317"/>
      <c r="DYQ387" s="1317"/>
      <c r="DYR387" s="1317"/>
      <c r="DYS387" s="1317"/>
      <c r="DYT387" s="1317"/>
      <c r="DYU387" s="1317"/>
      <c r="DYV387" s="1317"/>
      <c r="DYW387" s="1317"/>
      <c r="DYX387" s="1317"/>
      <c r="DYY387" s="1317"/>
      <c r="DYZ387" s="1317"/>
      <c r="DZA387" s="1317"/>
      <c r="DZB387" s="1317"/>
      <c r="DZC387" s="1317"/>
      <c r="DZD387" s="1317"/>
      <c r="DZE387" s="1317"/>
      <c r="DZF387" s="1317"/>
      <c r="DZG387" s="1317"/>
      <c r="DZH387" s="1317"/>
      <c r="DZI387" s="1317"/>
      <c r="DZJ387" s="1317"/>
      <c r="DZK387" s="1317"/>
      <c r="DZL387" s="1317"/>
      <c r="DZM387" s="1317"/>
      <c r="DZN387" s="1317"/>
      <c r="DZO387" s="1317"/>
      <c r="DZP387" s="1317"/>
      <c r="DZQ387" s="1317"/>
      <c r="DZR387" s="1317"/>
      <c r="DZS387" s="1317"/>
      <c r="DZT387" s="1317"/>
      <c r="DZU387" s="1317"/>
      <c r="DZV387" s="1317"/>
      <c r="DZW387" s="1317"/>
      <c r="DZX387" s="1317"/>
      <c r="DZY387" s="1317"/>
      <c r="DZZ387" s="1317"/>
      <c r="EAA387" s="1317"/>
      <c r="EAB387" s="1317"/>
      <c r="EAC387" s="1317"/>
      <c r="EAD387" s="1317"/>
      <c r="EAE387" s="1317"/>
      <c r="EAF387" s="1317"/>
      <c r="EAG387" s="1317"/>
      <c r="EAH387" s="1317"/>
      <c r="EAI387" s="1317"/>
      <c r="EAJ387" s="1317"/>
      <c r="EAK387" s="1317"/>
      <c r="EAL387" s="1317"/>
      <c r="EAM387" s="1317"/>
      <c r="EAN387" s="1317"/>
      <c r="EAO387" s="1317"/>
      <c r="EAP387" s="1317"/>
      <c r="EAQ387" s="1317"/>
      <c r="EAR387" s="1317"/>
      <c r="EAS387" s="1317"/>
      <c r="EAT387" s="1317"/>
      <c r="EAU387" s="1317"/>
      <c r="EAV387" s="1317"/>
      <c r="EAW387" s="1317"/>
      <c r="EAX387" s="1317"/>
      <c r="EAY387" s="1317"/>
      <c r="EAZ387" s="1317"/>
      <c r="EBA387" s="1317"/>
      <c r="EBB387" s="1317"/>
      <c r="EBC387" s="1317"/>
      <c r="EBD387" s="1317"/>
      <c r="EBE387" s="1317"/>
      <c r="EBF387" s="1317"/>
      <c r="EBG387" s="1317"/>
      <c r="EBH387" s="1317"/>
      <c r="EBI387" s="1317"/>
      <c r="EBJ387" s="1317"/>
      <c r="EBK387" s="1317"/>
      <c r="EBL387" s="1317"/>
      <c r="EBM387" s="1317"/>
      <c r="EBN387" s="1317"/>
      <c r="EBO387" s="1317"/>
      <c r="EBP387" s="1317"/>
      <c r="EBQ387" s="1317"/>
      <c r="EBR387" s="1317"/>
      <c r="EBS387" s="1317"/>
      <c r="EBT387" s="1317"/>
      <c r="EBU387" s="1317"/>
      <c r="EBV387" s="1317"/>
      <c r="EBW387" s="1317"/>
      <c r="EBX387" s="1317"/>
      <c r="EBY387" s="1317"/>
      <c r="EBZ387" s="1317"/>
      <c r="ECA387" s="1317"/>
      <c r="ECB387" s="1317"/>
      <c r="ECC387" s="1317"/>
      <c r="ECD387" s="1317"/>
      <c r="ECE387" s="1317"/>
      <c r="ECF387" s="1317"/>
      <c r="ECG387" s="1317"/>
      <c r="ECH387" s="1317"/>
      <c r="ECI387" s="1317"/>
      <c r="ECJ387" s="1317"/>
      <c r="ECK387" s="1317"/>
      <c r="ECL387" s="1317"/>
      <c r="ECM387" s="1317"/>
      <c r="ECN387" s="1317"/>
      <c r="ECO387" s="1317"/>
      <c r="ECP387" s="1317"/>
      <c r="ECQ387" s="1317"/>
      <c r="ECR387" s="1317"/>
      <c r="ECS387" s="1317"/>
      <c r="ECT387" s="1317"/>
      <c r="ECU387" s="1317"/>
      <c r="ECV387" s="1317"/>
      <c r="ECW387" s="1317"/>
      <c r="ECX387" s="1317"/>
      <c r="ECY387" s="1317"/>
      <c r="ECZ387" s="1317"/>
      <c r="EDA387" s="1317"/>
      <c r="EDB387" s="1317"/>
      <c r="EDC387" s="1317"/>
      <c r="EDD387" s="1317"/>
      <c r="EDE387" s="1317"/>
      <c r="EDF387" s="1317"/>
      <c r="EDG387" s="1317"/>
      <c r="EDH387" s="1317"/>
      <c r="EDI387" s="1317"/>
      <c r="EDJ387" s="1317"/>
      <c r="EDK387" s="1317"/>
      <c r="EDL387" s="1317"/>
      <c r="EDM387" s="1317"/>
      <c r="EDN387" s="1317"/>
      <c r="EDO387" s="1317"/>
      <c r="EDP387" s="1317"/>
      <c r="EDQ387" s="1317"/>
      <c r="EDR387" s="1317"/>
      <c r="EDS387" s="1317"/>
      <c r="EDT387" s="1317"/>
      <c r="EDU387" s="1317"/>
      <c r="EDV387" s="1317"/>
      <c r="EDW387" s="1317"/>
      <c r="EDX387" s="1317"/>
      <c r="EDY387" s="1317"/>
      <c r="EDZ387" s="1317"/>
      <c r="EEA387" s="1317"/>
      <c r="EEB387" s="1317"/>
      <c r="EEC387" s="1317"/>
      <c r="EED387" s="1317"/>
      <c r="EEE387" s="1317"/>
      <c r="EEF387" s="1317"/>
      <c r="EEG387" s="1317"/>
      <c r="EEH387" s="1317"/>
      <c r="EEI387" s="1317"/>
      <c r="EEJ387" s="1317"/>
      <c r="EEK387" s="1317"/>
      <c r="EEL387" s="1317"/>
      <c r="EEM387" s="1317"/>
      <c r="EEN387" s="1317"/>
      <c r="EEO387" s="1317"/>
      <c r="EEP387" s="1317"/>
      <c r="EEQ387" s="1317"/>
      <c r="EER387" s="1317"/>
      <c r="EES387" s="1317"/>
      <c r="EET387" s="1317"/>
      <c r="EEU387" s="1317"/>
      <c r="EEV387" s="1317"/>
      <c r="EEW387" s="1317"/>
      <c r="EEX387" s="1317"/>
      <c r="EEY387" s="1317"/>
      <c r="EEZ387" s="1317"/>
      <c r="EFA387" s="1317"/>
      <c r="EFB387" s="1317"/>
      <c r="EFC387" s="1317"/>
      <c r="EFD387" s="1317"/>
      <c r="EFE387" s="1317"/>
      <c r="EFF387" s="1317"/>
      <c r="EFG387" s="1317"/>
      <c r="EFH387" s="1317"/>
      <c r="EFI387" s="1317"/>
      <c r="EFJ387" s="1317"/>
      <c r="EFK387" s="1317"/>
      <c r="EFL387" s="1317"/>
      <c r="EFM387" s="1317"/>
      <c r="EFN387" s="1317"/>
      <c r="EFO387" s="1317"/>
      <c r="EFP387" s="1317"/>
      <c r="EFQ387" s="1317"/>
      <c r="EFR387" s="1317"/>
      <c r="EFS387" s="1317"/>
      <c r="EFT387" s="1317"/>
      <c r="EFU387" s="1317"/>
      <c r="EFV387" s="1317"/>
      <c r="EFW387" s="1317"/>
      <c r="EFX387" s="1317"/>
      <c r="EFY387" s="1317"/>
      <c r="EFZ387" s="1317"/>
      <c r="EGA387" s="1317"/>
      <c r="EGB387" s="1317"/>
      <c r="EGC387" s="1317"/>
      <c r="EGD387" s="1317"/>
      <c r="EGE387" s="1317"/>
      <c r="EGF387" s="1317"/>
      <c r="EGG387" s="1317"/>
      <c r="EGH387" s="1317"/>
      <c r="EGI387" s="1317"/>
      <c r="EGJ387" s="1317"/>
      <c r="EGK387" s="1317"/>
      <c r="EGL387" s="1317"/>
      <c r="EGM387" s="1317"/>
      <c r="EGN387" s="1317"/>
      <c r="EGO387" s="1317"/>
      <c r="EGP387" s="1317"/>
      <c r="EGQ387" s="1317"/>
      <c r="EGR387" s="1317"/>
      <c r="EGS387" s="1317"/>
      <c r="EGT387" s="1317"/>
      <c r="EGU387" s="1317"/>
      <c r="EGV387" s="1317"/>
      <c r="EGW387" s="1317"/>
      <c r="EGX387" s="1317"/>
      <c r="EGY387" s="1317"/>
      <c r="EGZ387" s="1317"/>
      <c r="EHA387" s="1317"/>
      <c r="EHB387" s="1317"/>
      <c r="EHC387" s="1317"/>
      <c r="EHD387" s="1317"/>
      <c r="EHE387" s="1317"/>
      <c r="EHF387" s="1317"/>
      <c r="EHG387" s="1317"/>
      <c r="EHH387" s="1317"/>
      <c r="EHI387" s="1317"/>
      <c r="EHJ387" s="1317"/>
      <c r="EHK387" s="1317"/>
      <c r="EHL387" s="1317"/>
      <c r="EHM387" s="1317"/>
      <c r="EHN387" s="1317"/>
      <c r="EHO387" s="1317"/>
      <c r="EHP387" s="1317"/>
      <c r="EHQ387" s="1317"/>
      <c r="EHR387" s="1317"/>
      <c r="EHS387" s="1317"/>
      <c r="EHT387" s="1317"/>
      <c r="EHU387" s="1317"/>
      <c r="EHV387" s="1317"/>
      <c r="EHW387" s="1317"/>
      <c r="EHX387" s="1317"/>
      <c r="EHY387" s="1317"/>
      <c r="EHZ387" s="1317"/>
      <c r="EIA387" s="1317"/>
      <c r="EIB387" s="1317"/>
      <c r="EIC387" s="1317"/>
      <c r="EID387" s="1317"/>
      <c r="EIE387" s="1317"/>
      <c r="EIF387" s="1317"/>
      <c r="EIG387" s="1317"/>
      <c r="EIH387" s="1317"/>
      <c r="EII387" s="1317"/>
      <c r="EIJ387" s="1317"/>
      <c r="EIK387" s="1317"/>
      <c r="EIL387" s="1317"/>
      <c r="EIM387" s="1317"/>
      <c r="EIN387" s="1317"/>
      <c r="EIO387" s="1317"/>
      <c r="EIP387" s="1317"/>
      <c r="EIQ387" s="1317"/>
      <c r="EIR387" s="1317"/>
      <c r="EIS387" s="1317"/>
      <c r="EIT387" s="1317"/>
      <c r="EIU387" s="1317"/>
      <c r="EIV387" s="1317"/>
      <c r="EIW387" s="1317"/>
      <c r="EIX387" s="1317"/>
      <c r="EIY387" s="1317"/>
      <c r="EIZ387" s="1317"/>
      <c r="EJA387" s="1317"/>
      <c r="EJB387" s="1317"/>
      <c r="EJC387" s="1317"/>
      <c r="EJD387" s="1317"/>
      <c r="EJE387" s="1317"/>
      <c r="EJF387" s="1317"/>
      <c r="EJG387" s="1317"/>
      <c r="EJH387" s="1317"/>
      <c r="EJI387" s="1317"/>
      <c r="EJJ387" s="1317"/>
      <c r="EJK387" s="1317"/>
      <c r="EJL387" s="1317"/>
      <c r="EJM387" s="1317"/>
      <c r="EJN387" s="1317"/>
      <c r="EJO387" s="1317"/>
      <c r="EJP387" s="1317"/>
      <c r="EJQ387" s="1317"/>
      <c r="EJR387" s="1317"/>
      <c r="EJS387" s="1317"/>
      <c r="EJT387" s="1317"/>
      <c r="EJU387" s="1317"/>
      <c r="EJV387" s="1317"/>
      <c r="EJW387" s="1317"/>
      <c r="EJX387" s="1317"/>
      <c r="EJY387" s="1317"/>
      <c r="EJZ387" s="1317"/>
      <c r="EKA387" s="1317"/>
      <c r="EKB387" s="1317"/>
      <c r="EKC387" s="1317"/>
      <c r="EKD387" s="1317"/>
      <c r="EKE387" s="1317"/>
      <c r="EKF387" s="1317"/>
      <c r="EKG387" s="1317"/>
      <c r="EKH387" s="1317"/>
      <c r="EKI387" s="1317"/>
      <c r="EKJ387" s="1317"/>
      <c r="EKK387" s="1317"/>
      <c r="EKL387" s="1317"/>
      <c r="EKM387" s="1317"/>
      <c r="EKN387" s="1317"/>
      <c r="EKO387" s="1317"/>
      <c r="EKP387" s="1317"/>
      <c r="EKQ387" s="1317"/>
      <c r="EKR387" s="1317"/>
      <c r="EKS387" s="1317"/>
      <c r="EKT387" s="1317"/>
      <c r="EKU387" s="1317"/>
      <c r="EKV387" s="1317"/>
      <c r="EKW387" s="1317"/>
      <c r="EKX387" s="1317"/>
      <c r="EKY387" s="1317"/>
      <c r="EKZ387" s="1317"/>
      <c r="ELA387" s="1317"/>
      <c r="ELB387" s="1317"/>
      <c r="ELC387" s="1317"/>
      <c r="ELD387" s="1317"/>
      <c r="ELE387" s="1317"/>
      <c r="ELF387" s="1317"/>
      <c r="ELG387" s="1317"/>
      <c r="ELH387" s="1317"/>
      <c r="ELI387" s="1317"/>
      <c r="ELJ387" s="1317"/>
      <c r="ELK387" s="1317"/>
      <c r="ELL387" s="1317"/>
      <c r="ELM387" s="1317"/>
      <c r="ELN387" s="1317"/>
      <c r="ELO387" s="1317"/>
      <c r="ELP387" s="1317"/>
      <c r="ELQ387" s="1317"/>
      <c r="ELR387" s="1317"/>
      <c r="ELS387" s="1317"/>
      <c r="ELT387" s="1317"/>
      <c r="ELU387" s="1317"/>
      <c r="ELV387" s="1317"/>
      <c r="ELW387" s="1317"/>
      <c r="ELX387" s="1317"/>
      <c r="ELY387" s="1317"/>
      <c r="ELZ387" s="1317"/>
      <c r="EMA387" s="1317"/>
      <c r="EMB387" s="1317"/>
      <c r="EMC387" s="1317"/>
      <c r="EMD387" s="1317"/>
      <c r="EME387" s="1317"/>
      <c r="EMF387" s="1317"/>
      <c r="EMG387" s="1317"/>
      <c r="EMH387" s="1317"/>
      <c r="EMI387" s="1317"/>
      <c r="EMJ387" s="1317"/>
      <c r="EMK387" s="1317"/>
      <c r="EML387" s="1317"/>
      <c r="EMM387" s="1317"/>
      <c r="EMN387" s="1317"/>
      <c r="EMO387" s="1317"/>
      <c r="EMP387" s="1317"/>
      <c r="EMQ387" s="1317"/>
      <c r="EMR387" s="1317"/>
      <c r="EMS387" s="1317"/>
      <c r="EMT387" s="1317"/>
      <c r="EMU387" s="1317"/>
      <c r="EMV387" s="1317"/>
      <c r="EMW387" s="1317"/>
      <c r="EMX387" s="1317"/>
      <c r="EMY387" s="1317"/>
      <c r="EMZ387" s="1317"/>
      <c r="ENA387" s="1317"/>
      <c r="ENB387" s="1317"/>
      <c r="ENC387" s="1317"/>
      <c r="END387" s="1317"/>
      <c r="ENE387" s="1317"/>
      <c r="ENF387" s="1317"/>
      <c r="ENG387" s="1317"/>
      <c r="ENH387" s="1317"/>
      <c r="ENI387" s="1317"/>
      <c r="ENJ387" s="1317"/>
      <c r="ENK387" s="1317"/>
      <c r="ENL387" s="1317"/>
      <c r="ENM387" s="1317"/>
      <c r="ENN387" s="1317"/>
      <c r="ENO387" s="1317"/>
      <c r="ENP387" s="1317"/>
      <c r="ENQ387" s="1317"/>
      <c r="ENR387" s="1317"/>
      <c r="ENS387" s="1317"/>
      <c r="ENT387" s="1317"/>
      <c r="ENU387" s="1317"/>
      <c r="ENV387" s="1317"/>
      <c r="ENW387" s="1317"/>
      <c r="ENX387" s="1317"/>
      <c r="ENY387" s="1317"/>
      <c r="ENZ387" s="1317"/>
      <c r="EOA387" s="1317"/>
      <c r="EOB387" s="1317"/>
      <c r="EOC387" s="1317"/>
      <c r="EOD387" s="1317"/>
      <c r="EOE387" s="1317"/>
      <c r="EOF387" s="1317"/>
      <c r="EOG387" s="1317"/>
      <c r="EOH387" s="1317"/>
      <c r="EOI387" s="1317"/>
      <c r="EOJ387" s="1317"/>
      <c r="EOK387" s="1317"/>
      <c r="EOL387" s="1317"/>
      <c r="EOM387" s="1317"/>
      <c r="EON387" s="1317"/>
      <c r="EOO387" s="1317"/>
      <c r="EOP387" s="1317"/>
      <c r="EOQ387" s="1317"/>
      <c r="EOR387" s="1317"/>
      <c r="EOS387" s="1317"/>
      <c r="EOT387" s="1317"/>
      <c r="EOU387" s="1317"/>
      <c r="EOV387" s="1317"/>
      <c r="EOW387" s="1317"/>
      <c r="EOX387" s="1317"/>
      <c r="EOY387" s="1317"/>
      <c r="EOZ387" s="1317"/>
      <c r="EPA387" s="1317"/>
      <c r="EPB387" s="1317"/>
      <c r="EPC387" s="1317"/>
      <c r="EPD387" s="1317"/>
      <c r="EPE387" s="1317"/>
      <c r="EPF387" s="1317"/>
      <c r="EPG387" s="1317"/>
      <c r="EPH387" s="1317"/>
      <c r="EPI387" s="1317"/>
      <c r="EPJ387" s="1317"/>
      <c r="EPK387" s="1317"/>
      <c r="EPL387" s="1317"/>
      <c r="EPM387" s="1317"/>
      <c r="EPN387" s="1317"/>
      <c r="EPO387" s="1317"/>
      <c r="EPP387" s="1317"/>
      <c r="EPQ387" s="1317"/>
      <c r="EPR387" s="1317"/>
      <c r="EPS387" s="1317"/>
      <c r="EPT387" s="1317"/>
      <c r="EPU387" s="1317"/>
      <c r="EPV387" s="1317"/>
      <c r="EPW387" s="1317"/>
      <c r="EPX387" s="1317"/>
      <c r="EPY387" s="1317"/>
      <c r="EPZ387" s="1317"/>
      <c r="EQA387" s="1317"/>
      <c r="EQB387" s="1317"/>
      <c r="EQC387" s="1317"/>
      <c r="EQD387" s="1317"/>
      <c r="EQE387" s="1317"/>
      <c r="EQF387" s="1317"/>
      <c r="EQG387" s="1317"/>
      <c r="EQH387" s="1317"/>
      <c r="EQI387" s="1317"/>
      <c r="EQJ387" s="1317"/>
      <c r="EQK387" s="1317"/>
      <c r="EQL387" s="1317"/>
      <c r="EQM387" s="1317"/>
      <c r="EQN387" s="1317"/>
      <c r="EQO387" s="1317"/>
      <c r="EQP387" s="1317"/>
      <c r="EQQ387" s="1317"/>
      <c r="EQR387" s="1317"/>
      <c r="EQS387" s="1317"/>
      <c r="EQT387" s="1317"/>
      <c r="EQU387" s="1317"/>
      <c r="EQV387" s="1317"/>
      <c r="EQW387" s="1317"/>
      <c r="EQX387" s="1317"/>
      <c r="EQY387" s="1317"/>
      <c r="EQZ387" s="1317"/>
      <c r="ERA387" s="1317"/>
      <c r="ERB387" s="1317"/>
      <c r="ERC387" s="1317"/>
      <c r="ERD387" s="1317"/>
      <c r="ERE387" s="1317"/>
      <c r="ERF387" s="1317"/>
      <c r="ERG387" s="1317"/>
      <c r="ERH387" s="1317"/>
      <c r="ERI387" s="1317"/>
      <c r="ERJ387" s="1317"/>
      <c r="ERK387" s="1317"/>
      <c r="ERL387" s="1317"/>
      <c r="ERM387" s="1317"/>
      <c r="ERN387" s="1317"/>
      <c r="ERO387" s="1317"/>
      <c r="ERP387" s="1317"/>
      <c r="ERQ387" s="1317"/>
      <c r="ERR387" s="1317"/>
      <c r="ERS387" s="1317"/>
      <c r="ERT387" s="1317"/>
      <c r="ERU387" s="1317"/>
      <c r="ERV387" s="1317"/>
      <c r="ERW387" s="1317"/>
      <c r="ERX387" s="1317"/>
      <c r="ERY387" s="1317"/>
      <c r="ERZ387" s="1317"/>
      <c r="ESA387" s="1317"/>
      <c r="ESB387" s="1317"/>
      <c r="ESC387" s="1317"/>
      <c r="ESD387" s="1317"/>
      <c r="ESE387" s="1317"/>
      <c r="ESF387" s="1317"/>
      <c r="ESG387" s="1317"/>
      <c r="ESH387" s="1317"/>
      <c r="ESI387" s="1317"/>
      <c r="ESJ387" s="1317"/>
      <c r="ESK387" s="1317"/>
      <c r="ESL387" s="1317"/>
      <c r="ESM387" s="1317"/>
      <c r="ESN387" s="1317"/>
      <c r="ESO387" s="1317"/>
      <c r="ESP387" s="1317"/>
      <c r="ESQ387" s="1317"/>
      <c r="ESR387" s="1317"/>
      <c r="ESS387" s="1317"/>
      <c r="EST387" s="1317"/>
      <c r="ESU387" s="1317"/>
      <c r="ESV387" s="1317"/>
      <c r="ESW387" s="1317"/>
      <c r="ESX387" s="1317"/>
      <c r="ESY387" s="1317"/>
      <c r="ESZ387" s="1317"/>
      <c r="ETA387" s="1317"/>
      <c r="ETB387" s="1317"/>
      <c r="ETC387" s="1317"/>
      <c r="ETD387" s="1317"/>
      <c r="ETE387" s="1317"/>
      <c r="ETF387" s="1317"/>
      <c r="ETG387" s="1317"/>
      <c r="ETH387" s="1317"/>
      <c r="ETI387" s="1317"/>
      <c r="ETJ387" s="1317"/>
      <c r="ETK387" s="1317"/>
      <c r="ETL387" s="1317"/>
      <c r="ETM387" s="1317"/>
      <c r="ETN387" s="1317"/>
      <c r="ETO387" s="1317"/>
      <c r="ETP387" s="1317"/>
      <c r="ETQ387" s="1317"/>
      <c r="ETR387" s="1317"/>
      <c r="ETS387" s="1317"/>
      <c r="ETT387" s="1317"/>
      <c r="ETU387" s="1317"/>
      <c r="ETV387" s="1317"/>
      <c r="ETW387" s="1317"/>
      <c r="ETX387" s="1317"/>
      <c r="ETY387" s="1317"/>
      <c r="ETZ387" s="1317"/>
      <c r="EUA387" s="1317"/>
      <c r="EUB387" s="1317"/>
      <c r="EUC387" s="1317"/>
      <c r="EUD387" s="1317"/>
      <c r="EUE387" s="1317"/>
      <c r="EUF387" s="1317"/>
      <c r="EUG387" s="1317"/>
      <c r="EUH387" s="1317"/>
      <c r="EUI387" s="1317"/>
      <c r="EUJ387" s="1317"/>
      <c r="EUK387" s="1317"/>
      <c r="EUL387" s="1317"/>
      <c r="EUM387" s="1317"/>
      <c r="EUN387" s="1317"/>
      <c r="EUO387" s="1317"/>
      <c r="EUP387" s="1317"/>
      <c r="EUQ387" s="1317"/>
      <c r="EUR387" s="1317"/>
      <c r="EUS387" s="1317"/>
      <c r="EUT387" s="1317"/>
      <c r="EUU387" s="1317"/>
      <c r="EUV387" s="1317"/>
      <c r="EUW387" s="1317"/>
      <c r="EUX387" s="1317"/>
      <c r="EUY387" s="1317"/>
      <c r="EUZ387" s="1317"/>
      <c r="EVA387" s="1317"/>
      <c r="EVB387" s="1317"/>
      <c r="EVC387" s="1317"/>
      <c r="EVD387" s="1317"/>
      <c r="EVE387" s="1317"/>
      <c r="EVF387" s="1317"/>
      <c r="EVG387" s="1317"/>
      <c r="EVH387" s="1317"/>
      <c r="EVI387" s="1317"/>
      <c r="EVJ387" s="1317"/>
      <c r="EVK387" s="1317"/>
      <c r="EVL387" s="1317"/>
      <c r="EVM387" s="1317"/>
      <c r="EVN387" s="1317"/>
      <c r="EVO387" s="1317"/>
      <c r="EVP387" s="1317"/>
      <c r="EVQ387" s="1317"/>
      <c r="EVR387" s="1317"/>
      <c r="EVS387" s="1317"/>
      <c r="EVT387" s="1317"/>
      <c r="EVU387" s="1317"/>
      <c r="EVV387" s="1317"/>
      <c r="EVW387" s="1317"/>
      <c r="EVX387" s="1317"/>
      <c r="EVY387" s="1317"/>
      <c r="EVZ387" s="1317"/>
      <c r="EWA387" s="1317"/>
      <c r="EWB387" s="1317"/>
      <c r="EWC387" s="1317"/>
      <c r="EWD387" s="1317"/>
      <c r="EWE387" s="1317"/>
      <c r="EWF387" s="1317"/>
      <c r="EWG387" s="1317"/>
      <c r="EWH387" s="1317"/>
      <c r="EWI387" s="1317"/>
      <c r="EWJ387" s="1317"/>
      <c r="EWK387" s="1317"/>
      <c r="EWL387" s="1317"/>
      <c r="EWM387" s="1317"/>
      <c r="EWN387" s="1317"/>
      <c r="EWO387" s="1317"/>
      <c r="EWP387" s="1317"/>
      <c r="EWQ387" s="1317"/>
      <c r="EWR387" s="1317"/>
      <c r="EWS387" s="1317"/>
      <c r="EWT387" s="1317"/>
      <c r="EWU387" s="1317"/>
      <c r="EWV387" s="1317"/>
      <c r="EWW387" s="1317"/>
      <c r="EWX387" s="1317"/>
      <c r="EWY387" s="1317"/>
      <c r="EWZ387" s="1317"/>
      <c r="EXA387" s="1317"/>
      <c r="EXB387" s="1317"/>
      <c r="EXC387" s="1317"/>
      <c r="EXD387" s="1317"/>
      <c r="EXE387" s="1317"/>
      <c r="EXF387" s="1317"/>
      <c r="EXG387" s="1317"/>
      <c r="EXH387" s="1317"/>
      <c r="EXI387" s="1317"/>
      <c r="EXJ387" s="1317"/>
      <c r="EXK387" s="1317"/>
      <c r="EXL387" s="1317"/>
      <c r="EXM387" s="1317"/>
      <c r="EXN387" s="1317"/>
      <c r="EXO387" s="1317"/>
      <c r="EXP387" s="1317"/>
      <c r="EXQ387" s="1317"/>
      <c r="EXR387" s="1317"/>
      <c r="EXS387" s="1317"/>
      <c r="EXT387" s="1317"/>
      <c r="EXU387" s="1317"/>
      <c r="EXV387" s="1317"/>
      <c r="EXW387" s="1317"/>
      <c r="EXX387" s="1317"/>
      <c r="EXY387" s="1317"/>
      <c r="EXZ387" s="1317"/>
      <c r="EYA387" s="1317"/>
      <c r="EYB387" s="1317"/>
      <c r="EYC387" s="1317"/>
      <c r="EYD387" s="1317"/>
      <c r="EYE387" s="1317"/>
      <c r="EYF387" s="1317"/>
      <c r="EYG387" s="1317"/>
      <c r="EYH387" s="1317"/>
      <c r="EYI387" s="1317"/>
      <c r="EYJ387" s="1317"/>
      <c r="EYK387" s="1317"/>
      <c r="EYL387" s="1317"/>
      <c r="EYM387" s="1317"/>
      <c r="EYN387" s="1317"/>
      <c r="EYO387" s="1317"/>
      <c r="EYP387" s="1317"/>
      <c r="EYQ387" s="1317"/>
      <c r="EYR387" s="1317"/>
      <c r="EYS387" s="1317"/>
      <c r="EYT387" s="1317"/>
      <c r="EYU387" s="1317"/>
      <c r="EYV387" s="1317"/>
      <c r="EYW387" s="1317"/>
      <c r="EYX387" s="1317"/>
      <c r="EYY387" s="1317"/>
      <c r="EYZ387" s="1317"/>
      <c r="EZA387" s="1317"/>
      <c r="EZB387" s="1317"/>
      <c r="EZC387" s="1317"/>
      <c r="EZD387" s="1317"/>
      <c r="EZE387" s="1317"/>
      <c r="EZF387" s="1317"/>
      <c r="EZG387" s="1317"/>
      <c r="EZH387" s="1317"/>
      <c r="EZI387" s="1317"/>
      <c r="EZJ387" s="1317"/>
      <c r="EZK387" s="1317"/>
      <c r="EZL387" s="1317"/>
      <c r="EZM387" s="1317"/>
      <c r="EZN387" s="1317"/>
      <c r="EZO387" s="1317"/>
      <c r="EZP387" s="1317"/>
      <c r="EZQ387" s="1317"/>
      <c r="EZR387" s="1317"/>
      <c r="EZS387" s="1317"/>
      <c r="EZT387" s="1317"/>
      <c r="EZU387" s="1317"/>
      <c r="EZV387" s="1317"/>
      <c r="EZW387" s="1317"/>
      <c r="EZX387" s="1317"/>
      <c r="EZY387" s="1317"/>
      <c r="EZZ387" s="1317"/>
      <c r="FAA387" s="1317"/>
      <c r="FAB387" s="1317"/>
      <c r="FAC387" s="1317"/>
      <c r="FAD387" s="1317"/>
      <c r="FAE387" s="1317"/>
      <c r="FAF387" s="1317"/>
      <c r="FAG387" s="1317"/>
      <c r="FAH387" s="1317"/>
      <c r="FAI387" s="1317"/>
      <c r="FAJ387" s="1317"/>
      <c r="FAK387" s="1317"/>
      <c r="FAL387" s="1317"/>
      <c r="FAM387" s="1317"/>
      <c r="FAN387" s="1317"/>
      <c r="FAO387" s="1317"/>
      <c r="FAP387" s="1317"/>
      <c r="FAQ387" s="1317"/>
      <c r="FAR387" s="1317"/>
      <c r="FAS387" s="1317"/>
      <c r="FAT387" s="1317"/>
      <c r="FAU387" s="1317"/>
      <c r="FAV387" s="1317"/>
      <c r="FAW387" s="1317"/>
      <c r="FAX387" s="1317"/>
      <c r="FAY387" s="1317"/>
      <c r="FAZ387" s="1317"/>
      <c r="FBA387" s="1317"/>
      <c r="FBB387" s="1317"/>
      <c r="FBC387" s="1317"/>
      <c r="FBD387" s="1317"/>
      <c r="FBE387" s="1317"/>
      <c r="FBF387" s="1317"/>
      <c r="FBG387" s="1317"/>
      <c r="FBH387" s="1317"/>
      <c r="FBI387" s="1317"/>
      <c r="FBJ387" s="1317"/>
      <c r="FBK387" s="1317"/>
      <c r="FBL387" s="1317"/>
      <c r="FBM387" s="1317"/>
      <c r="FBN387" s="1317"/>
      <c r="FBO387" s="1317"/>
      <c r="FBP387" s="1317"/>
      <c r="FBQ387" s="1317"/>
      <c r="FBR387" s="1317"/>
      <c r="FBS387" s="1317"/>
      <c r="FBT387" s="1317"/>
      <c r="FBU387" s="1317"/>
      <c r="FBV387" s="1317"/>
      <c r="FBW387" s="1317"/>
      <c r="FBX387" s="1317"/>
      <c r="FBY387" s="1317"/>
      <c r="FBZ387" s="1317"/>
      <c r="FCA387" s="1317"/>
      <c r="FCB387" s="1317"/>
      <c r="FCC387" s="1317"/>
      <c r="FCD387" s="1317"/>
      <c r="FCE387" s="1317"/>
      <c r="FCF387" s="1317"/>
      <c r="FCG387" s="1317"/>
      <c r="FCH387" s="1317"/>
      <c r="FCI387" s="1317"/>
      <c r="FCJ387" s="1317"/>
      <c r="FCK387" s="1317"/>
      <c r="FCL387" s="1317"/>
      <c r="FCM387" s="1317"/>
      <c r="FCN387" s="1317"/>
      <c r="FCO387" s="1317"/>
      <c r="FCP387" s="1317"/>
      <c r="FCQ387" s="1317"/>
      <c r="FCR387" s="1317"/>
      <c r="FCS387" s="1317"/>
      <c r="FCT387" s="1317"/>
      <c r="FCU387" s="1317"/>
      <c r="FCV387" s="1317"/>
      <c r="FCW387" s="1317"/>
      <c r="FCX387" s="1317"/>
      <c r="FCY387" s="1317"/>
      <c r="FCZ387" s="1317"/>
      <c r="FDA387" s="1317"/>
      <c r="FDB387" s="1317"/>
      <c r="FDC387" s="1317"/>
      <c r="FDD387" s="1317"/>
      <c r="FDE387" s="1317"/>
      <c r="FDF387" s="1317"/>
      <c r="FDG387" s="1317"/>
      <c r="FDH387" s="1317"/>
      <c r="FDI387" s="1317"/>
      <c r="FDJ387" s="1317"/>
      <c r="FDK387" s="1317"/>
      <c r="FDL387" s="1317"/>
      <c r="FDM387" s="1317"/>
      <c r="FDN387" s="1317"/>
      <c r="FDO387" s="1317"/>
      <c r="FDP387" s="1317"/>
      <c r="FDQ387" s="1317"/>
      <c r="FDR387" s="1317"/>
      <c r="FDS387" s="1317"/>
      <c r="FDT387" s="1317"/>
      <c r="FDU387" s="1317"/>
      <c r="FDV387" s="1317"/>
      <c r="FDW387" s="1317"/>
      <c r="FDX387" s="1317"/>
      <c r="FDY387" s="1317"/>
      <c r="FDZ387" s="1317"/>
      <c r="FEA387" s="1317"/>
      <c r="FEB387" s="1317"/>
      <c r="FEC387" s="1317"/>
      <c r="FED387" s="1317"/>
      <c r="FEE387" s="1317"/>
      <c r="FEF387" s="1317"/>
      <c r="FEG387" s="1317"/>
      <c r="FEH387" s="1317"/>
      <c r="FEI387" s="1317"/>
      <c r="FEJ387" s="1317"/>
      <c r="FEK387" s="1317"/>
      <c r="FEL387" s="1317"/>
      <c r="FEM387" s="1317"/>
      <c r="FEN387" s="1317"/>
      <c r="FEO387" s="1317"/>
      <c r="FEP387" s="1317"/>
      <c r="FEQ387" s="1317"/>
      <c r="FER387" s="1317"/>
      <c r="FES387" s="1317"/>
      <c r="FET387" s="1317"/>
      <c r="FEU387" s="1317"/>
      <c r="FEV387" s="1317"/>
      <c r="FEW387" s="1317"/>
      <c r="FEX387" s="1317"/>
      <c r="FEY387" s="1317"/>
      <c r="FEZ387" s="1317"/>
      <c r="FFA387" s="1317"/>
      <c r="FFB387" s="1317"/>
      <c r="FFC387" s="1317"/>
      <c r="FFD387" s="1317"/>
      <c r="FFE387" s="1317"/>
      <c r="FFF387" s="1317"/>
      <c r="FFG387" s="1317"/>
      <c r="FFH387" s="1317"/>
      <c r="FFI387" s="1317"/>
      <c r="FFJ387" s="1317"/>
      <c r="FFK387" s="1317"/>
      <c r="FFL387" s="1317"/>
      <c r="FFM387" s="1317"/>
      <c r="FFN387" s="1317"/>
      <c r="FFO387" s="1317"/>
      <c r="FFP387" s="1317"/>
      <c r="FFQ387" s="1317"/>
      <c r="FFR387" s="1317"/>
      <c r="FFS387" s="1317"/>
      <c r="FFT387" s="1317"/>
      <c r="FFU387" s="1317"/>
      <c r="FFV387" s="1317"/>
      <c r="FFW387" s="1317"/>
      <c r="FFX387" s="1317"/>
      <c r="FFY387" s="1317"/>
      <c r="FFZ387" s="1317"/>
      <c r="FGA387" s="1317"/>
      <c r="FGB387" s="1317"/>
      <c r="FGC387" s="1317"/>
      <c r="FGD387" s="1317"/>
      <c r="FGE387" s="1317"/>
      <c r="FGF387" s="1317"/>
      <c r="FGG387" s="1317"/>
      <c r="FGH387" s="1317"/>
      <c r="FGI387" s="1317"/>
      <c r="FGJ387" s="1317"/>
      <c r="FGK387" s="1317"/>
      <c r="FGL387" s="1317"/>
      <c r="FGM387" s="1317"/>
      <c r="FGN387" s="1317"/>
      <c r="FGO387" s="1317"/>
      <c r="FGP387" s="1317"/>
      <c r="FGQ387" s="1317"/>
      <c r="FGR387" s="1317"/>
      <c r="FGS387" s="1317"/>
      <c r="FGT387" s="1317"/>
      <c r="FGU387" s="1317"/>
      <c r="FGV387" s="1317"/>
      <c r="FGW387" s="1317"/>
      <c r="FGX387" s="1317"/>
      <c r="FGY387" s="1317"/>
      <c r="FGZ387" s="1317"/>
      <c r="FHA387" s="1317"/>
      <c r="FHB387" s="1317"/>
      <c r="FHC387" s="1317"/>
      <c r="FHD387" s="1317"/>
      <c r="FHE387" s="1317"/>
      <c r="FHF387" s="1317"/>
      <c r="FHG387" s="1317"/>
      <c r="FHH387" s="1317"/>
      <c r="FHI387" s="1317"/>
      <c r="FHJ387" s="1317"/>
      <c r="FHK387" s="1317"/>
      <c r="FHL387" s="1317"/>
      <c r="FHM387" s="1317"/>
      <c r="FHN387" s="1317"/>
      <c r="FHO387" s="1317"/>
      <c r="FHP387" s="1317"/>
      <c r="FHQ387" s="1317"/>
      <c r="FHR387" s="1317"/>
      <c r="FHS387" s="1317"/>
      <c r="FHT387" s="1317"/>
      <c r="FHU387" s="1317"/>
      <c r="FHV387" s="1317"/>
      <c r="FHW387" s="1317"/>
      <c r="FHX387" s="1317"/>
      <c r="FHY387" s="1317"/>
      <c r="FHZ387" s="1317"/>
      <c r="FIA387" s="1317"/>
      <c r="FIB387" s="1317"/>
      <c r="FIC387" s="1317"/>
      <c r="FID387" s="1317"/>
      <c r="FIE387" s="1317"/>
      <c r="FIF387" s="1317"/>
      <c r="FIG387" s="1317"/>
      <c r="FIH387" s="1317"/>
      <c r="FII387" s="1317"/>
      <c r="FIJ387" s="1317"/>
      <c r="FIK387" s="1317"/>
      <c r="FIL387" s="1317"/>
      <c r="FIM387" s="1317"/>
      <c r="FIN387" s="1317"/>
      <c r="FIO387" s="1317"/>
      <c r="FIP387" s="1317"/>
      <c r="FIQ387" s="1317"/>
      <c r="FIR387" s="1317"/>
      <c r="FIS387" s="1317"/>
      <c r="FIT387" s="1317"/>
      <c r="FIU387" s="1317"/>
      <c r="FIV387" s="1317"/>
      <c r="FIW387" s="1317"/>
      <c r="FIX387" s="1317"/>
      <c r="FIY387" s="1317"/>
      <c r="FIZ387" s="1317"/>
      <c r="FJA387" s="1317"/>
      <c r="FJB387" s="1317"/>
      <c r="FJC387" s="1317"/>
      <c r="FJD387" s="1317"/>
      <c r="FJE387" s="1317"/>
      <c r="FJF387" s="1317"/>
      <c r="FJG387" s="1317"/>
      <c r="FJH387" s="1317"/>
      <c r="FJI387" s="1317"/>
      <c r="FJJ387" s="1317"/>
      <c r="FJK387" s="1317"/>
      <c r="FJL387" s="1317"/>
      <c r="FJM387" s="1317"/>
      <c r="FJN387" s="1317"/>
      <c r="FJO387" s="1317"/>
      <c r="FJP387" s="1317"/>
      <c r="FJQ387" s="1317"/>
      <c r="FJR387" s="1317"/>
      <c r="FJS387" s="1317"/>
      <c r="FJT387" s="1317"/>
      <c r="FJU387" s="1317"/>
      <c r="FJV387" s="1317"/>
      <c r="FJW387" s="1317"/>
      <c r="FJX387" s="1317"/>
      <c r="FJY387" s="1317"/>
      <c r="FJZ387" s="1317"/>
      <c r="FKA387" s="1317"/>
      <c r="FKB387" s="1317"/>
      <c r="FKC387" s="1317"/>
      <c r="FKD387" s="1317"/>
      <c r="FKE387" s="1317"/>
      <c r="FKF387" s="1317"/>
      <c r="FKG387" s="1317"/>
      <c r="FKH387" s="1317"/>
      <c r="FKI387" s="1317"/>
      <c r="FKJ387" s="1317"/>
      <c r="FKK387" s="1317"/>
      <c r="FKL387" s="1317"/>
      <c r="FKM387" s="1317"/>
      <c r="FKN387" s="1317"/>
      <c r="FKO387" s="1317"/>
      <c r="FKP387" s="1317"/>
      <c r="FKQ387" s="1317"/>
      <c r="FKR387" s="1317"/>
      <c r="FKS387" s="1317"/>
      <c r="FKT387" s="1317"/>
      <c r="FKU387" s="1317"/>
      <c r="FKV387" s="1317"/>
      <c r="FKW387" s="1317"/>
      <c r="FKX387" s="1317"/>
      <c r="FKY387" s="1317"/>
      <c r="FKZ387" s="1317"/>
      <c r="FLA387" s="1317"/>
      <c r="FLB387" s="1317"/>
      <c r="FLC387" s="1317"/>
      <c r="FLD387" s="1317"/>
      <c r="FLE387" s="1317"/>
      <c r="FLF387" s="1317"/>
      <c r="FLG387" s="1317"/>
      <c r="FLH387" s="1317"/>
      <c r="FLI387" s="1317"/>
      <c r="FLJ387" s="1317"/>
      <c r="FLK387" s="1317"/>
      <c r="FLL387" s="1317"/>
      <c r="FLM387" s="1317"/>
      <c r="FLN387" s="1317"/>
      <c r="FLO387" s="1317"/>
      <c r="FLP387" s="1317"/>
      <c r="FLQ387" s="1317"/>
      <c r="FLR387" s="1317"/>
      <c r="FLS387" s="1317"/>
      <c r="FLT387" s="1317"/>
      <c r="FLU387" s="1317"/>
      <c r="FLV387" s="1317"/>
      <c r="FLW387" s="1317"/>
      <c r="FLX387" s="1317"/>
      <c r="FLY387" s="1317"/>
      <c r="FLZ387" s="1317"/>
      <c r="FMA387" s="1317"/>
      <c r="FMB387" s="1317"/>
      <c r="FMC387" s="1317"/>
      <c r="FMD387" s="1317"/>
      <c r="FME387" s="1317"/>
      <c r="FMF387" s="1317"/>
      <c r="FMG387" s="1317"/>
      <c r="FMH387" s="1317"/>
      <c r="FMI387" s="1317"/>
      <c r="FMJ387" s="1317"/>
      <c r="FMK387" s="1317"/>
      <c r="FML387" s="1317"/>
      <c r="FMM387" s="1317"/>
      <c r="FMN387" s="1317"/>
      <c r="FMO387" s="1317"/>
      <c r="FMP387" s="1317"/>
      <c r="FMQ387" s="1317"/>
      <c r="FMR387" s="1317"/>
      <c r="FMS387" s="1317"/>
      <c r="FMT387" s="1317"/>
      <c r="FMU387" s="1317"/>
      <c r="FMV387" s="1317"/>
      <c r="FMW387" s="1317"/>
      <c r="FMX387" s="1317"/>
      <c r="FMY387" s="1317"/>
      <c r="FMZ387" s="1317"/>
      <c r="FNA387" s="1317"/>
      <c r="FNB387" s="1317"/>
      <c r="FNC387" s="1317"/>
      <c r="FND387" s="1317"/>
      <c r="FNE387" s="1317"/>
      <c r="FNF387" s="1317"/>
      <c r="FNG387" s="1317"/>
      <c r="FNH387" s="1317"/>
      <c r="FNI387" s="1317"/>
      <c r="FNJ387" s="1317"/>
      <c r="FNK387" s="1317"/>
      <c r="FNL387" s="1317"/>
      <c r="FNM387" s="1317"/>
      <c r="FNN387" s="1317"/>
      <c r="FNO387" s="1317"/>
      <c r="FNP387" s="1317"/>
      <c r="FNQ387" s="1317"/>
      <c r="FNR387" s="1317"/>
      <c r="FNS387" s="1317"/>
      <c r="FNT387" s="1317"/>
      <c r="FNU387" s="1317"/>
      <c r="FNV387" s="1317"/>
      <c r="FNW387" s="1317"/>
      <c r="FNX387" s="1317"/>
      <c r="FNY387" s="1317"/>
      <c r="FNZ387" s="1317"/>
      <c r="FOA387" s="1317"/>
      <c r="FOB387" s="1317"/>
      <c r="FOC387" s="1317"/>
      <c r="FOD387" s="1317"/>
      <c r="FOE387" s="1317"/>
      <c r="FOF387" s="1317"/>
      <c r="FOG387" s="1317"/>
      <c r="FOH387" s="1317"/>
      <c r="FOI387" s="1317"/>
      <c r="FOJ387" s="1317"/>
      <c r="FOK387" s="1317"/>
      <c r="FOL387" s="1317"/>
      <c r="FOM387" s="1317"/>
      <c r="FON387" s="1317"/>
      <c r="FOO387" s="1317"/>
      <c r="FOP387" s="1317"/>
      <c r="FOQ387" s="1317"/>
      <c r="FOR387" s="1317"/>
      <c r="FOS387" s="1317"/>
      <c r="FOT387" s="1317"/>
      <c r="FOU387" s="1317"/>
      <c r="FOV387" s="1317"/>
      <c r="FOW387" s="1317"/>
      <c r="FOX387" s="1317"/>
      <c r="FOY387" s="1317"/>
      <c r="FOZ387" s="1317"/>
      <c r="FPA387" s="1317"/>
      <c r="FPB387" s="1317"/>
      <c r="FPC387" s="1317"/>
      <c r="FPD387" s="1317"/>
      <c r="FPE387" s="1317"/>
      <c r="FPF387" s="1317"/>
      <c r="FPG387" s="1317"/>
      <c r="FPH387" s="1317"/>
      <c r="FPI387" s="1317"/>
      <c r="FPJ387" s="1317"/>
      <c r="FPK387" s="1317"/>
      <c r="FPL387" s="1317"/>
      <c r="FPM387" s="1317"/>
      <c r="FPN387" s="1317"/>
      <c r="FPO387" s="1317"/>
      <c r="FPP387" s="1317"/>
      <c r="FPQ387" s="1317"/>
      <c r="FPR387" s="1317"/>
      <c r="FPS387" s="1317"/>
      <c r="FPT387" s="1317"/>
      <c r="FPU387" s="1317"/>
      <c r="FPV387" s="1317"/>
      <c r="FPW387" s="1317"/>
      <c r="FPX387" s="1317"/>
      <c r="FPY387" s="1317"/>
      <c r="FPZ387" s="1317"/>
      <c r="FQA387" s="1317"/>
      <c r="FQB387" s="1317"/>
      <c r="FQC387" s="1317"/>
      <c r="FQD387" s="1317"/>
      <c r="FQE387" s="1317"/>
      <c r="FQF387" s="1317"/>
      <c r="FQG387" s="1317"/>
      <c r="FQH387" s="1317"/>
      <c r="FQI387" s="1317"/>
      <c r="FQJ387" s="1317"/>
      <c r="FQK387" s="1317"/>
      <c r="FQL387" s="1317"/>
      <c r="FQM387" s="1317"/>
      <c r="FQN387" s="1317"/>
      <c r="FQO387" s="1317"/>
      <c r="FQP387" s="1317"/>
      <c r="FQQ387" s="1317"/>
      <c r="FQR387" s="1317"/>
      <c r="FQS387" s="1317"/>
      <c r="FQT387" s="1317"/>
      <c r="FQU387" s="1317"/>
      <c r="FQV387" s="1317"/>
      <c r="FQW387" s="1317"/>
      <c r="FQX387" s="1317"/>
      <c r="FQY387" s="1317"/>
      <c r="FQZ387" s="1317"/>
      <c r="FRA387" s="1317"/>
      <c r="FRB387" s="1317"/>
      <c r="FRC387" s="1317"/>
      <c r="FRD387" s="1317"/>
      <c r="FRE387" s="1317"/>
      <c r="FRF387" s="1317"/>
      <c r="FRG387" s="1317"/>
      <c r="FRH387" s="1317"/>
      <c r="FRI387" s="1317"/>
      <c r="FRJ387" s="1317"/>
      <c r="FRK387" s="1317"/>
      <c r="FRL387" s="1317"/>
      <c r="FRM387" s="1317"/>
      <c r="FRN387" s="1317"/>
      <c r="FRO387" s="1317"/>
      <c r="FRP387" s="1317"/>
      <c r="FRQ387" s="1317"/>
      <c r="FRR387" s="1317"/>
      <c r="FRS387" s="1317"/>
      <c r="FRT387" s="1317"/>
      <c r="FRU387" s="1317"/>
      <c r="FRV387" s="1317"/>
      <c r="FRW387" s="1317"/>
      <c r="FRX387" s="1317"/>
      <c r="FRY387" s="1317"/>
      <c r="FRZ387" s="1317"/>
      <c r="FSA387" s="1317"/>
      <c r="FSB387" s="1317"/>
      <c r="FSC387" s="1317"/>
      <c r="FSD387" s="1317"/>
      <c r="FSE387" s="1317"/>
      <c r="FSF387" s="1317"/>
      <c r="FSG387" s="1317"/>
      <c r="FSH387" s="1317"/>
      <c r="FSI387" s="1317"/>
      <c r="FSJ387" s="1317"/>
      <c r="FSK387" s="1317"/>
      <c r="FSL387" s="1317"/>
      <c r="FSM387" s="1317"/>
      <c r="FSN387" s="1317"/>
      <c r="FSO387" s="1317"/>
      <c r="FSP387" s="1317"/>
      <c r="FSQ387" s="1317"/>
      <c r="FSR387" s="1317"/>
      <c r="FSS387" s="1317"/>
      <c r="FST387" s="1317"/>
      <c r="FSU387" s="1317"/>
      <c r="FSV387" s="1317"/>
      <c r="FSW387" s="1317"/>
      <c r="FSX387" s="1317"/>
      <c r="FSY387" s="1317"/>
      <c r="FSZ387" s="1317"/>
      <c r="FTA387" s="1317"/>
      <c r="FTB387" s="1317"/>
      <c r="FTC387" s="1317"/>
      <c r="FTD387" s="1317"/>
      <c r="FTE387" s="1317"/>
      <c r="FTF387" s="1317"/>
      <c r="FTG387" s="1317"/>
      <c r="FTH387" s="1317"/>
      <c r="FTI387" s="1317"/>
      <c r="FTJ387" s="1317"/>
      <c r="FTK387" s="1317"/>
      <c r="FTL387" s="1317"/>
      <c r="FTM387" s="1317"/>
      <c r="FTN387" s="1317"/>
      <c r="FTO387" s="1317"/>
      <c r="FTP387" s="1317"/>
      <c r="FTQ387" s="1317"/>
      <c r="FTR387" s="1317"/>
      <c r="FTS387" s="1317"/>
      <c r="FTT387" s="1317"/>
      <c r="FTU387" s="1317"/>
      <c r="FTV387" s="1317"/>
      <c r="FTW387" s="1317"/>
      <c r="FTX387" s="1317"/>
      <c r="FTY387" s="1317"/>
      <c r="FTZ387" s="1317"/>
      <c r="FUA387" s="1317"/>
      <c r="FUB387" s="1317"/>
      <c r="FUC387" s="1317"/>
      <c r="FUD387" s="1317"/>
      <c r="FUE387" s="1317"/>
      <c r="FUF387" s="1317"/>
      <c r="FUG387" s="1317"/>
      <c r="FUH387" s="1317"/>
      <c r="FUI387" s="1317"/>
      <c r="FUJ387" s="1317"/>
      <c r="FUK387" s="1317"/>
      <c r="FUL387" s="1317"/>
      <c r="FUM387" s="1317"/>
      <c r="FUN387" s="1317"/>
      <c r="FUO387" s="1317"/>
      <c r="FUP387" s="1317"/>
      <c r="FUQ387" s="1317"/>
      <c r="FUR387" s="1317"/>
      <c r="FUS387" s="1317"/>
      <c r="FUT387" s="1317"/>
      <c r="FUU387" s="1317"/>
      <c r="FUV387" s="1317"/>
      <c r="FUW387" s="1317"/>
      <c r="FUX387" s="1317"/>
      <c r="FUY387" s="1317"/>
      <c r="FUZ387" s="1317"/>
      <c r="FVA387" s="1317"/>
      <c r="FVB387" s="1317"/>
      <c r="FVC387" s="1317"/>
      <c r="FVD387" s="1317"/>
      <c r="FVE387" s="1317"/>
      <c r="FVF387" s="1317"/>
      <c r="FVG387" s="1317"/>
      <c r="FVH387" s="1317"/>
      <c r="FVI387" s="1317"/>
      <c r="FVJ387" s="1317"/>
      <c r="FVK387" s="1317"/>
      <c r="FVL387" s="1317"/>
      <c r="FVM387" s="1317"/>
      <c r="FVN387" s="1317"/>
      <c r="FVO387" s="1317"/>
      <c r="FVP387" s="1317"/>
      <c r="FVQ387" s="1317"/>
      <c r="FVR387" s="1317"/>
      <c r="FVS387" s="1317"/>
      <c r="FVT387" s="1317"/>
      <c r="FVU387" s="1317"/>
      <c r="FVV387" s="1317"/>
      <c r="FVW387" s="1317"/>
      <c r="FVX387" s="1317"/>
      <c r="FVY387" s="1317"/>
      <c r="FVZ387" s="1317"/>
      <c r="FWA387" s="1317"/>
      <c r="FWB387" s="1317"/>
      <c r="FWC387" s="1317"/>
      <c r="FWD387" s="1317"/>
      <c r="FWE387" s="1317"/>
      <c r="FWF387" s="1317"/>
      <c r="FWG387" s="1317"/>
      <c r="FWH387" s="1317"/>
      <c r="FWI387" s="1317"/>
      <c r="FWJ387" s="1317"/>
      <c r="FWK387" s="1317"/>
      <c r="FWL387" s="1317"/>
      <c r="FWM387" s="1317"/>
      <c r="FWN387" s="1317"/>
      <c r="FWO387" s="1317"/>
      <c r="FWP387" s="1317"/>
      <c r="FWQ387" s="1317"/>
      <c r="FWR387" s="1317"/>
      <c r="FWS387" s="1317"/>
      <c r="FWT387" s="1317"/>
      <c r="FWU387" s="1317"/>
      <c r="FWV387" s="1317"/>
      <c r="FWW387" s="1317"/>
      <c r="FWX387" s="1317"/>
      <c r="FWY387" s="1317"/>
      <c r="FWZ387" s="1317"/>
      <c r="FXA387" s="1317"/>
      <c r="FXB387" s="1317"/>
      <c r="FXC387" s="1317"/>
      <c r="FXD387" s="1317"/>
      <c r="FXE387" s="1317"/>
      <c r="FXF387" s="1317"/>
      <c r="FXG387" s="1317"/>
      <c r="FXH387" s="1317"/>
      <c r="FXI387" s="1317"/>
      <c r="FXJ387" s="1317"/>
      <c r="FXK387" s="1317"/>
      <c r="FXL387" s="1317"/>
      <c r="FXM387" s="1317"/>
      <c r="FXN387" s="1317"/>
      <c r="FXO387" s="1317"/>
      <c r="FXP387" s="1317"/>
      <c r="FXQ387" s="1317"/>
      <c r="FXR387" s="1317"/>
      <c r="FXS387" s="1317"/>
      <c r="FXT387" s="1317"/>
      <c r="FXU387" s="1317"/>
      <c r="FXV387" s="1317"/>
      <c r="FXW387" s="1317"/>
      <c r="FXX387" s="1317"/>
      <c r="FXY387" s="1317"/>
      <c r="FXZ387" s="1317"/>
      <c r="FYA387" s="1317"/>
      <c r="FYB387" s="1317"/>
      <c r="FYC387" s="1317"/>
      <c r="FYD387" s="1317"/>
      <c r="FYE387" s="1317"/>
      <c r="FYF387" s="1317"/>
      <c r="FYG387" s="1317"/>
      <c r="FYH387" s="1317"/>
      <c r="FYI387" s="1317"/>
      <c r="FYJ387" s="1317"/>
      <c r="FYK387" s="1317"/>
      <c r="FYL387" s="1317"/>
      <c r="FYM387" s="1317"/>
      <c r="FYN387" s="1317"/>
      <c r="FYO387" s="1317"/>
      <c r="FYP387" s="1317"/>
      <c r="FYQ387" s="1317"/>
      <c r="FYR387" s="1317"/>
      <c r="FYS387" s="1317"/>
      <c r="FYT387" s="1317"/>
      <c r="FYU387" s="1317"/>
      <c r="FYV387" s="1317"/>
      <c r="FYW387" s="1317"/>
      <c r="FYX387" s="1317"/>
      <c r="FYY387" s="1317"/>
      <c r="FYZ387" s="1317"/>
      <c r="FZA387" s="1317"/>
      <c r="FZB387" s="1317"/>
      <c r="FZC387" s="1317"/>
      <c r="FZD387" s="1317"/>
      <c r="FZE387" s="1317"/>
      <c r="FZF387" s="1317"/>
      <c r="FZG387" s="1317"/>
      <c r="FZH387" s="1317"/>
      <c r="FZI387" s="1317"/>
      <c r="FZJ387" s="1317"/>
      <c r="FZK387" s="1317"/>
      <c r="FZL387" s="1317"/>
      <c r="FZM387" s="1317"/>
      <c r="FZN387" s="1317"/>
      <c r="FZO387" s="1317"/>
      <c r="FZP387" s="1317"/>
      <c r="FZQ387" s="1317"/>
      <c r="FZR387" s="1317"/>
      <c r="FZS387" s="1317"/>
      <c r="FZT387" s="1317"/>
      <c r="FZU387" s="1317"/>
      <c r="FZV387" s="1317"/>
      <c r="FZW387" s="1317"/>
      <c r="FZX387" s="1317"/>
      <c r="FZY387" s="1317"/>
      <c r="FZZ387" s="1317"/>
      <c r="GAA387" s="1317"/>
      <c r="GAB387" s="1317"/>
      <c r="GAC387" s="1317"/>
      <c r="GAD387" s="1317"/>
      <c r="GAE387" s="1317"/>
      <c r="GAF387" s="1317"/>
      <c r="GAG387" s="1317"/>
      <c r="GAH387" s="1317"/>
      <c r="GAI387" s="1317"/>
      <c r="GAJ387" s="1317"/>
      <c r="GAK387" s="1317"/>
      <c r="GAL387" s="1317"/>
      <c r="GAM387" s="1317"/>
      <c r="GAN387" s="1317"/>
      <c r="GAO387" s="1317"/>
      <c r="GAP387" s="1317"/>
      <c r="GAQ387" s="1317"/>
      <c r="GAR387" s="1317"/>
      <c r="GAS387" s="1317"/>
      <c r="GAT387" s="1317"/>
      <c r="GAU387" s="1317"/>
      <c r="GAV387" s="1317"/>
      <c r="GAW387" s="1317"/>
      <c r="GAX387" s="1317"/>
      <c r="GAY387" s="1317"/>
      <c r="GAZ387" s="1317"/>
      <c r="GBA387" s="1317"/>
      <c r="GBB387" s="1317"/>
      <c r="GBC387" s="1317"/>
      <c r="GBD387" s="1317"/>
      <c r="GBE387" s="1317"/>
      <c r="GBF387" s="1317"/>
      <c r="GBG387" s="1317"/>
      <c r="GBH387" s="1317"/>
      <c r="GBI387" s="1317"/>
      <c r="GBJ387" s="1317"/>
      <c r="GBK387" s="1317"/>
      <c r="GBL387" s="1317"/>
      <c r="GBM387" s="1317"/>
      <c r="GBN387" s="1317"/>
      <c r="GBO387" s="1317"/>
      <c r="GBP387" s="1317"/>
      <c r="GBQ387" s="1317"/>
      <c r="GBR387" s="1317"/>
      <c r="GBS387" s="1317"/>
      <c r="GBT387" s="1317"/>
      <c r="GBU387" s="1317"/>
      <c r="GBV387" s="1317"/>
      <c r="GBW387" s="1317"/>
      <c r="GBX387" s="1317"/>
      <c r="GBY387" s="1317"/>
      <c r="GBZ387" s="1317"/>
      <c r="GCA387" s="1317"/>
      <c r="GCB387" s="1317"/>
      <c r="GCC387" s="1317"/>
      <c r="GCD387" s="1317"/>
      <c r="GCE387" s="1317"/>
      <c r="GCF387" s="1317"/>
      <c r="GCG387" s="1317"/>
      <c r="GCH387" s="1317"/>
      <c r="GCI387" s="1317"/>
      <c r="GCJ387" s="1317"/>
      <c r="GCK387" s="1317"/>
      <c r="GCL387" s="1317"/>
      <c r="GCM387" s="1317"/>
      <c r="GCN387" s="1317"/>
      <c r="GCO387" s="1317"/>
      <c r="GCP387" s="1317"/>
      <c r="GCQ387" s="1317"/>
      <c r="GCR387" s="1317"/>
      <c r="GCS387" s="1317"/>
      <c r="GCT387" s="1317"/>
      <c r="GCU387" s="1317"/>
      <c r="GCV387" s="1317"/>
      <c r="GCW387" s="1317"/>
      <c r="GCX387" s="1317"/>
      <c r="GCY387" s="1317"/>
      <c r="GCZ387" s="1317"/>
      <c r="GDA387" s="1317"/>
      <c r="GDB387" s="1317"/>
      <c r="GDC387" s="1317"/>
      <c r="GDD387" s="1317"/>
      <c r="GDE387" s="1317"/>
      <c r="GDF387" s="1317"/>
      <c r="GDG387" s="1317"/>
      <c r="GDH387" s="1317"/>
      <c r="GDI387" s="1317"/>
      <c r="GDJ387" s="1317"/>
      <c r="GDK387" s="1317"/>
      <c r="GDL387" s="1317"/>
      <c r="GDM387" s="1317"/>
      <c r="GDN387" s="1317"/>
      <c r="GDO387" s="1317"/>
      <c r="GDP387" s="1317"/>
      <c r="GDQ387" s="1317"/>
      <c r="GDR387" s="1317"/>
      <c r="GDS387" s="1317"/>
      <c r="GDT387" s="1317"/>
      <c r="GDU387" s="1317"/>
      <c r="GDV387" s="1317"/>
      <c r="GDW387" s="1317"/>
      <c r="GDX387" s="1317"/>
      <c r="GDY387" s="1317"/>
      <c r="GDZ387" s="1317"/>
      <c r="GEA387" s="1317"/>
      <c r="GEB387" s="1317"/>
      <c r="GEC387" s="1317"/>
      <c r="GED387" s="1317"/>
      <c r="GEE387" s="1317"/>
      <c r="GEF387" s="1317"/>
      <c r="GEG387" s="1317"/>
      <c r="GEH387" s="1317"/>
      <c r="GEI387" s="1317"/>
      <c r="GEJ387" s="1317"/>
      <c r="GEK387" s="1317"/>
      <c r="GEL387" s="1317"/>
      <c r="GEM387" s="1317"/>
      <c r="GEN387" s="1317"/>
      <c r="GEO387" s="1317"/>
      <c r="GEP387" s="1317"/>
      <c r="GEQ387" s="1317"/>
      <c r="GER387" s="1317"/>
      <c r="GES387" s="1317"/>
      <c r="GET387" s="1317"/>
      <c r="GEU387" s="1317"/>
      <c r="GEV387" s="1317"/>
      <c r="GEW387" s="1317"/>
      <c r="GEX387" s="1317"/>
      <c r="GEY387" s="1317"/>
      <c r="GEZ387" s="1317"/>
      <c r="GFA387" s="1317"/>
      <c r="GFB387" s="1317"/>
      <c r="GFC387" s="1317"/>
      <c r="GFD387" s="1317"/>
      <c r="GFE387" s="1317"/>
      <c r="GFF387" s="1317"/>
      <c r="GFG387" s="1317"/>
      <c r="GFH387" s="1317"/>
      <c r="GFI387" s="1317"/>
      <c r="GFJ387" s="1317"/>
      <c r="GFK387" s="1317"/>
      <c r="GFL387" s="1317"/>
      <c r="GFM387" s="1317"/>
      <c r="GFN387" s="1317"/>
      <c r="GFO387" s="1317"/>
      <c r="GFP387" s="1317"/>
      <c r="GFQ387" s="1317"/>
      <c r="GFR387" s="1317"/>
      <c r="GFS387" s="1317"/>
      <c r="GFT387" s="1317"/>
      <c r="GFU387" s="1317"/>
      <c r="GFV387" s="1317"/>
      <c r="GFW387" s="1317"/>
      <c r="GFX387" s="1317"/>
      <c r="GFY387" s="1317"/>
      <c r="GFZ387" s="1317"/>
      <c r="GGA387" s="1317"/>
      <c r="GGB387" s="1317"/>
      <c r="GGC387" s="1317"/>
      <c r="GGD387" s="1317"/>
      <c r="GGE387" s="1317"/>
      <c r="GGF387" s="1317"/>
      <c r="GGG387" s="1317"/>
      <c r="GGH387" s="1317"/>
      <c r="GGI387" s="1317"/>
      <c r="GGJ387" s="1317"/>
      <c r="GGK387" s="1317"/>
      <c r="GGL387" s="1317"/>
      <c r="GGM387" s="1317"/>
      <c r="GGN387" s="1317"/>
      <c r="GGO387" s="1317"/>
      <c r="GGP387" s="1317"/>
      <c r="GGQ387" s="1317"/>
      <c r="GGR387" s="1317"/>
      <c r="GGS387" s="1317"/>
      <c r="GGT387" s="1317"/>
      <c r="GGU387" s="1317"/>
      <c r="GGV387" s="1317"/>
      <c r="GGW387" s="1317"/>
      <c r="GGX387" s="1317"/>
      <c r="GGY387" s="1317"/>
      <c r="GGZ387" s="1317"/>
      <c r="GHA387" s="1317"/>
      <c r="GHB387" s="1317"/>
      <c r="GHC387" s="1317"/>
      <c r="GHD387" s="1317"/>
      <c r="GHE387" s="1317"/>
      <c r="GHF387" s="1317"/>
      <c r="GHG387" s="1317"/>
      <c r="GHH387" s="1317"/>
      <c r="GHI387" s="1317"/>
      <c r="GHJ387" s="1317"/>
      <c r="GHK387" s="1317"/>
      <c r="GHL387" s="1317"/>
      <c r="GHM387" s="1317"/>
      <c r="GHN387" s="1317"/>
      <c r="GHO387" s="1317"/>
      <c r="GHP387" s="1317"/>
      <c r="GHQ387" s="1317"/>
      <c r="GHR387" s="1317"/>
      <c r="GHS387" s="1317"/>
      <c r="GHT387" s="1317"/>
      <c r="GHU387" s="1317"/>
      <c r="GHV387" s="1317"/>
      <c r="GHW387" s="1317"/>
      <c r="GHX387" s="1317"/>
      <c r="GHY387" s="1317"/>
      <c r="GHZ387" s="1317"/>
      <c r="GIA387" s="1317"/>
      <c r="GIB387" s="1317"/>
      <c r="GIC387" s="1317"/>
      <c r="GID387" s="1317"/>
      <c r="GIE387" s="1317"/>
      <c r="GIF387" s="1317"/>
      <c r="GIG387" s="1317"/>
      <c r="GIH387" s="1317"/>
      <c r="GII387" s="1317"/>
      <c r="GIJ387" s="1317"/>
      <c r="GIK387" s="1317"/>
      <c r="GIL387" s="1317"/>
      <c r="GIM387" s="1317"/>
      <c r="GIN387" s="1317"/>
      <c r="GIO387" s="1317"/>
      <c r="GIP387" s="1317"/>
      <c r="GIQ387" s="1317"/>
      <c r="GIR387" s="1317"/>
      <c r="GIS387" s="1317"/>
      <c r="GIT387" s="1317"/>
      <c r="GIU387" s="1317"/>
      <c r="GIV387" s="1317"/>
      <c r="GIW387" s="1317"/>
      <c r="GIX387" s="1317"/>
      <c r="GIY387" s="1317"/>
      <c r="GIZ387" s="1317"/>
      <c r="GJA387" s="1317"/>
      <c r="GJB387" s="1317"/>
      <c r="GJC387" s="1317"/>
      <c r="GJD387" s="1317"/>
      <c r="GJE387" s="1317"/>
      <c r="GJF387" s="1317"/>
      <c r="GJG387" s="1317"/>
      <c r="GJH387" s="1317"/>
      <c r="GJI387" s="1317"/>
      <c r="GJJ387" s="1317"/>
      <c r="GJK387" s="1317"/>
      <c r="GJL387" s="1317"/>
      <c r="GJM387" s="1317"/>
      <c r="GJN387" s="1317"/>
      <c r="GJO387" s="1317"/>
      <c r="GJP387" s="1317"/>
      <c r="GJQ387" s="1317"/>
      <c r="GJR387" s="1317"/>
      <c r="GJS387" s="1317"/>
      <c r="GJT387" s="1317"/>
      <c r="GJU387" s="1317"/>
      <c r="GJV387" s="1317"/>
      <c r="GJW387" s="1317"/>
      <c r="GJX387" s="1317"/>
      <c r="GJY387" s="1317"/>
      <c r="GJZ387" s="1317"/>
      <c r="GKA387" s="1317"/>
      <c r="GKB387" s="1317"/>
      <c r="GKC387" s="1317"/>
      <c r="GKD387" s="1317"/>
      <c r="GKE387" s="1317"/>
      <c r="GKF387" s="1317"/>
      <c r="GKG387" s="1317"/>
      <c r="GKH387" s="1317"/>
      <c r="GKI387" s="1317"/>
      <c r="GKJ387" s="1317"/>
      <c r="GKK387" s="1317"/>
      <c r="GKL387" s="1317"/>
      <c r="GKM387" s="1317"/>
      <c r="GKN387" s="1317"/>
      <c r="GKO387" s="1317"/>
      <c r="GKP387" s="1317"/>
      <c r="GKQ387" s="1317"/>
      <c r="GKR387" s="1317"/>
      <c r="GKS387" s="1317"/>
      <c r="GKT387" s="1317"/>
      <c r="GKU387" s="1317"/>
      <c r="GKV387" s="1317"/>
      <c r="GKW387" s="1317"/>
      <c r="GKX387" s="1317"/>
      <c r="GKY387" s="1317"/>
      <c r="GKZ387" s="1317"/>
      <c r="GLA387" s="1317"/>
      <c r="GLB387" s="1317"/>
      <c r="GLC387" s="1317"/>
      <c r="GLD387" s="1317"/>
      <c r="GLE387" s="1317"/>
      <c r="GLF387" s="1317"/>
      <c r="GLG387" s="1317"/>
      <c r="GLH387" s="1317"/>
      <c r="GLI387" s="1317"/>
      <c r="GLJ387" s="1317"/>
      <c r="GLK387" s="1317"/>
      <c r="GLL387" s="1317"/>
      <c r="GLM387" s="1317"/>
      <c r="GLN387" s="1317"/>
      <c r="GLO387" s="1317"/>
      <c r="GLP387" s="1317"/>
      <c r="GLQ387" s="1317"/>
      <c r="GLR387" s="1317"/>
      <c r="GLS387" s="1317"/>
      <c r="GLT387" s="1317"/>
      <c r="GLU387" s="1317"/>
      <c r="GLV387" s="1317"/>
      <c r="GLW387" s="1317"/>
      <c r="GLX387" s="1317"/>
      <c r="GLY387" s="1317"/>
      <c r="GLZ387" s="1317"/>
      <c r="GMA387" s="1317"/>
      <c r="GMB387" s="1317"/>
      <c r="GMC387" s="1317"/>
      <c r="GMD387" s="1317"/>
      <c r="GME387" s="1317"/>
      <c r="GMF387" s="1317"/>
      <c r="GMG387" s="1317"/>
      <c r="GMH387" s="1317"/>
      <c r="GMI387" s="1317"/>
      <c r="GMJ387" s="1317"/>
      <c r="GMK387" s="1317"/>
      <c r="GML387" s="1317"/>
      <c r="GMM387" s="1317"/>
      <c r="GMN387" s="1317"/>
      <c r="GMO387" s="1317"/>
      <c r="GMP387" s="1317"/>
      <c r="GMQ387" s="1317"/>
      <c r="GMR387" s="1317"/>
      <c r="GMS387" s="1317"/>
      <c r="GMT387" s="1317"/>
      <c r="GMU387" s="1317"/>
      <c r="GMV387" s="1317"/>
      <c r="GMW387" s="1317"/>
      <c r="GMX387" s="1317"/>
      <c r="GMY387" s="1317"/>
      <c r="GMZ387" s="1317"/>
      <c r="GNA387" s="1317"/>
      <c r="GNB387" s="1317"/>
      <c r="GNC387" s="1317"/>
      <c r="GND387" s="1317"/>
      <c r="GNE387" s="1317"/>
      <c r="GNF387" s="1317"/>
      <c r="GNG387" s="1317"/>
      <c r="GNH387" s="1317"/>
      <c r="GNI387" s="1317"/>
      <c r="GNJ387" s="1317"/>
      <c r="GNK387" s="1317"/>
      <c r="GNL387" s="1317"/>
      <c r="GNM387" s="1317"/>
      <c r="GNN387" s="1317"/>
      <c r="GNO387" s="1317"/>
      <c r="GNP387" s="1317"/>
      <c r="GNQ387" s="1317"/>
      <c r="GNR387" s="1317"/>
      <c r="GNS387" s="1317"/>
      <c r="GNT387" s="1317"/>
      <c r="GNU387" s="1317"/>
      <c r="GNV387" s="1317"/>
      <c r="GNW387" s="1317"/>
      <c r="GNX387" s="1317"/>
      <c r="GNY387" s="1317"/>
      <c r="GNZ387" s="1317"/>
      <c r="GOA387" s="1317"/>
      <c r="GOB387" s="1317"/>
      <c r="GOC387" s="1317"/>
      <c r="GOD387" s="1317"/>
      <c r="GOE387" s="1317"/>
      <c r="GOF387" s="1317"/>
      <c r="GOG387" s="1317"/>
      <c r="GOH387" s="1317"/>
      <c r="GOI387" s="1317"/>
      <c r="GOJ387" s="1317"/>
      <c r="GOK387" s="1317"/>
      <c r="GOL387" s="1317"/>
      <c r="GOM387" s="1317"/>
      <c r="GON387" s="1317"/>
      <c r="GOO387" s="1317"/>
      <c r="GOP387" s="1317"/>
      <c r="GOQ387" s="1317"/>
      <c r="GOR387" s="1317"/>
      <c r="GOS387" s="1317"/>
      <c r="GOT387" s="1317"/>
      <c r="GOU387" s="1317"/>
      <c r="GOV387" s="1317"/>
      <c r="GOW387" s="1317"/>
      <c r="GOX387" s="1317"/>
      <c r="GOY387" s="1317"/>
      <c r="GOZ387" s="1317"/>
      <c r="GPA387" s="1317"/>
      <c r="GPB387" s="1317"/>
      <c r="GPC387" s="1317"/>
      <c r="GPD387" s="1317"/>
      <c r="GPE387" s="1317"/>
      <c r="GPF387" s="1317"/>
      <c r="GPG387" s="1317"/>
      <c r="GPH387" s="1317"/>
      <c r="GPI387" s="1317"/>
      <c r="GPJ387" s="1317"/>
      <c r="GPK387" s="1317"/>
      <c r="GPL387" s="1317"/>
      <c r="GPM387" s="1317"/>
      <c r="GPN387" s="1317"/>
      <c r="GPO387" s="1317"/>
      <c r="GPP387" s="1317"/>
      <c r="GPQ387" s="1317"/>
      <c r="GPR387" s="1317"/>
      <c r="GPS387" s="1317"/>
      <c r="GPT387" s="1317"/>
      <c r="GPU387" s="1317"/>
      <c r="GPV387" s="1317"/>
      <c r="GPW387" s="1317"/>
      <c r="GPX387" s="1317"/>
      <c r="GPY387" s="1317"/>
      <c r="GPZ387" s="1317"/>
      <c r="GQA387" s="1317"/>
      <c r="GQB387" s="1317"/>
      <c r="GQC387" s="1317"/>
      <c r="GQD387" s="1317"/>
      <c r="GQE387" s="1317"/>
      <c r="GQF387" s="1317"/>
      <c r="GQG387" s="1317"/>
      <c r="GQH387" s="1317"/>
      <c r="GQI387" s="1317"/>
      <c r="GQJ387" s="1317"/>
      <c r="GQK387" s="1317"/>
      <c r="GQL387" s="1317"/>
      <c r="GQM387" s="1317"/>
      <c r="GQN387" s="1317"/>
      <c r="GQO387" s="1317"/>
      <c r="GQP387" s="1317"/>
      <c r="GQQ387" s="1317"/>
      <c r="GQR387" s="1317"/>
      <c r="GQS387" s="1317"/>
      <c r="GQT387" s="1317"/>
      <c r="GQU387" s="1317"/>
      <c r="GQV387" s="1317"/>
      <c r="GQW387" s="1317"/>
      <c r="GQX387" s="1317"/>
      <c r="GQY387" s="1317"/>
      <c r="GQZ387" s="1317"/>
      <c r="GRA387" s="1317"/>
      <c r="GRB387" s="1317"/>
      <c r="GRC387" s="1317"/>
      <c r="GRD387" s="1317"/>
      <c r="GRE387" s="1317"/>
      <c r="GRF387" s="1317"/>
      <c r="GRG387" s="1317"/>
      <c r="GRH387" s="1317"/>
      <c r="GRI387" s="1317"/>
      <c r="GRJ387" s="1317"/>
      <c r="GRK387" s="1317"/>
      <c r="GRL387" s="1317"/>
      <c r="GRM387" s="1317"/>
      <c r="GRN387" s="1317"/>
      <c r="GRO387" s="1317"/>
      <c r="GRP387" s="1317"/>
      <c r="GRQ387" s="1317"/>
      <c r="GRR387" s="1317"/>
      <c r="GRS387" s="1317"/>
      <c r="GRT387" s="1317"/>
      <c r="GRU387" s="1317"/>
      <c r="GRV387" s="1317"/>
      <c r="GRW387" s="1317"/>
      <c r="GRX387" s="1317"/>
      <c r="GRY387" s="1317"/>
      <c r="GRZ387" s="1317"/>
      <c r="GSA387" s="1317"/>
      <c r="GSB387" s="1317"/>
      <c r="GSC387" s="1317"/>
      <c r="GSD387" s="1317"/>
      <c r="GSE387" s="1317"/>
      <c r="GSF387" s="1317"/>
      <c r="GSG387" s="1317"/>
      <c r="GSH387" s="1317"/>
      <c r="GSI387" s="1317"/>
      <c r="GSJ387" s="1317"/>
      <c r="GSK387" s="1317"/>
      <c r="GSL387" s="1317"/>
      <c r="GSM387" s="1317"/>
      <c r="GSN387" s="1317"/>
      <c r="GSO387" s="1317"/>
      <c r="GSP387" s="1317"/>
      <c r="GSQ387" s="1317"/>
      <c r="GSR387" s="1317"/>
      <c r="GSS387" s="1317"/>
      <c r="GST387" s="1317"/>
      <c r="GSU387" s="1317"/>
      <c r="GSV387" s="1317"/>
      <c r="GSW387" s="1317"/>
      <c r="GSX387" s="1317"/>
      <c r="GSY387" s="1317"/>
      <c r="GSZ387" s="1317"/>
      <c r="GTA387" s="1317"/>
      <c r="GTB387" s="1317"/>
      <c r="GTC387" s="1317"/>
      <c r="GTD387" s="1317"/>
      <c r="GTE387" s="1317"/>
      <c r="GTF387" s="1317"/>
      <c r="GTG387" s="1317"/>
      <c r="GTH387" s="1317"/>
      <c r="GTI387" s="1317"/>
      <c r="GTJ387" s="1317"/>
      <c r="GTK387" s="1317"/>
      <c r="GTL387" s="1317"/>
      <c r="GTM387" s="1317"/>
      <c r="GTN387" s="1317"/>
      <c r="GTO387" s="1317"/>
      <c r="GTP387" s="1317"/>
      <c r="GTQ387" s="1317"/>
      <c r="GTR387" s="1317"/>
      <c r="GTS387" s="1317"/>
      <c r="GTT387" s="1317"/>
      <c r="GTU387" s="1317"/>
      <c r="GTV387" s="1317"/>
      <c r="GTW387" s="1317"/>
      <c r="GTX387" s="1317"/>
      <c r="GTY387" s="1317"/>
      <c r="GTZ387" s="1317"/>
      <c r="GUA387" s="1317"/>
      <c r="GUB387" s="1317"/>
      <c r="GUC387" s="1317"/>
      <c r="GUD387" s="1317"/>
      <c r="GUE387" s="1317"/>
      <c r="GUF387" s="1317"/>
      <c r="GUG387" s="1317"/>
      <c r="GUH387" s="1317"/>
      <c r="GUI387" s="1317"/>
      <c r="GUJ387" s="1317"/>
      <c r="GUK387" s="1317"/>
      <c r="GUL387" s="1317"/>
      <c r="GUM387" s="1317"/>
      <c r="GUN387" s="1317"/>
      <c r="GUO387" s="1317"/>
      <c r="GUP387" s="1317"/>
      <c r="GUQ387" s="1317"/>
      <c r="GUR387" s="1317"/>
      <c r="GUS387" s="1317"/>
      <c r="GUT387" s="1317"/>
      <c r="GUU387" s="1317"/>
      <c r="GUV387" s="1317"/>
      <c r="GUW387" s="1317"/>
      <c r="GUX387" s="1317"/>
      <c r="GUY387" s="1317"/>
      <c r="GUZ387" s="1317"/>
      <c r="GVA387" s="1317"/>
      <c r="GVB387" s="1317"/>
      <c r="GVC387" s="1317"/>
      <c r="GVD387" s="1317"/>
      <c r="GVE387" s="1317"/>
      <c r="GVF387" s="1317"/>
      <c r="GVG387" s="1317"/>
      <c r="GVH387" s="1317"/>
      <c r="GVI387" s="1317"/>
      <c r="GVJ387" s="1317"/>
      <c r="GVK387" s="1317"/>
      <c r="GVL387" s="1317"/>
      <c r="GVM387" s="1317"/>
      <c r="GVN387" s="1317"/>
      <c r="GVO387" s="1317"/>
      <c r="GVP387" s="1317"/>
      <c r="GVQ387" s="1317"/>
      <c r="GVR387" s="1317"/>
      <c r="GVS387" s="1317"/>
      <c r="GVT387" s="1317"/>
      <c r="GVU387" s="1317"/>
      <c r="GVV387" s="1317"/>
      <c r="GVW387" s="1317"/>
      <c r="GVX387" s="1317"/>
      <c r="GVY387" s="1317"/>
      <c r="GVZ387" s="1317"/>
      <c r="GWA387" s="1317"/>
      <c r="GWB387" s="1317"/>
      <c r="GWC387" s="1317"/>
      <c r="GWD387" s="1317"/>
      <c r="GWE387" s="1317"/>
      <c r="GWF387" s="1317"/>
      <c r="GWG387" s="1317"/>
      <c r="GWH387" s="1317"/>
      <c r="GWI387" s="1317"/>
      <c r="GWJ387" s="1317"/>
      <c r="GWK387" s="1317"/>
      <c r="GWL387" s="1317"/>
      <c r="GWM387" s="1317"/>
      <c r="GWN387" s="1317"/>
      <c r="GWO387" s="1317"/>
      <c r="GWP387" s="1317"/>
      <c r="GWQ387" s="1317"/>
      <c r="GWR387" s="1317"/>
      <c r="GWS387" s="1317"/>
      <c r="GWT387" s="1317"/>
      <c r="GWU387" s="1317"/>
      <c r="GWV387" s="1317"/>
      <c r="GWW387" s="1317"/>
      <c r="GWX387" s="1317"/>
      <c r="GWY387" s="1317"/>
      <c r="GWZ387" s="1317"/>
      <c r="GXA387" s="1317"/>
      <c r="GXB387" s="1317"/>
      <c r="GXC387" s="1317"/>
      <c r="GXD387" s="1317"/>
      <c r="GXE387" s="1317"/>
      <c r="GXF387" s="1317"/>
      <c r="GXG387" s="1317"/>
      <c r="GXH387" s="1317"/>
      <c r="GXI387" s="1317"/>
      <c r="GXJ387" s="1317"/>
      <c r="GXK387" s="1317"/>
      <c r="GXL387" s="1317"/>
      <c r="GXM387" s="1317"/>
      <c r="GXN387" s="1317"/>
      <c r="GXO387" s="1317"/>
      <c r="GXP387" s="1317"/>
      <c r="GXQ387" s="1317"/>
      <c r="GXR387" s="1317"/>
      <c r="GXS387" s="1317"/>
      <c r="GXT387" s="1317"/>
      <c r="GXU387" s="1317"/>
      <c r="GXV387" s="1317"/>
      <c r="GXW387" s="1317"/>
      <c r="GXX387" s="1317"/>
      <c r="GXY387" s="1317"/>
      <c r="GXZ387" s="1317"/>
      <c r="GYA387" s="1317"/>
      <c r="GYB387" s="1317"/>
      <c r="GYC387" s="1317"/>
      <c r="GYD387" s="1317"/>
      <c r="GYE387" s="1317"/>
      <c r="GYF387" s="1317"/>
      <c r="GYG387" s="1317"/>
      <c r="GYH387" s="1317"/>
      <c r="GYI387" s="1317"/>
      <c r="GYJ387" s="1317"/>
      <c r="GYK387" s="1317"/>
      <c r="GYL387" s="1317"/>
      <c r="GYM387" s="1317"/>
      <c r="GYN387" s="1317"/>
      <c r="GYO387" s="1317"/>
      <c r="GYP387" s="1317"/>
      <c r="GYQ387" s="1317"/>
      <c r="GYR387" s="1317"/>
      <c r="GYS387" s="1317"/>
      <c r="GYT387" s="1317"/>
      <c r="GYU387" s="1317"/>
      <c r="GYV387" s="1317"/>
      <c r="GYW387" s="1317"/>
      <c r="GYX387" s="1317"/>
      <c r="GYY387" s="1317"/>
      <c r="GYZ387" s="1317"/>
      <c r="GZA387" s="1317"/>
      <c r="GZB387" s="1317"/>
      <c r="GZC387" s="1317"/>
      <c r="GZD387" s="1317"/>
      <c r="GZE387" s="1317"/>
      <c r="GZF387" s="1317"/>
      <c r="GZG387" s="1317"/>
      <c r="GZH387" s="1317"/>
      <c r="GZI387" s="1317"/>
      <c r="GZJ387" s="1317"/>
      <c r="GZK387" s="1317"/>
      <c r="GZL387" s="1317"/>
      <c r="GZM387" s="1317"/>
      <c r="GZN387" s="1317"/>
      <c r="GZO387" s="1317"/>
      <c r="GZP387" s="1317"/>
      <c r="GZQ387" s="1317"/>
      <c r="GZR387" s="1317"/>
      <c r="GZS387" s="1317"/>
      <c r="GZT387" s="1317"/>
      <c r="GZU387" s="1317"/>
      <c r="GZV387" s="1317"/>
      <c r="GZW387" s="1317"/>
      <c r="GZX387" s="1317"/>
      <c r="GZY387" s="1317"/>
      <c r="GZZ387" s="1317"/>
      <c r="HAA387" s="1317"/>
      <c r="HAB387" s="1317"/>
      <c r="HAC387" s="1317"/>
      <c r="HAD387" s="1317"/>
      <c r="HAE387" s="1317"/>
      <c r="HAF387" s="1317"/>
      <c r="HAG387" s="1317"/>
      <c r="HAH387" s="1317"/>
      <c r="HAI387" s="1317"/>
      <c r="HAJ387" s="1317"/>
      <c r="HAK387" s="1317"/>
      <c r="HAL387" s="1317"/>
      <c r="HAM387" s="1317"/>
      <c r="HAN387" s="1317"/>
      <c r="HAO387" s="1317"/>
      <c r="HAP387" s="1317"/>
      <c r="HAQ387" s="1317"/>
      <c r="HAR387" s="1317"/>
      <c r="HAS387" s="1317"/>
      <c r="HAT387" s="1317"/>
      <c r="HAU387" s="1317"/>
      <c r="HAV387" s="1317"/>
      <c r="HAW387" s="1317"/>
      <c r="HAX387" s="1317"/>
      <c r="HAY387" s="1317"/>
      <c r="HAZ387" s="1317"/>
      <c r="HBA387" s="1317"/>
      <c r="HBB387" s="1317"/>
      <c r="HBC387" s="1317"/>
      <c r="HBD387" s="1317"/>
      <c r="HBE387" s="1317"/>
      <c r="HBF387" s="1317"/>
      <c r="HBG387" s="1317"/>
      <c r="HBH387" s="1317"/>
      <c r="HBI387" s="1317"/>
      <c r="HBJ387" s="1317"/>
      <c r="HBK387" s="1317"/>
      <c r="HBL387" s="1317"/>
      <c r="HBM387" s="1317"/>
      <c r="HBN387" s="1317"/>
      <c r="HBO387" s="1317"/>
      <c r="HBP387" s="1317"/>
      <c r="HBQ387" s="1317"/>
      <c r="HBR387" s="1317"/>
      <c r="HBS387" s="1317"/>
      <c r="HBT387" s="1317"/>
      <c r="HBU387" s="1317"/>
      <c r="HBV387" s="1317"/>
      <c r="HBW387" s="1317"/>
      <c r="HBX387" s="1317"/>
      <c r="HBY387" s="1317"/>
      <c r="HBZ387" s="1317"/>
      <c r="HCA387" s="1317"/>
      <c r="HCB387" s="1317"/>
      <c r="HCC387" s="1317"/>
      <c r="HCD387" s="1317"/>
      <c r="HCE387" s="1317"/>
      <c r="HCF387" s="1317"/>
      <c r="HCG387" s="1317"/>
      <c r="HCH387" s="1317"/>
      <c r="HCI387" s="1317"/>
      <c r="HCJ387" s="1317"/>
      <c r="HCK387" s="1317"/>
      <c r="HCL387" s="1317"/>
      <c r="HCM387" s="1317"/>
      <c r="HCN387" s="1317"/>
      <c r="HCO387" s="1317"/>
      <c r="HCP387" s="1317"/>
      <c r="HCQ387" s="1317"/>
      <c r="HCR387" s="1317"/>
      <c r="HCS387" s="1317"/>
      <c r="HCT387" s="1317"/>
      <c r="HCU387" s="1317"/>
      <c r="HCV387" s="1317"/>
      <c r="HCW387" s="1317"/>
      <c r="HCX387" s="1317"/>
      <c r="HCY387" s="1317"/>
      <c r="HCZ387" s="1317"/>
      <c r="HDA387" s="1317"/>
      <c r="HDB387" s="1317"/>
      <c r="HDC387" s="1317"/>
      <c r="HDD387" s="1317"/>
      <c r="HDE387" s="1317"/>
      <c r="HDF387" s="1317"/>
      <c r="HDG387" s="1317"/>
      <c r="HDH387" s="1317"/>
      <c r="HDI387" s="1317"/>
      <c r="HDJ387" s="1317"/>
      <c r="HDK387" s="1317"/>
      <c r="HDL387" s="1317"/>
      <c r="HDM387" s="1317"/>
      <c r="HDN387" s="1317"/>
      <c r="HDO387" s="1317"/>
      <c r="HDP387" s="1317"/>
      <c r="HDQ387" s="1317"/>
      <c r="HDR387" s="1317"/>
      <c r="HDS387" s="1317"/>
      <c r="HDT387" s="1317"/>
      <c r="HDU387" s="1317"/>
      <c r="HDV387" s="1317"/>
      <c r="HDW387" s="1317"/>
      <c r="HDX387" s="1317"/>
      <c r="HDY387" s="1317"/>
      <c r="HDZ387" s="1317"/>
      <c r="HEA387" s="1317"/>
      <c r="HEB387" s="1317"/>
      <c r="HEC387" s="1317"/>
      <c r="HED387" s="1317"/>
      <c r="HEE387" s="1317"/>
      <c r="HEF387" s="1317"/>
      <c r="HEG387" s="1317"/>
      <c r="HEH387" s="1317"/>
      <c r="HEI387" s="1317"/>
      <c r="HEJ387" s="1317"/>
      <c r="HEK387" s="1317"/>
      <c r="HEL387" s="1317"/>
      <c r="HEM387" s="1317"/>
      <c r="HEN387" s="1317"/>
      <c r="HEO387" s="1317"/>
      <c r="HEP387" s="1317"/>
      <c r="HEQ387" s="1317"/>
      <c r="HER387" s="1317"/>
      <c r="HES387" s="1317"/>
      <c r="HET387" s="1317"/>
      <c r="HEU387" s="1317"/>
      <c r="HEV387" s="1317"/>
      <c r="HEW387" s="1317"/>
      <c r="HEX387" s="1317"/>
      <c r="HEY387" s="1317"/>
      <c r="HEZ387" s="1317"/>
      <c r="HFA387" s="1317"/>
      <c r="HFB387" s="1317"/>
      <c r="HFC387" s="1317"/>
      <c r="HFD387" s="1317"/>
      <c r="HFE387" s="1317"/>
      <c r="HFF387" s="1317"/>
      <c r="HFG387" s="1317"/>
      <c r="HFH387" s="1317"/>
      <c r="HFI387" s="1317"/>
      <c r="HFJ387" s="1317"/>
      <c r="HFK387" s="1317"/>
      <c r="HFL387" s="1317"/>
      <c r="HFM387" s="1317"/>
      <c r="HFN387" s="1317"/>
      <c r="HFO387" s="1317"/>
      <c r="HFP387" s="1317"/>
      <c r="HFQ387" s="1317"/>
      <c r="HFR387" s="1317"/>
      <c r="HFS387" s="1317"/>
      <c r="HFT387" s="1317"/>
      <c r="HFU387" s="1317"/>
      <c r="HFV387" s="1317"/>
      <c r="HFW387" s="1317"/>
      <c r="HFX387" s="1317"/>
      <c r="HFY387" s="1317"/>
      <c r="HFZ387" s="1317"/>
      <c r="HGA387" s="1317"/>
      <c r="HGB387" s="1317"/>
      <c r="HGC387" s="1317"/>
      <c r="HGD387" s="1317"/>
      <c r="HGE387" s="1317"/>
      <c r="HGF387" s="1317"/>
      <c r="HGG387" s="1317"/>
      <c r="HGH387" s="1317"/>
      <c r="HGI387" s="1317"/>
      <c r="HGJ387" s="1317"/>
      <c r="HGK387" s="1317"/>
      <c r="HGL387" s="1317"/>
      <c r="HGM387" s="1317"/>
      <c r="HGN387" s="1317"/>
      <c r="HGO387" s="1317"/>
      <c r="HGP387" s="1317"/>
      <c r="HGQ387" s="1317"/>
      <c r="HGR387" s="1317"/>
      <c r="HGS387" s="1317"/>
      <c r="HGT387" s="1317"/>
      <c r="HGU387" s="1317"/>
      <c r="HGV387" s="1317"/>
      <c r="HGW387" s="1317"/>
      <c r="HGX387" s="1317"/>
      <c r="HGY387" s="1317"/>
      <c r="HGZ387" s="1317"/>
      <c r="HHA387" s="1317"/>
      <c r="HHB387" s="1317"/>
      <c r="HHC387" s="1317"/>
      <c r="HHD387" s="1317"/>
      <c r="HHE387" s="1317"/>
      <c r="HHF387" s="1317"/>
      <c r="HHG387" s="1317"/>
      <c r="HHH387" s="1317"/>
      <c r="HHI387" s="1317"/>
      <c r="HHJ387" s="1317"/>
      <c r="HHK387" s="1317"/>
      <c r="HHL387" s="1317"/>
      <c r="HHM387" s="1317"/>
      <c r="HHN387" s="1317"/>
      <c r="HHO387" s="1317"/>
      <c r="HHP387" s="1317"/>
      <c r="HHQ387" s="1317"/>
      <c r="HHR387" s="1317"/>
      <c r="HHS387" s="1317"/>
      <c r="HHT387" s="1317"/>
      <c r="HHU387" s="1317"/>
      <c r="HHV387" s="1317"/>
      <c r="HHW387" s="1317"/>
      <c r="HHX387" s="1317"/>
      <c r="HHY387" s="1317"/>
      <c r="HHZ387" s="1317"/>
      <c r="HIA387" s="1317"/>
      <c r="HIB387" s="1317"/>
      <c r="HIC387" s="1317"/>
      <c r="HID387" s="1317"/>
      <c r="HIE387" s="1317"/>
      <c r="HIF387" s="1317"/>
      <c r="HIG387" s="1317"/>
      <c r="HIH387" s="1317"/>
      <c r="HII387" s="1317"/>
      <c r="HIJ387" s="1317"/>
      <c r="HIK387" s="1317"/>
      <c r="HIL387" s="1317"/>
      <c r="HIM387" s="1317"/>
      <c r="HIN387" s="1317"/>
      <c r="HIO387" s="1317"/>
      <c r="HIP387" s="1317"/>
      <c r="HIQ387" s="1317"/>
      <c r="HIR387" s="1317"/>
      <c r="HIS387" s="1317"/>
      <c r="HIT387" s="1317"/>
      <c r="HIU387" s="1317"/>
      <c r="HIV387" s="1317"/>
      <c r="HIW387" s="1317"/>
      <c r="HIX387" s="1317"/>
      <c r="HIY387" s="1317"/>
      <c r="HIZ387" s="1317"/>
      <c r="HJA387" s="1317"/>
      <c r="HJB387" s="1317"/>
      <c r="HJC387" s="1317"/>
      <c r="HJD387" s="1317"/>
      <c r="HJE387" s="1317"/>
      <c r="HJF387" s="1317"/>
      <c r="HJG387" s="1317"/>
      <c r="HJH387" s="1317"/>
      <c r="HJI387" s="1317"/>
      <c r="HJJ387" s="1317"/>
      <c r="HJK387" s="1317"/>
      <c r="HJL387" s="1317"/>
      <c r="HJM387" s="1317"/>
      <c r="HJN387" s="1317"/>
      <c r="HJO387" s="1317"/>
      <c r="HJP387" s="1317"/>
      <c r="HJQ387" s="1317"/>
      <c r="HJR387" s="1317"/>
      <c r="HJS387" s="1317"/>
      <c r="HJT387" s="1317"/>
      <c r="HJU387" s="1317"/>
      <c r="HJV387" s="1317"/>
      <c r="HJW387" s="1317"/>
      <c r="HJX387" s="1317"/>
      <c r="HJY387" s="1317"/>
      <c r="HJZ387" s="1317"/>
      <c r="HKA387" s="1317"/>
      <c r="HKB387" s="1317"/>
      <c r="HKC387" s="1317"/>
      <c r="HKD387" s="1317"/>
      <c r="HKE387" s="1317"/>
      <c r="HKF387" s="1317"/>
      <c r="HKG387" s="1317"/>
      <c r="HKH387" s="1317"/>
      <c r="HKI387" s="1317"/>
      <c r="HKJ387" s="1317"/>
      <c r="HKK387" s="1317"/>
      <c r="HKL387" s="1317"/>
      <c r="HKM387" s="1317"/>
      <c r="HKN387" s="1317"/>
      <c r="HKO387" s="1317"/>
      <c r="HKP387" s="1317"/>
      <c r="HKQ387" s="1317"/>
      <c r="HKR387" s="1317"/>
      <c r="HKS387" s="1317"/>
      <c r="HKT387" s="1317"/>
      <c r="HKU387" s="1317"/>
      <c r="HKV387" s="1317"/>
      <c r="HKW387" s="1317"/>
      <c r="HKX387" s="1317"/>
      <c r="HKY387" s="1317"/>
      <c r="HKZ387" s="1317"/>
      <c r="HLA387" s="1317"/>
      <c r="HLB387" s="1317"/>
      <c r="HLC387" s="1317"/>
      <c r="HLD387" s="1317"/>
      <c r="HLE387" s="1317"/>
      <c r="HLF387" s="1317"/>
      <c r="HLG387" s="1317"/>
      <c r="HLH387" s="1317"/>
      <c r="HLI387" s="1317"/>
      <c r="HLJ387" s="1317"/>
      <c r="HLK387" s="1317"/>
      <c r="HLL387" s="1317"/>
      <c r="HLM387" s="1317"/>
      <c r="HLN387" s="1317"/>
      <c r="HLO387" s="1317"/>
      <c r="HLP387" s="1317"/>
      <c r="HLQ387" s="1317"/>
      <c r="HLR387" s="1317"/>
      <c r="HLS387" s="1317"/>
      <c r="HLT387" s="1317"/>
      <c r="HLU387" s="1317"/>
      <c r="HLV387" s="1317"/>
      <c r="HLW387" s="1317"/>
      <c r="HLX387" s="1317"/>
      <c r="HLY387" s="1317"/>
      <c r="HLZ387" s="1317"/>
      <c r="HMA387" s="1317"/>
      <c r="HMB387" s="1317"/>
      <c r="HMC387" s="1317"/>
      <c r="HMD387" s="1317"/>
      <c r="HME387" s="1317"/>
      <c r="HMF387" s="1317"/>
      <c r="HMG387" s="1317"/>
      <c r="HMH387" s="1317"/>
      <c r="HMI387" s="1317"/>
      <c r="HMJ387" s="1317"/>
      <c r="HMK387" s="1317"/>
      <c r="HML387" s="1317"/>
      <c r="HMM387" s="1317"/>
      <c r="HMN387" s="1317"/>
      <c r="HMO387" s="1317"/>
      <c r="HMP387" s="1317"/>
      <c r="HMQ387" s="1317"/>
      <c r="HMR387" s="1317"/>
      <c r="HMS387" s="1317"/>
      <c r="HMT387" s="1317"/>
      <c r="HMU387" s="1317"/>
      <c r="HMV387" s="1317"/>
      <c r="HMW387" s="1317"/>
      <c r="HMX387" s="1317"/>
      <c r="HMY387" s="1317"/>
      <c r="HMZ387" s="1317"/>
      <c r="HNA387" s="1317"/>
      <c r="HNB387" s="1317"/>
      <c r="HNC387" s="1317"/>
      <c r="HND387" s="1317"/>
      <c r="HNE387" s="1317"/>
      <c r="HNF387" s="1317"/>
      <c r="HNG387" s="1317"/>
      <c r="HNH387" s="1317"/>
      <c r="HNI387" s="1317"/>
      <c r="HNJ387" s="1317"/>
      <c r="HNK387" s="1317"/>
      <c r="HNL387" s="1317"/>
      <c r="HNM387" s="1317"/>
      <c r="HNN387" s="1317"/>
      <c r="HNO387" s="1317"/>
      <c r="HNP387" s="1317"/>
      <c r="HNQ387" s="1317"/>
      <c r="HNR387" s="1317"/>
      <c r="HNS387" s="1317"/>
      <c r="HNT387" s="1317"/>
      <c r="HNU387" s="1317"/>
      <c r="HNV387" s="1317"/>
      <c r="HNW387" s="1317"/>
      <c r="HNX387" s="1317"/>
      <c r="HNY387" s="1317"/>
      <c r="HNZ387" s="1317"/>
      <c r="HOA387" s="1317"/>
      <c r="HOB387" s="1317"/>
      <c r="HOC387" s="1317"/>
      <c r="HOD387" s="1317"/>
      <c r="HOE387" s="1317"/>
      <c r="HOF387" s="1317"/>
      <c r="HOG387" s="1317"/>
      <c r="HOH387" s="1317"/>
      <c r="HOI387" s="1317"/>
      <c r="HOJ387" s="1317"/>
      <c r="HOK387" s="1317"/>
      <c r="HOL387" s="1317"/>
      <c r="HOM387" s="1317"/>
      <c r="HON387" s="1317"/>
      <c r="HOO387" s="1317"/>
      <c r="HOP387" s="1317"/>
      <c r="HOQ387" s="1317"/>
      <c r="HOR387" s="1317"/>
      <c r="HOS387" s="1317"/>
      <c r="HOT387" s="1317"/>
      <c r="HOU387" s="1317"/>
      <c r="HOV387" s="1317"/>
      <c r="HOW387" s="1317"/>
      <c r="HOX387" s="1317"/>
      <c r="HOY387" s="1317"/>
      <c r="HOZ387" s="1317"/>
      <c r="HPA387" s="1317"/>
      <c r="HPB387" s="1317"/>
      <c r="HPC387" s="1317"/>
      <c r="HPD387" s="1317"/>
      <c r="HPE387" s="1317"/>
      <c r="HPF387" s="1317"/>
      <c r="HPG387" s="1317"/>
      <c r="HPH387" s="1317"/>
      <c r="HPI387" s="1317"/>
      <c r="HPJ387" s="1317"/>
      <c r="HPK387" s="1317"/>
      <c r="HPL387" s="1317"/>
      <c r="HPM387" s="1317"/>
      <c r="HPN387" s="1317"/>
      <c r="HPO387" s="1317"/>
      <c r="HPP387" s="1317"/>
      <c r="HPQ387" s="1317"/>
      <c r="HPR387" s="1317"/>
      <c r="HPS387" s="1317"/>
      <c r="HPT387" s="1317"/>
      <c r="HPU387" s="1317"/>
      <c r="HPV387" s="1317"/>
      <c r="HPW387" s="1317"/>
      <c r="HPX387" s="1317"/>
      <c r="HPY387" s="1317"/>
      <c r="HPZ387" s="1317"/>
      <c r="HQA387" s="1317"/>
      <c r="HQB387" s="1317"/>
      <c r="HQC387" s="1317"/>
      <c r="HQD387" s="1317"/>
      <c r="HQE387" s="1317"/>
      <c r="HQF387" s="1317"/>
      <c r="HQG387" s="1317"/>
      <c r="HQH387" s="1317"/>
      <c r="HQI387" s="1317"/>
      <c r="HQJ387" s="1317"/>
      <c r="HQK387" s="1317"/>
      <c r="HQL387" s="1317"/>
      <c r="HQM387" s="1317"/>
      <c r="HQN387" s="1317"/>
      <c r="HQO387" s="1317"/>
      <c r="HQP387" s="1317"/>
      <c r="HQQ387" s="1317"/>
      <c r="HQR387" s="1317"/>
      <c r="HQS387" s="1317"/>
      <c r="HQT387" s="1317"/>
      <c r="HQU387" s="1317"/>
      <c r="HQV387" s="1317"/>
      <c r="HQW387" s="1317"/>
      <c r="HQX387" s="1317"/>
      <c r="HQY387" s="1317"/>
      <c r="HQZ387" s="1317"/>
      <c r="HRA387" s="1317"/>
      <c r="HRB387" s="1317"/>
      <c r="HRC387" s="1317"/>
      <c r="HRD387" s="1317"/>
      <c r="HRE387" s="1317"/>
      <c r="HRF387" s="1317"/>
      <c r="HRG387" s="1317"/>
      <c r="HRH387" s="1317"/>
      <c r="HRI387" s="1317"/>
      <c r="HRJ387" s="1317"/>
      <c r="HRK387" s="1317"/>
      <c r="HRL387" s="1317"/>
      <c r="HRM387" s="1317"/>
      <c r="HRN387" s="1317"/>
      <c r="HRO387" s="1317"/>
      <c r="HRP387" s="1317"/>
      <c r="HRQ387" s="1317"/>
      <c r="HRR387" s="1317"/>
      <c r="HRS387" s="1317"/>
      <c r="HRT387" s="1317"/>
      <c r="HRU387" s="1317"/>
      <c r="HRV387" s="1317"/>
      <c r="HRW387" s="1317"/>
      <c r="HRX387" s="1317"/>
      <c r="HRY387" s="1317"/>
      <c r="HRZ387" s="1317"/>
      <c r="HSA387" s="1317"/>
      <c r="HSB387" s="1317"/>
      <c r="HSC387" s="1317"/>
      <c r="HSD387" s="1317"/>
      <c r="HSE387" s="1317"/>
      <c r="HSF387" s="1317"/>
      <c r="HSG387" s="1317"/>
      <c r="HSH387" s="1317"/>
      <c r="HSI387" s="1317"/>
      <c r="HSJ387" s="1317"/>
      <c r="HSK387" s="1317"/>
      <c r="HSL387" s="1317"/>
      <c r="HSM387" s="1317"/>
      <c r="HSN387" s="1317"/>
      <c r="HSO387" s="1317"/>
      <c r="HSP387" s="1317"/>
      <c r="HSQ387" s="1317"/>
      <c r="HSR387" s="1317"/>
      <c r="HSS387" s="1317"/>
      <c r="HST387" s="1317"/>
      <c r="HSU387" s="1317"/>
      <c r="HSV387" s="1317"/>
      <c r="HSW387" s="1317"/>
      <c r="HSX387" s="1317"/>
      <c r="HSY387" s="1317"/>
      <c r="HSZ387" s="1317"/>
      <c r="HTA387" s="1317"/>
      <c r="HTB387" s="1317"/>
      <c r="HTC387" s="1317"/>
      <c r="HTD387" s="1317"/>
      <c r="HTE387" s="1317"/>
      <c r="HTF387" s="1317"/>
      <c r="HTG387" s="1317"/>
      <c r="HTH387" s="1317"/>
      <c r="HTI387" s="1317"/>
      <c r="HTJ387" s="1317"/>
      <c r="HTK387" s="1317"/>
      <c r="HTL387" s="1317"/>
      <c r="HTM387" s="1317"/>
      <c r="HTN387" s="1317"/>
      <c r="HTO387" s="1317"/>
      <c r="HTP387" s="1317"/>
      <c r="HTQ387" s="1317"/>
      <c r="HTR387" s="1317"/>
      <c r="HTS387" s="1317"/>
      <c r="HTT387" s="1317"/>
      <c r="HTU387" s="1317"/>
      <c r="HTV387" s="1317"/>
      <c r="HTW387" s="1317"/>
      <c r="HTX387" s="1317"/>
      <c r="HTY387" s="1317"/>
      <c r="HTZ387" s="1317"/>
      <c r="HUA387" s="1317"/>
      <c r="HUB387" s="1317"/>
      <c r="HUC387" s="1317"/>
      <c r="HUD387" s="1317"/>
      <c r="HUE387" s="1317"/>
      <c r="HUF387" s="1317"/>
      <c r="HUG387" s="1317"/>
      <c r="HUH387" s="1317"/>
      <c r="HUI387" s="1317"/>
      <c r="HUJ387" s="1317"/>
      <c r="HUK387" s="1317"/>
      <c r="HUL387" s="1317"/>
      <c r="HUM387" s="1317"/>
      <c r="HUN387" s="1317"/>
      <c r="HUO387" s="1317"/>
      <c r="HUP387" s="1317"/>
      <c r="HUQ387" s="1317"/>
      <c r="HUR387" s="1317"/>
      <c r="HUS387" s="1317"/>
      <c r="HUT387" s="1317"/>
      <c r="HUU387" s="1317"/>
      <c r="HUV387" s="1317"/>
      <c r="HUW387" s="1317"/>
      <c r="HUX387" s="1317"/>
      <c r="HUY387" s="1317"/>
      <c r="HUZ387" s="1317"/>
      <c r="HVA387" s="1317"/>
      <c r="HVB387" s="1317"/>
      <c r="HVC387" s="1317"/>
      <c r="HVD387" s="1317"/>
      <c r="HVE387" s="1317"/>
      <c r="HVF387" s="1317"/>
      <c r="HVG387" s="1317"/>
      <c r="HVH387" s="1317"/>
      <c r="HVI387" s="1317"/>
      <c r="HVJ387" s="1317"/>
      <c r="HVK387" s="1317"/>
      <c r="HVL387" s="1317"/>
      <c r="HVM387" s="1317"/>
      <c r="HVN387" s="1317"/>
      <c r="HVO387" s="1317"/>
      <c r="HVP387" s="1317"/>
      <c r="HVQ387" s="1317"/>
      <c r="HVR387" s="1317"/>
      <c r="HVS387" s="1317"/>
      <c r="HVT387" s="1317"/>
      <c r="HVU387" s="1317"/>
      <c r="HVV387" s="1317"/>
      <c r="HVW387" s="1317"/>
      <c r="HVX387" s="1317"/>
      <c r="HVY387" s="1317"/>
      <c r="HVZ387" s="1317"/>
      <c r="HWA387" s="1317"/>
      <c r="HWB387" s="1317"/>
      <c r="HWC387" s="1317"/>
      <c r="HWD387" s="1317"/>
      <c r="HWE387" s="1317"/>
      <c r="HWF387" s="1317"/>
      <c r="HWG387" s="1317"/>
      <c r="HWH387" s="1317"/>
      <c r="HWI387" s="1317"/>
      <c r="HWJ387" s="1317"/>
      <c r="HWK387" s="1317"/>
      <c r="HWL387" s="1317"/>
      <c r="HWM387" s="1317"/>
      <c r="HWN387" s="1317"/>
      <c r="HWO387" s="1317"/>
      <c r="HWP387" s="1317"/>
      <c r="HWQ387" s="1317"/>
      <c r="HWR387" s="1317"/>
      <c r="HWS387" s="1317"/>
      <c r="HWT387" s="1317"/>
      <c r="HWU387" s="1317"/>
      <c r="HWV387" s="1317"/>
      <c r="HWW387" s="1317"/>
      <c r="HWX387" s="1317"/>
      <c r="HWY387" s="1317"/>
      <c r="HWZ387" s="1317"/>
      <c r="HXA387" s="1317"/>
      <c r="HXB387" s="1317"/>
      <c r="HXC387" s="1317"/>
      <c r="HXD387" s="1317"/>
      <c r="HXE387" s="1317"/>
      <c r="HXF387" s="1317"/>
      <c r="HXG387" s="1317"/>
      <c r="HXH387" s="1317"/>
      <c r="HXI387" s="1317"/>
      <c r="HXJ387" s="1317"/>
      <c r="HXK387" s="1317"/>
      <c r="HXL387" s="1317"/>
      <c r="HXM387" s="1317"/>
      <c r="HXN387" s="1317"/>
      <c r="HXO387" s="1317"/>
      <c r="HXP387" s="1317"/>
      <c r="HXQ387" s="1317"/>
      <c r="HXR387" s="1317"/>
      <c r="HXS387" s="1317"/>
      <c r="HXT387" s="1317"/>
      <c r="HXU387" s="1317"/>
      <c r="HXV387" s="1317"/>
      <c r="HXW387" s="1317"/>
      <c r="HXX387" s="1317"/>
      <c r="HXY387" s="1317"/>
      <c r="HXZ387" s="1317"/>
      <c r="HYA387" s="1317"/>
      <c r="HYB387" s="1317"/>
      <c r="HYC387" s="1317"/>
      <c r="HYD387" s="1317"/>
      <c r="HYE387" s="1317"/>
      <c r="HYF387" s="1317"/>
      <c r="HYG387" s="1317"/>
      <c r="HYH387" s="1317"/>
      <c r="HYI387" s="1317"/>
      <c r="HYJ387" s="1317"/>
      <c r="HYK387" s="1317"/>
      <c r="HYL387" s="1317"/>
      <c r="HYM387" s="1317"/>
      <c r="HYN387" s="1317"/>
      <c r="HYO387" s="1317"/>
      <c r="HYP387" s="1317"/>
      <c r="HYQ387" s="1317"/>
      <c r="HYR387" s="1317"/>
      <c r="HYS387" s="1317"/>
      <c r="HYT387" s="1317"/>
      <c r="HYU387" s="1317"/>
      <c r="HYV387" s="1317"/>
      <c r="HYW387" s="1317"/>
      <c r="HYX387" s="1317"/>
      <c r="HYY387" s="1317"/>
      <c r="HYZ387" s="1317"/>
      <c r="HZA387" s="1317"/>
      <c r="HZB387" s="1317"/>
      <c r="HZC387" s="1317"/>
      <c r="HZD387" s="1317"/>
      <c r="HZE387" s="1317"/>
      <c r="HZF387" s="1317"/>
      <c r="HZG387" s="1317"/>
      <c r="HZH387" s="1317"/>
      <c r="HZI387" s="1317"/>
      <c r="HZJ387" s="1317"/>
      <c r="HZK387" s="1317"/>
      <c r="HZL387" s="1317"/>
      <c r="HZM387" s="1317"/>
      <c r="HZN387" s="1317"/>
      <c r="HZO387" s="1317"/>
      <c r="HZP387" s="1317"/>
      <c r="HZQ387" s="1317"/>
      <c r="HZR387" s="1317"/>
      <c r="HZS387" s="1317"/>
      <c r="HZT387" s="1317"/>
      <c r="HZU387" s="1317"/>
      <c r="HZV387" s="1317"/>
      <c r="HZW387" s="1317"/>
      <c r="HZX387" s="1317"/>
      <c r="HZY387" s="1317"/>
      <c r="HZZ387" s="1317"/>
      <c r="IAA387" s="1317"/>
      <c r="IAB387" s="1317"/>
      <c r="IAC387" s="1317"/>
      <c r="IAD387" s="1317"/>
      <c r="IAE387" s="1317"/>
      <c r="IAF387" s="1317"/>
      <c r="IAG387" s="1317"/>
      <c r="IAH387" s="1317"/>
      <c r="IAI387" s="1317"/>
      <c r="IAJ387" s="1317"/>
      <c r="IAK387" s="1317"/>
      <c r="IAL387" s="1317"/>
      <c r="IAM387" s="1317"/>
      <c r="IAN387" s="1317"/>
      <c r="IAO387" s="1317"/>
      <c r="IAP387" s="1317"/>
      <c r="IAQ387" s="1317"/>
      <c r="IAR387" s="1317"/>
      <c r="IAS387" s="1317"/>
      <c r="IAT387" s="1317"/>
      <c r="IAU387" s="1317"/>
      <c r="IAV387" s="1317"/>
      <c r="IAW387" s="1317"/>
      <c r="IAX387" s="1317"/>
      <c r="IAY387" s="1317"/>
      <c r="IAZ387" s="1317"/>
      <c r="IBA387" s="1317"/>
      <c r="IBB387" s="1317"/>
      <c r="IBC387" s="1317"/>
      <c r="IBD387" s="1317"/>
      <c r="IBE387" s="1317"/>
      <c r="IBF387" s="1317"/>
      <c r="IBG387" s="1317"/>
      <c r="IBH387" s="1317"/>
      <c r="IBI387" s="1317"/>
      <c r="IBJ387" s="1317"/>
      <c r="IBK387" s="1317"/>
      <c r="IBL387" s="1317"/>
      <c r="IBM387" s="1317"/>
      <c r="IBN387" s="1317"/>
      <c r="IBO387" s="1317"/>
      <c r="IBP387" s="1317"/>
      <c r="IBQ387" s="1317"/>
      <c r="IBR387" s="1317"/>
      <c r="IBS387" s="1317"/>
      <c r="IBT387" s="1317"/>
      <c r="IBU387" s="1317"/>
      <c r="IBV387" s="1317"/>
      <c r="IBW387" s="1317"/>
      <c r="IBX387" s="1317"/>
      <c r="IBY387" s="1317"/>
      <c r="IBZ387" s="1317"/>
      <c r="ICA387" s="1317"/>
      <c r="ICB387" s="1317"/>
      <c r="ICC387" s="1317"/>
      <c r="ICD387" s="1317"/>
      <c r="ICE387" s="1317"/>
      <c r="ICF387" s="1317"/>
      <c r="ICG387" s="1317"/>
      <c r="ICH387" s="1317"/>
      <c r="ICI387" s="1317"/>
      <c r="ICJ387" s="1317"/>
      <c r="ICK387" s="1317"/>
      <c r="ICL387" s="1317"/>
      <c r="ICM387" s="1317"/>
      <c r="ICN387" s="1317"/>
      <c r="ICO387" s="1317"/>
      <c r="ICP387" s="1317"/>
      <c r="ICQ387" s="1317"/>
      <c r="ICR387" s="1317"/>
      <c r="ICS387" s="1317"/>
      <c r="ICT387" s="1317"/>
      <c r="ICU387" s="1317"/>
      <c r="ICV387" s="1317"/>
      <c r="ICW387" s="1317"/>
      <c r="ICX387" s="1317"/>
      <c r="ICY387" s="1317"/>
      <c r="ICZ387" s="1317"/>
      <c r="IDA387" s="1317"/>
      <c r="IDB387" s="1317"/>
      <c r="IDC387" s="1317"/>
      <c r="IDD387" s="1317"/>
      <c r="IDE387" s="1317"/>
      <c r="IDF387" s="1317"/>
      <c r="IDG387" s="1317"/>
      <c r="IDH387" s="1317"/>
      <c r="IDI387" s="1317"/>
      <c r="IDJ387" s="1317"/>
      <c r="IDK387" s="1317"/>
      <c r="IDL387" s="1317"/>
      <c r="IDM387" s="1317"/>
      <c r="IDN387" s="1317"/>
      <c r="IDO387" s="1317"/>
      <c r="IDP387" s="1317"/>
      <c r="IDQ387" s="1317"/>
      <c r="IDR387" s="1317"/>
      <c r="IDS387" s="1317"/>
      <c r="IDT387" s="1317"/>
      <c r="IDU387" s="1317"/>
      <c r="IDV387" s="1317"/>
      <c r="IDW387" s="1317"/>
      <c r="IDX387" s="1317"/>
      <c r="IDY387" s="1317"/>
      <c r="IDZ387" s="1317"/>
      <c r="IEA387" s="1317"/>
      <c r="IEB387" s="1317"/>
      <c r="IEC387" s="1317"/>
      <c r="IED387" s="1317"/>
      <c r="IEE387" s="1317"/>
      <c r="IEF387" s="1317"/>
      <c r="IEG387" s="1317"/>
      <c r="IEH387" s="1317"/>
      <c r="IEI387" s="1317"/>
      <c r="IEJ387" s="1317"/>
      <c r="IEK387" s="1317"/>
      <c r="IEL387" s="1317"/>
      <c r="IEM387" s="1317"/>
      <c r="IEN387" s="1317"/>
      <c r="IEO387" s="1317"/>
      <c r="IEP387" s="1317"/>
      <c r="IEQ387" s="1317"/>
      <c r="IER387" s="1317"/>
      <c r="IES387" s="1317"/>
      <c r="IET387" s="1317"/>
      <c r="IEU387" s="1317"/>
      <c r="IEV387" s="1317"/>
      <c r="IEW387" s="1317"/>
      <c r="IEX387" s="1317"/>
      <c r="IEY387" s="1317"/>
      <c r="IEZ387" s="1317"/>
      <c r="IFA387" s="1317"/>
      <c r="IFB387" s="1317"/>
      <c r="IFC387" s="1317"/>
      <c r="IFD387" s="1317"/>
      <c r="IFE387" s="1317"/>
      <c r="IFF387" s="1317"/>
      <c r="IFG387" s="1317"/>
      <c r="IFH387" s="1317"/>
      <c r="IFI387" s="1317"/>
      <c r="IFJ387" s="1317"/>
      <c r="IFK387" s="1317"/>
      <c r="IFL387" s="1317"/>
      <c r="IFM387" s="1317"/>
      <c r="IFN387" s="1317"/>
      <c r="IFO387" s="1317"/>
      <c r="IFP387" s="1317"/>
      <c r="IFQ387" s="1317"/>
      <c r="IFR387" s="1317"/>
      <c r="IFS387" s="1317"/>
      <c r="IFT387" s="1317"/>
      <c r="IFU387" s="1317"/>
      <c r="IFV387" s="1317"/>
      <c r="IFW387" s="1317"/>
      <c r="IFX387" s="1317"/>
      <c r="IFY387" s="1317"/>
      <c r="IFZ387" s="1317"/>
      <c r="IGA387" s="1317"/>
      <c r="IGB387" s="1317"/>
      <c r="IGC387" s="1317"/>
      <c r="IGD387" s="1317"/>
      <c r="IGE387" s="1317"/>
      <c r="IGF387" s="1317"/>
      <c r="IGG387" s="1317"/>
      <c r="IGH387" s="1317"/>
      <c r="IGI387" s="1317"/>
      <c r="IGJ387" s="1317"/>
      <c r="IGK387" s="1317"/>
      <c r="IGL387" s="1317"/>
      <c r="IGM387" s="1317"/>
      <c r="IGN387" s="1317"/>
      <c r="IGO387" s="1317"/>
      <c r="IGP387" s="1317"/>
      <c r="IGQ387" s="1317"/>
      <c r="IGR387" s="1317"/>
      <c r="IGS387" s="1317"/>
      <c r="IGT387" s="1317"/>
      <c r="IGU387" s="1317"/>
      <c r="IGV387" s="1317"/>
      <c r="IGW387" s="1317"/>
      <c r="IGX387" s="1317"/>
      <c r="IGY387" s="1317"/>
      <c r="IGZ387" s="1317"/>
      <c r="IHA387" s="1317"/>
      <c r="IHB387" s="1317"/>
      <c r="IHC387" s="1317"/>
      <c r="IHD387" s="1317"/>
      <c r="IHE387" s="1317"/>
      <c r="IHF387" s="1317"/>
      <c r="IHG387" s="1317"/>
      <c r="IHH387" s="1317"/>
      <c r="IHI387" s="1317"/>
      <c r="IHJ387" s="1317"/>
      <c r="IHK387" s="1317"/>
      <c r="IHL387" s="1317"/>
      <c r="IHM387" s="1317"/>
      <c r="IHN387" s="1317"/>
      <c r="IHO387" s="1317"/>
      <c r="IHP387" s="1317"/>
      <c r="IHQ387" s="1317"/>
      <c r="IHR387" s="1317"/>
      <c r="IHS387" s="1317"/>
      <c r="IHT387" s="1317"/>
      <c r="IHU387" s="1317"/>
      <c r="IHV387" s="1317"/>
      <c r="IHW387" s="1317"/>
      <c r="IHX387" s="1317"/>
      <c r="IHY387" s="1317"/>
      <c r="IHZ387" s="1317"/>
      <c r="IIA387" s="1317"/>
      <c r="IIB387" s="1317"/>
      <c r="IIC387" s="1317"/>
      <c r="IID387" s="1317"/>
      <c r="IIE387" s="1317"/>
      <c r="IIF387" s="1317"/>
      <c r="IIG387" s="1317"/>
      <c r="IIH387" s="1317"/>
      <c r="III387" s="1317"/>
      <c r="IIJ387" s="1317"/>
      <c r="IIK387" s="1317"/>
      <c r="IIL387" s="1317"/>
      <c r="IIM387" s="1317"/>
      <c r="IIN387" s="1317"/>
      <c r="IIO387" s="1317"/>
      <c r="IIP387" s="1317"/>
      <c r="IIQ387" s="1317"/>
      <c r="IIR387" s="1317"/>
      <c r="IIS387" s="1317"/>
      <c r="IIT387" s="1317"/>
      <c r="IIU387" s="1317"/>
      <c r="IIV387" s="1317"/>
      <c r="IIW387" s="1317"/>
      <c r="IIX387" s="1317"/>
      <c r="IIY387" s="1317"/>
      <c r="IIZ387" s="1317"/>
      <c r="IJA387" s="1317"/>
      <c r="IJB387" s="1317"/>
      <c r="IJC387" s="1317"/>
      <c r="IJD387" s="1317"/>
      <c r="IJE387" s="1317"/>
      <c r="IJF387" s="1317"/>
      <c r="IJG387" s="1317"/>
      <c r="IJH387" s="1317"/>
      <c r="IJI387" s="1317"/>
      <c r="IJJ387" s="1317"/>
      <c r="IJK387" s="1317"/>
      <c r="IJL387" s="1317"/>
      <c r="IJM387" s="1317"/>
      <c r="IJN387" s="1317"/>
      <c r="IJO387" s="1317"/>
      <c r="IJP387" s="1317"/>
      <c r="IJQ387" s="1317"/>
      <c r="IJR387" s="1317"/>
      <c r="IJS387" s="1317"/>
      <c r="IJT387" s="1317"/>
      <c r="IJU387" s="1317"/>
      <c r="IJV387" s="1317"/>
      <c r="IJW387" s="1317"/>
      <c r="IJX387" s="1317"/>
      <c r="IJY387" s="1317"/>
      <c r="IJZ387" s="1317"/>
      <c r="IKA387" s="1317"/>
      <c r="IKB387" s="1317"/>
      <c r="IKC387" s="1317"/>
      <c r="IKD387" s="1317"/>
      <c r="IKE387" s="1317"/>
      <c r="IKF387" s="1317"/>
      <c r="IKG387" s="1317"/>
      <c r="IKH387" s="1317"/>
      <c r="IKI387" s="1317"/>
      <c r="IKJ387" s="1317"/>
      <c r="IKK387" s="1317"/>
      <c r="IKL387" s="1317"/>
      <c r="IKM387" s="1317"/>
      <c r="IKN387" s="1317"/>
      <c r="IKO387" s="1317"/>
      <c r="IKP387" s="1317"/>
      <c r="IKQ387" s="1317"/>
      <c r="IKR387" s="1317"/>
      <c r="IKS387" s="1317"/>
      <c r="IKT387" s="1317"/>
      <c r="IKU387" s="1317"/>
      <c r="IKV387" s="1317"/>
      <c r="IKW387" s="1317"/>
      <c r="IKX387" s="1317"/>
      <c r="IKY387" s="1317"/>
      <c r="IKZ387" s="1317"/>
      <c r="ILA387" s="1317"/>
      <c r="ILB387" s="1317"/>
      <c r="ILC387" s="1317"/>
      <c r="ILD387" s="1317"/>
      <c r="ILE387" s="1317"/>
      <c r="ILF387" s="1317"/>
      <c r="ILG387" s="1317"/>
      <c r="ILH387" s="1317"/>
      <c r="ILI387" s="1317"/>
      <c r="ILJ387" s="1317"/>
      <c r="ILK387" s="1317"/>
      <c r="ILL387" s="1317"/>
      <c r="ILM387" s="1317"/>
      <c r="ILN387" s="1317"/>
      <c r="ILO387" s="1317"/>
      <c r="ILP387" s="1317"/>
      <c r="ILQ387" s="1317"/>
      <c r="ILR387" s="1317"/>
      <c r="ILS387" s="1317"/>
      <c r="ILT387" s="1317"/>
      <c r="ILU387" s="1317"/>
      <c r="ILV387" s="1317"/>
      <c r="ILW387" s="1317"/>
      <c r="ILX387" s="1317"/>
      <c r="ILY387" s="1317"/>
      <c r="ILZ387" s="1317"/>
      <c r="IMA387" s="1317"/>
      <c r="IMB387" s="1317"/>
      <c r="IMC387" s="1317"/>
      <c r="IMD387" s="1317"/>
      <c r="IME387" s="1317"/>
      <c r="IMF387" s="1317"/>
      <c r="IMG387" s="1317"/>
      <c r="IMH387" s="1317"/>
      <c r="IMI387" s="1317"/>
      <c r="IMJ387" s="1317"/>
      <c r="IMK387" s="1317"/>
      <c r="IML387" s="1317"/>
      <c r="IMM387" s="1317"/>
      <c r="IMN387" s="1317"/>
      <c r="IMO387" s="1317"/>
      <c r="IMP387" s="1317"/>
      <c r="IMQ387" s="1317"/>
      <c r="IMR387" s="1317"/>
      <c r="IMS387" s="1317"/>
      <c r="IMT387" s="1317"/>
      <c r="IMU387" s="1317"/>
      <c r="IMV387" s="1317"/>
      <c r="IMW387" s="1317"/>
      <c r="IMX387" s="1317"/>
      <c r="IMY387" s="1317"/>
      <c r="IMZ387" s="1317"/>
      <c r="INA387" s="1317"/>
      <c r="INB387" s="1317"/>
      <c r="INC387" s="1317"/>
      <c r="IND387" s="1317"/>
      <c r="INE387" s="1317"/>
      <c r="INF387" s="1317"/>
      <c r="ING387" s="1317"/>
      <c r="INH387" s="1317"/>
      <c r="INI387" s="1317"/>
      <c r="INJ387" s="1317"/>
      <c r="INK387" s="1317"/>
      <c r="INL387" s="1317"/>
      <c r="INM387" s="1317"/>
      <c r="INN387" s="1317"/>
      <c r="INO387" s="1317"/>
      <c r="INP387" s="1317"/>
      <c r="INQ387" s="1317"/>
      <c r="INR387" s="1317"/>
      <c r="INS387" s="1317"/>
      <c r="INT387" s="1317"/>
      <c r="INU387" s="1317"/>
      <c r="INV387" s="1317"/>
      <c r="INW387" s="1317"/>
      <c r="INX387" s="1317"/>
      <c r="INY387" s="1317"/>
      <c r="INZ387" s="1317"/>
      <c r="IOA387" s="1317"/>
      <c r="IOB387" s="1317"/>
      <c r="IOC387" s="1317"/>
      <c r="IOD387" s="1317"/>
      <c r="IOE387" s="1317"/>
      <c r="IOF387" s="1317"/>
      <c r="IOG387" s="1317"/>
      <c r="IOH387" s="1317"/>
      <c r="IOI387" s="1317"/>
      <c r="IOJ387" s="1317"/>
      <c r="IOK387" s="1317"/>
      <c r="IOL387" s="1317"/>
      <c r="IOM387" s="1317"/>
      <c r="ION387" s="1317"/>
      <c r="IOO387" s="1317"/>
      <c r="IOP387" s="1317"/>
      <c r="IOQ387" s="1317"/>
      <c r="IOR387" s="1317"/>
      <c r="IOS387" s="1317"/>
      <c r="IOT387" s="1317"/>
      <c r="IOU387" s="1317"/>
      <c r="IOV387" s="1317"/>
      <c r="IOW387" s="1317"/>
      <c r="IOX387" s="1317"/>
      <c r="IOY387" s="1317"/>
      <c r="IOZ387" s="1317"/>
      <c r="IPA387" s="1317"/>
      <c r="IPB387" s="1317"/>
      <c r="IPC387" s="1317"/>
      <c r="IPD387" s="1317"/>
      <c r="IPE387" s="1317"/>
      <c r="IPF387" s="1317"/>
      <c r="IPG387" s="1317"/>
      <c r="IPH387" s="1317"/>
      <c r="IPI387" s="1317"/>
      <c r="IPJ387" s="1317"/>
      <c r="IPK387" s="1317"/>
      <c r="IPL387" s="1317"/>
      <c r="IPM387" s="1317"/>
      <c r="IPN387" s="1317"/>
      <c r="IPO387" s="1317"/>
      <c r="IPP387" s="1317"/>
      <c r="IPQ387" s="1317"/>
      <c r="IPR387" s="1317"/>
      <c r="IPS387" s="1317"/>
      <c r="IPT387" s="1317"/>
      <c r="IPU387" s="1317"/>
      <c r="IPV387" s="1317"/>
      <c r="IPW387" s="1317"/>
      <c r="IPX387" s="1317"/>
      <c r="IPY387" s="1317"/>
      <c r="IPZ387" s="1317"/>
      <c r="IQA387" s="1317"/>
      <c r="IQB387" s="1317"/>
      <c r="IQC387" s="1317"/>
      <c r="IQD387" s="1317"/>
      <c r="IQE387" s="1317"/>
      <c r="IQF387" s="1317"/>
      <c r="IQG387" s="1317"/>
      <c r="IQH387" s="1317"/>
      <c r="IQI387" s="1317"/>
      <c r="IQJ387" s="1317"/>
      <c r="IQK387" s="1317"/>
      <c r="IQL387" s="1317"/>
      <c r="IQM387" s="1317"/>
      <c r="IQN387" s="1317"/>
      <c r="IQO387" s="1317"/>
      <c r="IQP387" s="1317"/>
      <c r="IQQ387" s="1317"/>
      <c r="IQR387" s="1317"/>
      <c r="IQS387" s="1317"/>
      <c r="IQT387" s="1317"/>
      <c r="IQU387" s="1317"/>
      <c r="IQV387" s="1317"/>
      <c r="IQW387" s="1317"/>
      <c r="IQX387" s="1317"/>
      <c r="IQY387" s="1317"/>
      <c r="IQZ387" s="1317"/>
      <c r="IRA387" s="1317"/>
      <c r="IRB387" s="1317"/>
      <c r="IRC387" s="1317"/>
      <c r="IRD387" s="1317"/>
      <c r="IRE387" s="1317"/>
      <c r="IRF387" s="1317"/>
      <c r="IRG387" s="1317"/>
      <c r="IRH387" s="1317"/>
      <c r="IRI387" s="1317"/>
      <c r="IRJ387" s="1317"/>
      <c r="IRK387" s="1317"/>
      <c r="IRL387" s="1317"/>
      <c r="IRM387" s="1317"/>
      <c r="IRN387" s="1317"/>
      <c r="IRO387" s="1317"/>
      <c r="IRP387" s="1317"/>
      <c r="IRQ387" s="1317"/>
      <c r="IRR387" s="1317"/>
      <c r="IRS387" s="1317"/>
      <c r="IRT387" s="1317"/>
      <c r="IRU387" s="1317"/>
      <c r="IRV387" s="1317"/>
      <c r="IRW387" s="1317"/>
      <c r="IRX387" s="1317"/>
      <c r="IRY387" s="1317"/>
      <c r="IRZ387" s="1317"/>
      <c r="ISA387" s="1317"/>
      <c r="ISB387" s="1317"/>
      <c r="ISC387" s="1317"/>
      <c r="ISD387" s="1317"/>
      <c r="ISE387" s="1317"/>
      <c r="ISF387" s="1317"/>
      <c r="ISG387" s="1317"/>
      <c r="ISH387" s="1317"/>
      <c r="ISI387" s="1317"/>
      <c r="ISJ387" s="1317"/>
      <c r="ISK387" s="1317"/>
      <c r="ISL387" s="1317"/>
      <c r="ISM387" s="1317"/>
      <c r="ISN387" s="1317"/>
      <c r="ISO387" s="1317"/>
      <c r="ISP387" s="1317"/>
      <c r="ISQ387" s="1317"/>
      <c r="ISR387" s="1317"/>
      <c r="ISS387" s="1317"/>
      <c r="IST387" s="1317"/>
      <c r="ISU387" s="1317"/>
      <c r="ISV387" s="1317"/>
      <c r="ISW387" s="1317"/>
      <c r="ISX387" s="1317"/>
      <c r="ISY387" s="1317"/>
      <c r="ISZ387" s="1317"/>
      <c r="ITA387" s="1317"/>
      <c r="ITB387" s="1317"/>
      <c r="ITC387" s="1317"/>
      <c r="ITD387" s="1317"/>
      <c r="ITE387" s="1317"/>
      <c r="ITF387" s="1317"/>
      <c r="ITG387" s="1317"/>
      <c r="ITH387" s="1317"/>
      <c r="ITI387" s="1317"/>
      <c r="ITJ387" s="1317"/>
      <c r="ITK387" s="1317"/>
      <c r="ITL387" s="1317"/>
      <c r="ITM387" s="1317"/>
      <c r="ITN387" s="1317"/>
      <c r="ITO387" s="1317"/>
      <c r="ITP387" s="1317"/>
      <c r="ITQ387" s="1317"/>
      <c r="ITR387" s="1317"/>
      <c r="ITS387" s="1317"/>
      <c r="ITT387" s="1317"/>
      <c r="ITU387" s="1317"/>
      <c r="ITV387" s="1317"/>
      <c r="ITW387" s="1317"/>
      <c r="ITX387" s="1317"/>
      <c r="ITY387" s="1317"/>
      <c r="ITZ387" s="1317"/>
      <c r="IUA387" s="1317"/>
      <c r="IUB387" s="1317"/>
      <c r="IUC387" s="1317"/>
      <c r="IUD387" s="1317"/>
      <c r="IUE387" s="1317"/>
      <c r="IUF387" s="1317"/>
      <c r="IUG387" s="1317"/>
      <c r="IUH387" s="1317"/>
      <c r="IUI387" s="1317"/>
      <c r="IUJ387" s="1317"/>
      <c r="IUK387" s="1317"/>
      <c r="IUL387" s="1317"/>
      <c r="IUM387" s="1317"/>
      <c r="IUN387" s="1317"/>
      <c r="IUO387" s="1317"/>
      <c r="IUP387" s="1317"/>
      <c r="IUQ387" s="1317"/>
      <c r="IUR387" s="1317"/>
      <c r="IUS387" s="1317"/>
      <c r="IUT387" s="1317"/>
      <c r="IUU387" s="1317"/>
      <c r="IUV387" s="1317"/>
      <c r="IUW387" s="1317"/>
      <c r="IUX387" s="1317"/>
      <c r="IUY387" s="1317"/>
      <c r="IUZ387" s="1317"/>
      <c r="IVA387" s="1317"/>
      <c r="IVB387" s="1317"/>
      <c r="IVC387" s="1317"/>
      <c r="IVD387" s="1317"/>
      <c r="IVE387" s="1317"/>
      <c r="IVF387" s="1317"/>
      <c r="IVG387" s="1317"/>
      <c r="IVH387" s="1317"/>
      <c r="IVI387" s="1317"/>
      <c r="IVJ387" s="1317"/>
      <c r="IVK387" s="1317"/>
      <c r="IVL387" s="1317"/>
      <c r="IVM387" s="1317"/>
      <c r="IVN387" s="1317"/>
      <c r="IVO387" s="1317"/>
      <c r="IVP387" s="1317"/>
      <c r="IVQ387" s="1317"/>
      <c r="IVR387" s="1317"/>
      <c r="IVS387" s="1317"/>
      <c r="IVT387" s="1317"/>
      <c r="IVU387" s="1317"/>
      <c r="IVV387" s="1317"/>
      <c r="IVW387" s="1317"/>
      <c r="IVX387" s="1317"/>
      <c r="IVY387" s="1317"/>
      <c r="IVZ387" s="1317"/>
      <c r="IWA387" s="1317"/>
      <c r="IWB387" s="1317"/>
      <c r="IWC387" s="1317"/>
      <c r="IWD387" s="1317"/>
      <c r="IWE387" s="1317"/>
      <c r="IWF387" s="1317"/>
      <c r="IWG387" s="1317"/>
      <c r="IWH387" s="1317"/>
      <c r="IWI387" s="1317"/>
      <c r="IWJ387" s="1317"/>
      <c r="IWK387" s="1317"/>
      <c r="IWL387" s="1317"/>
      <c r="IWM387" s="1317"/>
      <c r="IWN387" s="1317"/>
      <c r="IWO387" s="1317"/>
      <c r="IWP387" s="1317"/>
      <c r="IWQ387" s="1317"/>
      <c r="IWR387" s="1317"/>
      <c r="IWS387" s="1317"/>
      <c r="IWT387" s="1317"/>
      <c r="IWU387" s="1317"/>
      <c r="IWV387" s="1317"/>
      <c r="IWW387" s="1317"/>
      <c r="IWX387" s="1317"/>
      <c r="IWY387" s="1317"/>
      <c r="IWZ387" s="1317"/>
      <c r="IXA387" s="1317"/>
      <c r="IXB387" s="1317"/>
      <c r="IXC387" s="1317"/>
      <c r="IXD387" s="1317"/>
      <c r="IXE387" s="1317"/>
      <c r="IXF387" s="1317"/>
      <c r="IXG387" s="1317"/>
      <c r="IXH387" s="1317"/>
      <c r="IXI387" s="1317"/>
      <c r="IXJ387" s="1317"/>
      <c r="IXK387" s="1317"/>
      <c r="IXL387" s="1317"/>
      <c r="IXM387" s="1317"/>
      <c r="IXN387" s="1317"/>
      <c r="IXO387" s="1317"/>
      <c r="IXP387" s="1317"/>
      <c r="IXQ387" s="1317"/>
      <c r="IXR387" s="1317"/>
      <c r="IXS387" s="1317"/>
      <c r="IXT387" s="1317"/>
      <c r="IXU387" s="1317"/>
      <c r="IXV387" s="1317"/>
      <c r="IXW387" s="1317"/>
      <c r="IXX387" s="1317"/>
      <c r="IXY387" s="1317"/>
      <c r="IXZ387" s="1317"/>
      <c r="IYA387" s="1317"/>
      <c r="IYB387" s="1317"/>
      <c r="IYC387" s="1317"/>
      <c r="IYD387" s="1317"/>
      <c r="IYE387" s="1317"/>
      <c r="IYF387" s="1317"/>
      <c r="IYG387" s="1317"/>
      <c r="IYH387" s="1317"/>
      <c r="IYI387" s="1317"/>
      <c r="IYJ387" s="1317"/>
      <c r="IYK387" s="1317"/>
      <c r="IYL387" s="1317"/>
      <c r="IYM387" s="1317"/>
      <c r="IYN387" s="1317"/>
      <c r="IYO387" s="1317"/>
      <c r="IYP387" s="1317"/>
      <c r="IYQ387" s="1317"/>
      <c r="IYR387" s="1317"/>
      <c r="IYS387" s="1317"/>
      <c r="IYT387" s="1317"/>
      <c r="IYU387" s="1317"/>
      <c r="IYV387" s="1317"/>
      <c r="IYW387" s="1317"/>
      <c r="IYX387" s="1317"/>
      <c r="IYY387" s="1317"/>
      <c r="IYZ387" s="1317"/>
      <c r="IZA387" s="1317"/>
      <c r="IZB387" s="1317"/>
      <c r="IZC387" s="1317"/>
      <c r="IZD387" s="1317"/>
      <c r="IZE387" s="1317"/>
      <c r="IZF387" s="1317"/>
      <c r="IZG387" s="1317"/>
      <c r="IZH387" s="1317"/>
      <c r="IZI387" s="1317"/>
      <c r="IZJ387" s="1317"/>
      <c r="IZK387" s="1317"/>
      <c r="IZL387" s="1317"/>
      <c r="IZM387" s="1317"/>
      <c r="IZN387" s="1317"/>
      <c r="IZO387" s="1317"/>
      <c r="IZP387" s="1317"/>
      <c r="IZQ387" s="1317"/>
      <c r="IZR387" s="1317"/>
      <c r="IZS387" s="1317"/>
      <c r="IZT387" s="1317"/>
      <c r="IZU387" s="1317"/>
      <c r="IZV387" s="1317"/>
      <c r="IZW387" s="1317"/>
      <c r="IZX387" s="1317"/>
      <c r="IZY387" s="1317"/>
      <c r="IZZ387" s="1317"/>
      <c r="JAA387" s="1317"/>
      <c r="JAB387" s="1317"/>
      <c r="JAC387" s="1317"/>
      <c r="JAD387" s="1317"/>
      <c r="JAE387" s="1317"/>
      <c r="JAF387" s="1317"/>
      <c r="JAG387" s="1317"/>
      <c r="JAH387" s="1317"/>
      <c r="JAI387" s="1317"/>
      <c r="JAJ387" s="1317"/>
      <c r="JAK387" s="1317"/>
      <c r="JAL387" s="1317"/>
      <c r="JAM387" s="1317"/>
      <c r="JAN387" s="1317"/>
      <c r="JAO387" s="1317"/>
      <c r="JAP387" s="1317"/>
      <c r="JAQ387" s="1317"/>
      <c r="JAR387" s="1317"/>
      <c r="JAS387" s="1317"/>
      <c r="JAT387" s="1317"/>
      <c r="JAU387" s="1317"/>
      <c r="JAV387" s="1317"/>
      <c r="JAW387" s="1317"/>
      <c r="JAX387" s="1317"/>
      <c r="JAY387" s="1317"/>
      <c r="JAZ387" s="1317"/>
      <c r="JBA387" s="1317"/>
      <c r="JBB387" s="1317"/>
      <c r="JBC387" s="1317"/>
      <c r="JBD387" s="1317"/>
      <c r="JBE387" s="1317"/>
      <c r="JBF387" s="1317"/>
      <c r="JBG387" s="1317"/>
      <c r="JBH387" s="1317"/>
      <c r="JBI387" s="1317"/>
      <c r="JBJ387" s="1317"/>
      <c r="JBK387" s="1317"/>
      <c r="JBL387" s="1317"/>
      <c r="JBM387" s="1317"/>
      <c r="JBN387" s="1317"/>
      <c r="JBO387" s="1317"/>
      <c r="JBP387" s="1317"/>
      <c r="JBQ387" s="1317"/>
      <c r="JBR387" s="1317"/>
      <c r="JBS387" s="1317"/>
      <c r="JBT387" s="1317"/>
      <c r="JBU387" s="1317"/>
      <c r="JBV387" s="1317"/>
      <c r="JBW387" s="1317"/>
      <c r="JBX387" s="1317"/>
      <c r="JBY387" s="1317"/>
      <c r="JBZ387" s="1317"/>
      <c r="JCA387" s="1317"/>
      <c r="JCB387" s="1317"/>
      <c r="JCC387" s="1317"/>
      <c r="JCD387" s="1317"/>
      <c r="JCE387" s="1317"/>
      <c r="JCF387" s="1317"/>
      <c r="JCG387" s="1317"/>
      <c r="JCH387" s="1317"/>
      <c r="JCI387" s="1317"/>
      <c r="JCJ387" s="1317"/>
      <c r="JCK387" s="1317"/>
      <c r="JCL387" s="1317"/>
      <c r="JCM387" s="1317"/>
      <c r="JCN387" s="1317"/>
      <c r="JCO387" s="1317"/>
      <c r="JCP387" s="1317"/>
      <c r="JCQ387" s="1317"/>
      <c r="JCR387" s="1317"/>
      <c r="JCS387" s="1317"/>
      <c r="JCT387" s="1317"/>
      <c r="JCU387" s="1317"/>
      <c r="JCV387" s="1317"/>
      <c r="JCW387" s="1317"/>
      <c r="JCX387" s="1317"/>
      <c r="JCY387" s="1317"/>
      <c r="JCZ387" s="1317"/>
      <c r="JDA387" s="1317"/>
      <c r="JDB387" s="1317"/>
      <c r="JDC387" s="1317"/>
      <c r="JDD387" s="1317"/>
      <c r="JDE387" s="1317"/>
      <c r="JDF387" s="1317"/>
      <c r="JDG387" s="1317"/>
      <c r="JDH387" s="1317"/>
      <c r="JDI387" s="1317"/>
      <c r="JDJ387" s="1317"/>
      <c r="JDK387" s="1317"/>
      <c r="JDL387" s="1317"/>
      <c r="JDM387" s="1317"/>
      <c r="JDN387" s="1317"/>
      <c r="JDO387" s="1317"/>
      <c r="JDP387" s="1317"/>
      <c r="JDQ387" s="1317"/>
      <c r="JDR387" s="1317"/>
      <c r="JDS387" s="1317"/>
      <c r="JDT387" s="1317"/>
      <c r="JDU387" s="1317"/>
      <c r="JDV387" s="1317"/>
      <c r="JDW387" s="1317"/>
      <c r="JDX387" s="1317"/>
      <c r="JDY387" s="1317"/>
      <c r="JDZ387" s="1317"/>
      <c r="JEA387" s="1317"/>
      <c r="JEB387" s="1317"/>
      <c r="JEC387" s="1317"/>
      <c r="JED387" s="1317"/>
      <c r="JEE387" s="1317"/>
      <c r="JEF387" s="1317"/>
      <c r="JEG387" s="1317"/>
      <c r="JEH387" s="1317"/>
      <c r="JEI387" s="1317"/>
      <c r="JEJ387" s="1317"/>
      <c r="JEK387" s="1317"/>
      <c r="JEL387" s="1317"/>
      <c r="JEM387" s="1317"/>
      <c r="JEN387" s="1317"/>
      <c r="JEO387" s="1317"/>
      <c r="JEP387" s="1317"/>
      <c r="JEQ387" s="1317"/>
      <c r="JER387" s="1317"/>
      <c r="JES387" s="1317"/>
      <c r="JET387" s="1317"/>
      <c r="JEU387" s="1317"/>
      <c r="JEV387" s="1317"/>
      <c r="JEW387" s="1317"/>
      <c r="JEX387" s="1317"/>
      <c r="JEY387" s="1317"/>
      <c r="JEZ387" s="1317"/>
      <c r="JFA387" s="1317"/>
      <c r="JFB387" s="1317"/>
      <c r="JFC387" s="1317"/>
      <c r="JFD387" s="1317"/>
      <c r="JFE387" s="1317"/>
      <c r="JFF387" s="1317"/>
      <c r="JFG387" s="1317"/>
      <c r="JFH387" s="1317"/>
      <c r="JFI387" s="1317"/>
      <c r="JFJ387" s="1317"/>
      <c r="JFK387" s="1317"/>
      <c r="JFL387" s="1317"/>
      <c r="JFM387" s="1317"/>
      <c r="JFN387" s="1317"/>
      <c r="JFO387" s="1317"/>
      <c r="JFP387" s="1317"/>
      <c r="JFQ387" s="1317"/>
      <c r="JFR387" s="1317"/>
      <c r="JFS387" s="1317"/>
      <c r="JFT387" s="1317"/>
      <c r="JFU387" s="1317"/>
      <c r="JFV387" s="1317"/>
      <c r="JFW387" s="1317"/>
      <c r="JFX387" s="1317"/>
      <c r="JFY387" s="1317"/>
      <c r="JFZ387" s="1317"/>
      <c r="JGA387" s="1317"/>
      <c r="JGB387" s="1317"/>
      <c r="JGC387" s="1317"/>
      <c r="JGD387" s="1317"/>
      <c r="JGE387" s="1317"/>
      <c r="JGF387" s="1317"/>
      <c r="JGG387" s="1317"/>
      <c r="JGH387" s="1317"/>
      <c r="JGI387" s="1317"/>
      <c r="JGJ387" s="1317"/>
      <c r="JGK387" s="1317"/>
      <c r="JGL387" s="1317"/>
      <c r="JGM387" s="1317"/>
      <c r="JGN387" s="1317"/>
      <c r="JGO387" s="1317"/>
      <c r="JGP387" s="1317"/>
      <c r="JGQ387" s="1317"/>
      <c r="JGR387" s="1317"/>
      <c r="JGS387" s="1317"/>
      <c r="JGT387" s="1317"/>
      <c r="JGU387" s="1317"/>
      <c r="JGV387" s="1317"/>
      <c r="JGW387" s="1317"/>
      <c r="JGX387" s="1317"/>
      <c r="JGY387" s="1317"/>
      <c r="JGZ387" s="1317"/>
      <c r="JHA387" s="1317"/>
      <c r="JHB387" s="1317"/>
      <c r="JHC387" s="1317"/>
      <c r="JHD387" s="1317"/>
      <c r="JHE387" s="1317"/>
      <c r="JHF387" s="1317"/>
      <c r="JHG387" s="1317"/>
      <c r="JHH387" s="1317"/>
      <c r="JHI387" s="1317"/>
      <c r="JHJ387" s="1317"/>
      <c r="JHK387" s="1317"/>
      <c r="JHL387" s="1317"/>
      <c r="JHM387" s="1317"/>
      <c r="JHN387" s="1317"/>
      <c r="JHO387" s="1317"/>
      <c r="JHP387" s="1317"/>
      <c r="JHQ387" s="1317"/>
      <c r="JHR387" s="1317"/>
      <c r="JHS387" s="1317"/>
      <c r="JHT387" s="1317"/>
      <c r="JHU387" s="1317"/>
      <c r="JHV387" s="1317"/>
      <c r="JHW387" s="1317"/>
      <c r="JHX387" s="1317"/>
      <c r="JHY387" s="1317"/>
      <c r="JHZ387" s="1317"/>
      <c r="JIA387" s="1317"/>
      <c r="JIB387" s="1317"/>
      <c r="JIC387" s="1317"/>
      <c r="JID387" s="1317"/>
      <c r="JIE387" s="1317"/>
      <c r="JIF387" s="1317"/>
      <c r="JIG387" s="1317"/>
      <c r="JIH387" s="1317"/>
      <c r="JII387" s="1317"/>
      <c r="JIJ387" s="1317"/>
      <c r="JIK387" s="1317"/>
      <c r="JIL387" s="1317"/>
      <c r="JIM387" s="1317"/>
      <c r="JIN387" s="1317"/>
      <c r="JIO387" s="1317"/>
      <c r="JIP387" s="1317"/>
      <c r="JIQ387" s="1317"/>
      <c r="JIR387" s="1317"/>
      <c r="JIS387" s="1317"/>
      <c r="JIT387" s="1317"/>
      <c r="JIU387" s="1317"/>
      <c r="JIV387" s="1317"/>
      <c r="JIW387" s="1317"/>
      <c r="JIX387" s="1317"/>
      <c r="JIY387" s="1317"/>
      <c r="JIZ387" s="1317"/>
      <c r="JJA387" s="1317"/>
      <c r="JJB387" s="1317"/>
      <c r="JJC387" s="1317"/>
      <c r="JJD387" s="1317"/>
      <c r="JJE387" s="1317"/>
      <c r="JJF387" s="1317"/>
      <c r="JJG387" s="1317"/>
      <c r="JJH387" s="1317"/>
      <c r="JJI387" s="1317"/>
      <c r="JJJ387" s="1317"/>
      <c r="JJK387" s="1317"/>
      <c r="JJL387" s="1317"/>
      <c r="JJM387" s="1317"/>
      <c r="JJN387" s="1317"/>
      <c r="JJO387" s="1317"/>
      <c r="JJP387" s="1317"/>
      <c r="JJQ387" s="1317"/>
      <c r="JJR387" s="1317"/>
      <c r="JJS387" s="1317"/>
      <c r="JJT387" s="1317"/>
      <c r="JJU387" s="1317"/>
      <c r="JJV387" s="1317"/>
      <c r="JJW387" s="1317"/>
      <c r="JJX387" s="1317"/>
      <c r="JJY387" s="1317"/>
      <c r="JJZ387" s="1317"/>
      <c r="JKA387" s="1317"/>
      <c r="JKB387" s="1317"/>
      <c r="JKC387" s="1317"/>
      <c r="JKD387" s="1317"/>
      <c r="JKE387" s="1317"/>
      <c r="JKF387" s="1317"/>
      <c r="JKG387" s="1317"/>
      <c r="JKH387" s="1317"/>
      <c r="JKI387" s="1317"/>
      <c r="JKJ387" s="1317"/>
      <c r="JKK387" s="1317"/>
      <c r="JKL387" s="1317"/>
      <c r="JKM387" s="1317"/>
      <c r="JKN387" s="1317"/>
      <c r="JKO387" s="1317"/>
      <c r="JKP387" s="1317"/>
      <c r="JKQ387" s="1317"/>
      <c r="JKR387" s="1317"/>
      <c r="JKS387" s="1317"/>
      <c r="JKT387" s="1317"/>
      <c r="JKU387" s="1317"/>
      <c r="JKV387" s="1317"/>
      <c r="JKW387" s="1317"/>
      <c r="JKX387" s="1317"/>
      <c r="JKY387" s="1317"/>
      <c r="JKZ387" s="1317"/>
      <c r="JLA387" s="1317"/>
      <c r="JLB387" s="1317"/>
      <c r="JLC387" s="1317"/>
      <c r="JLD387" s="1317"/>
      <c r="JLE387" s="1317"/>
      <c r="JLF387" s="1317"/>
      <c r="JLG387" s="1317"/>
      <c r="JLH387" s="1317"/>
      <c r="JLI387" s="1317"/>
      <c r="JLJ387" s="1317"/>
      <c r="JLK387" s="1317"/>
      <c r="JLL387" s="1317"/>
      <c r="JLM387" s="1317"/>
      <c r="JLN387" s="1317"/>
      <c r="JLO387" s="1317"/>
      <c r="JLP387" s="1317"/>
      <c r="JLQ387" s="1317"/>
      <c r="JLR387" s="1317"/>
      <c r="JLS387" s="1317"/>
      <c r="JLT387" s="1317"/>
      <c r="JLU387" s="1317"/>
      <c r="JLV387" s="1317"/>
      <c r="JLW387" s="1317"/>
      <c r="JLX387" s="1317"/>
      <c r="JLY387" s="1317"/>
      <c r="JLZ387" s="1317"/>
      <c r="JMA387" s="1317"/>
      <c r="JMB387" s="1317"/>
      <c r="JMC387" s="1317"/>
      <c r="JMD387" s="1317"/>
      <c r="JME387" s="1317"/>
      <c r="JMF387" s="1317"/>
      <c r="JMG387" s="1317"/>
      <c r="JMH387" s="1317"/>
      <c r="JMI387" s="1317"/>
      <c r="JMJ387" s="1317"/>
      <c r="JMK387" s="1317"/>
      <c r="JML387" s="1317"/>
      <c r="JMM387" s="1317"/>
      <c r="JMN387" s="1317"/>
      <c r="JMO387" s="1317"/>
      <c r="JMP387" s="1317"/>
      <c r="JMQ387" s="1317"/>
      <c r="JMR387" s="1317"/>
      <c r="JMS387" s="1317"/>
      <c r="JMT387" s="1317"/>
      <c r="JMU387" s="1317"/>
      <c r="JMV387" s="1317"/>
      <c r="JMW387" s="1317"/>
      <c r="JMX387" s="1317"/>
      <c r="JMY387" s="1317"/>
      <c r="JMZ387" s="1317"/>
      <c r="JNA387" s="1317"/>
      <c r="JNB387" s="1317"/>
      <c r="JNC387" s="1317"/>
      <c r="JND387" s="1317"/>
      <c r="JNE387" s="1317"/>
      <c r="JNF387" s="1317"/>
      <c r="JNG387" s="1317"/>
      <c r="JNH387" s="1317"/>
      <c r="JNI387" s="1317"/>
      <c r="JNJ387" s="1317"/>
      <c r="JNK387" s="1317"/>
      <c r="JNL387" s="1317"/>
      <c r="JNM387" s="1317"/>
      <c r="JNN387" s="1317"/>
      <c r="JNO387" s="1317"/>
      <c r="JNP387" s="1317"/>
      <c r="JNQ387" s="1317"/>
      <c r="JNR387" s="1317"/>
      <c r="JNS387" s="1317"/>
      <c r="JNT387" s="1317"/>
      <c r="JNU387" s="1317"/>
      <c r="JNV387" s="1317"/>
      <c r="JNW387" s="1317"/>
      <c r="JNX387" s="1317"/>
      <c r="JNY387" s="1317"/>
      <c r="JNZ387" s="1317"/>
      <c r="JOA387" s="1317"/>
      <c r="JOB387" s="1317"/>
      <c r="JOC387" s="1317"/>
      <c r="JOD387" s="1317"/>
      <c r="JOE387" s="1317"/>
      <c r="JOF387" s="1317"/>
      <c r="JOG387" s="1317"/>
      <c r="JOH387" s="1317"/>
      <c r="JOI387" s="1317"/>
      <c r="JOJ387" s="1317"/>
      <c r="JOK387" s="1317"/>
      <c r="JOL387" s="1317"/>
      <c r="JOM387" s="1317"/>
      <c r="JON387" s="1317"/>
      <c r="JOO387" s="1317"/>
      <c r="JOP387" s="1317"/>
      <c r="JOQ387" s="1317"/>
      <c r="JOR387" s="1317"/>
      <c r="JOS387" s="1317"/>
      <c r="JOT387" s="1317"/>
      <c r="JOU387" s="1317"/>
      <c r="JOV387" s="1317"/>
      <c r="JOW387" s="1317"/>
      <c r="JOX387" s="1317"/>
      <c r="JOY387" s="1317"/>
      <c r="JOZ387" s="1317"/>
      <c r="JPA387" s="1317"/>
      <c r="JPB387" s="1317"/>
      <c r="JPC387" s="1317"/>
      <c r="JPD387" s="1317"/>
      <c r="JPE387" s="1317"/>
      <c r="JPF387" s="1317"/>
      <c r="JPG387" s="1317"/>
      <c r="JPH387" s="1317"/>
      <c r="JPI387" s="1317"/>
      <c r="JPJ387" s="1317"/>
      <c r="JPK387" s="1317"/>
      <c r="JPL387" s="1317"/>
      <c r="JPM387" s="1317"/>
      <c r="JPN387" s="1317"/>
      <c r="JPO387" s="1317"/>
      <c r="JPP387" s="1317"/>
      <c r="JPQ387" s="1317"/>
      <c r="JPR387" s="1317"/>
      <c r="JPS387" s="1317"/>
      <c r="JPT387" s="1317"/>
      <c r="JPU387" s="1317"/>
      <c r="JPV387" s="1317"/>
      <c r="JPW387" s="1317"/>
      <c r="JPX387" s="1317"/>
      <c r="JPY387" s="1317"/>
      <c r="JPZ387" s="1317"/>
      <c r="JQA387" s="1317"/>
      <c r="JQB387" s="1317"/>
      <c r="JQC387" s="1317"/>
      <c r="JQD387" s="1317"/>
      <c r="JQE387" s="1317"/>
      <c r="JQF387" s="1317"/>
      <c r="JQG387" s="1317"/>
      <c r="JQH387" s="1317"/>
      <c r="JQI387" s="1317"/>
      <c r="JQJ387" s="1317"/>
      <c r="JQK387" s="1317"/>
      <c r="JQL387" s="1317"/>
      <c r="JQM387" s="1317"/>
      <c r="JQN387" s="1317"/>
      <c r="JQO387" s="1317"/>
      <c r="JQP387" s="1317"/>
      <c r="JQQ387" s="1317"/>
      <c r="JQR387" s="1317"/>
      <c r="JQS387" s="1317"/>
      <c r="JQT387" s="1317"/>
      <c r="JQU387" s="1317"/>
      <c r="JQV387" s="1317"/>
      <c r="JQW387" s="1317"/>
      <c r="JQX387" s="1317"/>
      <c r="JQY387" s="1317"/>
      <c r="JQZ387" s="1317"/>
      <c r="JRA387" s="1317"/>
      <c r="JRB387" s="1317"/>
      <c r="JRC387" s="1317"/>
      <c r="JRD387" s="1317"/>
      <c r="JRE387" s="1317"/>
      <c r="JRF387" s="1317"/>
      <c r="JRG387" s="1317"/>
      <c r="JRH387" s="1317"/>
      <c r="JRI387" s="1317"/>
      <c r="JRJ387" s="1317"/>
      <c r="JRK387" s="1317"/>
      <c r="JRL387" s="1317"/>
      <c r="JRM387" s="1317"/>
      <c r="JRN387" s="1317"/>
      <c r="JRO387" s="1317"/>
      <c r="JRP387" s="1317"/>
      <c r="JRQ387" s="1317"/>
      <c r="JRR387" s="1317"/>
      <c r="JRS387" s="1317"/>
      <c r="JRT387" s="1317"/>
      <c r="JRU387" s="1317"/>
      <c r="JRV387" s="1317"/>
      <c r="JRW387" s="1317"/>
      <c r="JRX387" s="1317"/>
      <c r="JRY387" s="1317"/>
      <c r="JRZ387" s="1317"/>
      <c r="JSA387" s="1317"/>
      <c r="JSB387" s="1317"/>
      <c r="JSC387" s="1317"/>
      <c r="JSD387" s="1317"/>
      <c r="JSE387" s="1317"/>
      <c r="JSF387" s="1317"/>
      <c r="JSG387" s="1317"/>
      <c r="JSH387" s="1317"/>
      <c r="JSI387" s="1317"/>
      <c r="JSJ387" s="1317"/>
      <c r="JSK387" s="1317"/>
      <c r="JSL387" s="1317"/>
      <c r="JSM387" s="1317"/>
      <c r="JSN387" s="1317"/>
      <c r="JSO387" s="1317"/>
      <c r="JSP387" s="1317"/>
      <c r="JSQ387" s="1317"/>
      <c r="JSR387" s="1317"/>
      <c r="JSS387" s="1317"/>
      <c r="JST387" s="1317"/>
      <c r="JSU387" s="1317"/>
      <c r="JSV387" s="1317"/>
      <c r="JSW387" s="1317"/>
      <c r="JSX387" s="1317"/>
      <c r="JSY387" s="1317"/>
      <c r="JSZ387" s="1317"/>
      <c r="JTA387" s="1317"/>
      <c r="JTB387" s="1317"/>
      <c r="JTC387" s="1317"/>
      <c r="JTD387" s="1317"/>
      <c r="JTE387" s="1317"/>
      <c r="JTF387" s="1317"/>
      <c r="JTG387" s="1317"/>
      <c r="JTH387" s="1317"/>
      <c r="JTI387" s="1317"/>
      <c r="JTJ387" s="1317"/>
      <c r="JTK387" s="1317"/>
      <c r="JTL387" s="1317"/>
      <c r="JTM387" s="1317"/>
      <c r="JTN387" s="1317"/>
      <c r="JTO387" s="1317"/>
      <c r="JTP387" s="1317"/>
      <c r="JTQ387" s="1317"/>
      <c r="JTR387" s="1317"/>
      <c r="JTS387" s="1317"/>
      <c r="JTT387" s="1317"/>
      <c r="JTU387" s="1317"/>
      <c r="JTV387" s="1317"/>
      <c r="JTW387" s="1317"/>
      <c r="JTX387" s="1317"/>
      <c r="JTY387" s="1317"/>
      <c r="JTZ387" s="1317"/>
      <c r="JUA387" s="1317"/>
      <c r="JUB387" s="1317"/>
      <c r="JUC387" s="1317"/>
      <c r="JUD387" s="1317"/>
      <c r="JUE387" s="1317"/>
      <c r="JUF387" s="1317"/>
      <c r="JUG387" s="1317"/>
      <c r="JUH387" s="1317"/>
      <c r="JUI387" s="1317"/>
      <c r="JUJ387" s="1317"/>
      <c r="JUK387" s="1317"/>
      <c r="JUL387" s="1317"/>
      <c r="JUM387" s="1317"/>
      <c r="JUN387" s="1317"/>
      <c r="JUO387" s="1317"/>
      <c r="JUP387" s="1317"/>
      <c r="JUQ387" s="1317"/>
      <c r="JUR387" s="1317"/>
      <c r="JUS387" s="1317"/>
      <c r="JUT387" s="1317"/>
      <c r="JUU387" s="1317"/>
      <c r="JUV387" s="1317"/>
      <c r="JUW387" s="1317"/>
      <c r="JUX387" s="1317"/>
      <c r="JUY387" s="1317"/>
      <c r="JUZ387" s="1317"/>
      <c r="JVA387" s="1317"/>
      <c r="JVB387" s="1317"/>
      <c r="JVC387" s="1317"/>
      <c r="JVD387" s="1317"/>
      <c r="JVE387" s="1317"/>
      <c r="JVF387" s="1317"/>
      <c r="JVG387" s="1317"/>
      <c r="JVH387" s="1317"/>
      <c r="JVI387" s="1317"/>
      <c r="JVJ387" s="1317"/>
      <c r="JVK387" s="1317"/>
      <c r="JVL387" s="1317"/>
      <c r="JVM387" s="1317"/>
      <c r="JVN387" s="1317"/>
      <c r="JVO387" s="1317"/>
      <c r="JVP387" s="1317"/>
      <c r="JVQ387" s="1317"/>
      <c r="JVR387" s="1317"/>
      <c r="JVS387" s="1317"/>
      <c r="JVT387" s="1317"/>
      <c r="JVU387" s="1317"/>
      <c r="JVV387" s="1317"/>
      <c r="JVW387" s="1317"/>
      <c r="JVX387" s="1317"/>
      <c r="JVY387" s="1317"/>
      <c r="JVZ387" s="1317"/>
      <c r="JWA387" s="1317"/>
      <c r="JWB387" s="1317"/>
      <c r="JWC387" s="1317"/>
      <c r="JWD387" s="1317"/>
      <c r="JWE387" s="1317"/>
      <c r="JWF387" s="1317"/>
      <c r="JWG387" s="1317"/>
      <c r="JWH387" s="1317"/>
      <c r="JWI387" s="1317"/>
      <c r="JWJ387" s="1317"/>
      <c r="JWK387" s="1317"/>
      <c r="JWL387" s="1317"/>
      <c r="JWM387" s="1317"/>
      <c r="JWN387" s="1317"/>
      <c r="JWO387" s="1317"/>
      <c r="JWP387" s="1317"/>
      <c r="JWQ387" s="1317"/>
      <c r="JWR387" s="1317"/>
      <c r="JWS387" s="1317"/>
      <c r="JWT387" s="1317"/>
      <c r="JWU387" s="1317"/>
      <c r="JWV387" s="1317"/>
      <c r="JWW387" s="1317"/>
      <c r="JWX387" s="1317"/>
      <c r="JWY387" s="1317"/>
      <c r="JWZ387" s="1317"/>
      <c r="JXA387" s="1317"/>
      <c r="JXB387" s="1317"/>
      <c r="JXC387" s="1317"/>
      <c r="JXD387" s="1317"/>
      <c r="JXE387" s="1317"/>
      <c r="JXF387" s="1317"/>
      <c r="JXG387" s="1317"/>
      <c r="JXH387" s="1317"/>
      <c r="JXI387" s="1317"/>
      <c r="JXJ387" s="1317"/>
      <c r="JXK387" s="1317"/>
      <c r="JXL387" s="1317"/>
      <c r="JXM387" s="1317"/>
      <c r="JXN387" s="1317"/>
      <c r="JXO387" s="1317"/>
      <c r="JXP387" s="1317"/>
      <c r="JXQ387" s="1317"/>
      <c r="JXR387" s="1317"/>
      <c r="JXS387" s="1317"/>
      <c r="JXT387" s="1317"/>
      <c r="JXU387" s="1317"/>
      <c r="JXV387" s="1317"/>
      <c r="JXW387" s="1317"/>
      <c r="JXX387" s="1317"/>
      <c r="JXY387" s="1317"/>
      <c r="JXZ387" s="1317"/>
      <c r="JYA387" s="1317"/>
      <c r="JYB387" s="1317"/>
      <c r="JYC387" s="1317"/>
      <c r="JYD387" s="1317"/>
      <c r="JYE387" s="1317"/>
      <c r="JYF387" s="1317"/>
      <c r="JYG387" s="1317"/>
      <c r="JYH387" s="1317"/>
      <c r="JYI387" s="1317"/>
      <c r="JYJ387" s="1317"/>
      <c r="JYK387" s="1317"/>
      <c r="JYL387" s="1317"/>
      <c r="JYM387" s="1317"/>
      <c r="JYN387" s="1317"/>
      <c r="JYO387" s="1317"/>
      <c r="JYP387" s="1317"/>
      <c r="JYQ387" s="1317"/>
      <c r="JYR387" s="1317"/>
      <c r="JYS387" s="1317"/>
      <c r="JYT387" s="1317"/>
      <c r="JYU387" s="1317"/>
      <c r="JYV387" s="1317"/>
      <c r="JYW387" s="1317"/>
      <c r="JYX387" s="1317"/>
      <c r="JYY387" s="1317"/>
      <c r="JYZ387" s="1317"/>
      <c r="JZA387" s="1317"/>
      <c r="JZB387" s="1317"/>
      <c r="JZC387" s="1317"/>
      <c r="JZD387" s="1317"/>
      <c r="JZE387" s="1317"/>
      <c r="JZF387" s="1317"/>
      <c r="JZG387" s="1317"/>
      <c r="JZH387" s="1317"/>
      <c r="JZI387" s="1317"/>
      <c r="JZJ387" s="1317"/>
      <c r="JZK387" s="1317"/>
      <c r="JZL387" s="1317"/>
      <c r="JZM387" s="1317"/>
      <c r="JZN387" s="1317"/>
      <c r="JZO387" s="1317"/>
      <c r="JZP387" s="1317"/>
      <c r="JZQ387" s="1317"/>
      <c r="JZR387" s="1317"/>
      <c r="JZS387" s="1317"/>
      <c r="JZT387" s="1317"/>
      <c r="JZU387" s="1317"/>
      <c r="JZV387" s="1317"/>
      <c r="JZW387" s="1317"/>
      <c r="JZX387" s="1317"/>
      <c r="JZY387" s="1317"/>
      <c r="JZZ387" s="1317"/>
      <c r="KAA387" s="1317"/>
      <c r="KAB387" s="1317"/>
      <c r="KAC387" s="1317"/>
      <c r="KAD387" s="1317"/>
      <c r="KAE387" s="1317"/>
      <c r="KAF387" s="1317"/>
      <c r="KAG387" s="1317"/>
      <c r="KAH387" s="1317"/>
      <c r="KAI387" s="1317"/>
      <c r="KAJ387" s="1317"/>
      <c r="KAK387" s="1317"/>
      <c r="KAL387" s="1317"/>
      <c r="KAM387" s="1317"/>
      <c r="KAN387" s="1317"/>
      <c r="KAO387" s="1317"/>
      <c r="KAP387" s="1317"/>
      <c r="KAQ387" s="1317"/>
      <c r="KAR387" s="1317"/>
      <c r="KAS387" s="1317"/>
      <c r="KAT387" s="1317"/>
      <c r="KAU387" s="1317"/>
      <c r="KAV387" s="1317"/>
      <c r="KAW387" s="1317"/>
      <c r="KAX387" s="1317"/>
      <c r="KAY387" s="1317"/>
      <c r="KAZ387" s="1317"/>
      <c r="KBA387" s="1317"/>
      <c r="KBB387" s="1317"/>
      <c r="KBC387" s="1317"/>
      <c r="KBD387" s="1317"/>
      <c r="KBE387" s="1317"/>
      <c r="KBF387" s="1317"/>
      <c r="KBG387" s="1317"/>
      <c r="KBH387" s="1317"/>
      <c r="KBI387" s="1317"/>
      <c r="KBJ387" s="1317"/>
      <c r="KBK387" s="1317"/>
      <c r="KBL387" s="1317"/>
      <c r="KBM387" s="1317"/>
      <c r="KBN387" s="1317"/>
      <c r="KBO387" s="1317"/>
      <c r="KBP387" s="1317"/>
      <c r="KBQ387" s="1317"/>
      <c r="KBR387" s="1317"/>
      <c r="KBS387" s="1317"/>
      <c r="KBT387" s="1317"/>
      <c r="KBU387" s="1317"/>
      <c r="KBV387" s="1317"/>
      <c r="KBW387" s="1317"/>
      <c r="KBX387" s="1317"/>
      <c r="KBY387" s="1317"/>
      <c r="KBZ387" s="1317"/>
      <c r="KCA387" s="1317"/>
      <c r="KCB387" s="1317"/>
      <c r="KCC387" s="1317"/>
      <c r="KCD387" s="1317"/>
      <c r="KCE387" s="1317"/>
      <c r="KCF387" s="1317"/>
      <c r="KCG387" s="1317"/>
      <c r="KCH387" s="1317"/>
      <c r="KCI387" s="1317"/>
      <c r="KCJ387" s="1317"/>
      <c r="KCK387" s="1317"/>
      <c r="KCL387" s="1317"/>
      <c r="KCM387" s="1317"/>
      <c r="KCN387" s="1317"/>
      <c r="KCO387" s="1317"/>
      <c r="KCP387" s="1317"/>
      <c r="KCQ387" s="1317"/>
      <c r="KCR387" s="1317"/>
      <c r="KCS387" s="1317"/>
      <c r="KCT387" s="1317"/>
      <c r="KCU387" s="1317"/>
      <c r="KCV387" s="1317"/>
      <c r="KCW387" s="1317"/>
      <c r="KCX387" s="1317"/>
      <c r="KCY387" s="1317"/>
      <c r="KCZ387" s="1317"/>
      <c r="KDA387" s="1317"/>
      <c r="KDB387" s="1317"/>
      <c r="KDC387" s="1317"/>
      <c r="KDD387" s="1317"/>
      <c r="KDE387" s="1317"/>
      <c r="KDF387" s="1317"/>
      <c r="KDG387" s="1317"/>
      <c r="KDH387" s="1317"/>
      <c r="KDI387" s="1317"/>
      <c r="KDJ387" s="1317"/>
      <c r="KDK387" s="1317"/>
      <c r="KDL387" s="1317"/>
      <c r="KDM387" s="1317"/>
      <c r="KDN387" s="1317"/>
      <c r="KDO387" s="1317"/>
      <c r="KDP387" s="1317"/>
      <c r="KDQ387" s="1317"/>
      <c r="KDR387" s="1317"/>
      <c r="KDS387" s="1317"/>
      <c r="KDT387" s="1317"/>
      <c r="KDU387" s="1317"/>
      <c r="KDV387" s="1317"/>
      <c r="KDW387" s="1317"/>
      <c r="KDX387" s="1317"/>
      <c r="KDY387" s="1317"/>
      <c r="KDZ387" s="1317"/>
      <c r="KEA387" s="1317"/>
      <c r="KEB387" s="1317"/>
      <c r="KEC387" s="1317"/>
      <c r="KED387" s="1317"/>
      <c r="KEE387" s="1317"/>
      <c r="KEF387" s="1317"/>
      <c r="KEG387" s="1317"/>
      <c r="KEH387" s="1317"/>
      <c r="KEI387" s="1317"/>
      <c r="KEJ387" s="1317"/>
      <c r="KEK387" s="1317"/>
      <c r="KEL387" s="1317"/>
      <c r="KEM387" s="1317"/>
      <c r="KEN387" s="1317"/>
      <c r="KEO387" s="1317"/>
      <c r="KEP387" s="1317"/>
      <c r="KEQ387" s="1317"/>
      <c r="KER387" s="1317"/>
      <c r="KES387" s="1317"/>
      <c r="KET387" s="1317"/>
      <c r="KEU387" s="1317"/>
      <c r="KEV387" s="1317"/>
      <c r="KEW387" s="1317"/>
      <c r="KEX387" s="1317"/>
      <c r="KEY387" s="1317"/>
      <c r="KEZ387" s="1317"/>
      <c r="KFA387" s="1317"/>
      <c r="KFB387" s="1317"/>
      <c r="KFC387" s="1317"/>
      <c r="KFD387" s="1317"/>
      <c r="KFE387" s="1317"/>
      <c r="KFF387" s="1317"/>
      <c r="KFG387" s="1317"/>
      <c r="KFH387" s="1317"/>
      <c r="KFI387" s="1317"/>
      <c r="KFJ387" s="1317"/>
      <c r="KFK387" s="1317"/>
      <c r="KFL387" s="1317"/>
      <c r="KFM387" s="1317"/>
      <c r="KFN387" s="1317"/>
      <c r="KFO387" s="1317"/>
      <c r="KFP387" s="1317"/>
      <c r="KFQ387" s="1317"/>
      <c r="KFR387" s="1317"/>
      <c r="KFS387" s="1317"/>
      <c r="KFT387" s="1317"/>
      <c r="KFU387" s="1317"/>
      <c r="KFV387" s="1317"/>
      <c r="KFW387" s="1317"/>
      <c r="KFX387" s="1317"/>
      <c r="KFY387" s="1317"/>
      <c r="KFZ387" s="1317"/>
      <c r="KGA387" s="1317"/>
      <c r="KGB387" s="1317"/>
      <c r="KGC387" s="1317"/>
      <c r="KGD387" s="1317"/>
      <c r="KGE387" s="1317"/>
      <c r="KGF387" s="1317"/>
      <c r="KGG387" s="1317"/>
      <c r="KGH387" s="1317"/>
      <c r="KGI387" s="1317"/>
      <c r="KGJ387" s="1317"/>
      <c r="KGK387" s="1317"/>
      <c r="KGL387" s="1317"/>
      <c r="KGM387" s="1317"/>
      <c r="KGN387" s="1317"/>
      <c r="KGO387" s="1317"/>
      <c r="KGP387" s="1317"/>
      <c r="KGQ387" s="1317"/>
      <c r="KGR387" s="1317"/>
      <c r="KGS387" s="1317"/>
      <c r="KGT387" s="1317"/>
      <c r="KGU387" s="1317"/>
      <c r="KGV387" s="1317"/>
      <c r="KGW387" s="1317"/>
      <c r="KGX387" s="1317"/>
      <c r="KGY387" s="1317"/>
      <c r="KGZ387" s="1317"/>
      <c r="KHA387" s="1317"/>
      <c r="KHB387" s="1317"/>
      <c r="KHC387" s="1317"/>
      <c r="KHD387" s="1317"/>
      <c r="KHE387" s="1317"/>
      <c r="KHF387" s="1317"/>
      <c r="KHG387" s="1317"/>
      <c r="KHH387" s="1317"/>
      <c r="KHI387" s="1317"/>
      <c r="KHJ387" s="1317"/>
      <c r="KHK387" s="1317"/>
      <c r="KHL387" s="1317"/>
      <c r="KHM387" s="1317"/>
      <c r="KHN387" s="1317"/>
      <c r="KHO387" s="1317"/>
      <c r="KHP387" s="1317"/>
      <c r="KHQ387" s="1317"/>
      <c r="KHR387" s="1317"/>
      <c r="KHS387" s="1317"/>
      <c r="KHT387" s="1317"/>
      <c r="KHU387" s="1317"/>
      <c r="KHV387" s="1317"/>
      <c r="KHW387" s="1317"/>
      <c r="KHX387" s="1317"/>
      <c r="KHY387" s="1317"/>
      <c r="KHZ387" s="1317"/>
      <c r="KIA387" s="1317"/>
      <c r="KIB387" s="1317"/>
      <c r="KIC387" s="1317"/>
      <c r="KID387" s="1317"/>
      <c r="KIE387" s="1317"/>
      <c r="KIF387" s="1317"/>
      <c r="KIG387" s="1317"/>
      <c r="KIH387" s="1317"/>
      <c r="KII387" s="1317"/>
      <c r="KIJ387" s="1317"/>
      <c r="KIK387" s="1317"/>
      <c r="KIL387" s="1317"/>
      <c r="KIM387" s="1317"/>
      <c r="KIN387" s="1317"/>
      <c r="KIO387" s="1317"/>
      <c r="KIP387" s="1317"/>
      <c r="KIQ387" s="1317"/>
      <c r="KIR387" s="1317"/>
      <c r="KIS387" s="1317"/>
      <c r="KIT387" s="1317"/>
      <c r="KIU387" s="1317"/>
      <c r="KIV387" s="1317"/>
      <c r="KIW387" s="1317"/>
      <c r="KIX387" s="1317"/>
      <c r="KIY387" s="1317"/>
      <c r="KIZ387" s="1317"/>
      <c r="KJA387" s="1317"/>
      <c r="KJB387" s="1317"/>
      <c r="KJC387" s="1317"/>
      <c r="KJD387" s="1317"/>
      <c r="KJE387" s="1317"/>
      <c r="KJF387" s="1317"/>
      <c r="KJG387" s="1317"/>
      <c r="KJH387" s="1317"/>
      <c r="KJI387" s="1317"/>
      <c r="KJJ387" s="1317"/>
      <c r="KJK387" s="1317"/>
      <c r="KJL387" s="1317"/>
      <c r="KJM387" s="1317"/>
      <c r="KJN387" s="1317"/>
      <c r="KJO387" s="1317"/>
      <c r="KJP387" s="1317"/>
      <c r="KJQ387" s="1317"/>
      <c r="KJR387" s="1317"/>
      <c r="KJS387" s="1317"/>
      <c r="KJT387" s="1317"/>
      <c r="KJU387" s="1317"/>
      <c r="KJV387" s="1317"/>
      <c r="KJW387" s="1317"/>
      <c r="KJX387" s="1317"/>
      <c r="KJY387" s="1317"/>
      <c r="KJZ387" s="1317"/>
      <c r="KKA387" s="1317"/>
      <c r="KKB387" s="1317"/>
      <c r="KKC387" s="1317"/>
      <c r="KKD387" s="1317"/>
      <c r="KKE387" s="1317"/>
      <c r="KKF387" s="1317"/>
      <c r="KKG387" s="1317"/>
      <c r="KKH387" s="1317"/>
      <c r="KKI387" s="1317"/>
      <c r="KKJ387" s="1317"/>
      <c r="KKK387" s="1317"/>
      <c r="KKL387" s="1317"/>
      <c r="KKM387" s="1317"/>
      <c r="KKN387" s="1317"/>
      <c r="KKO387" s="1317"/>
      <c r="KKP387" s="1317"/>
      <c r="KKQ387" s="1317"/>
      <c r="KKR387" s="1317"/>
      <c r="KKS387" s="1317"/>
      <c r="KKT387" s="1317"/>
      <c r="KKU387" s="1317"/>
      <c r="KKV387" s="1317"/>
      <c r="KKW387" s="1317"/>
      <c r="KKX387" s="1317"/>
      <c r="KKY387" s="1317"/>
      <c r="KKZ387" s="1317"/>
      <c r="KLA387" s="1317"/>
      <c r="KLB387" s="1317"/>
      <c r="KLC387" s="1317"/>
      <c r="KLD387" s="1317"/>
      <c r="KLE387" s="1317"/>
      <c r="KLF387" s="1317"/>
      <c r="KLG387" s="1317"/>
      <c r="KLH387" s="1317"/>
      <c r="KLI387" s="1317"/>
      <c r="KLJ387" s="1317"/>
      <c r="KLK387" s="1317"/>
      <c r="KLL387" s="1317"/>
      <c r="KLM387" s="1317"/>
      <c r="KLN387" s="1317"/>
      <c r="KLO387" s="1317"/>
      <c r="KLP387" s="1317"/>
      <c r="KLQ387" s="1317"/>
      <c r="KLR387" s="1317"/>
      <c r="KLS387" s="1317"/>
      <c r="KLT387" s="1317"/>
      <c r="KLU387" s="1317"/>
      <c r="KLV387" s="1317"/>
      <c r="KLW387" s="1317"/>
      <c r="KLX387" s="1317"/>
      <c r="KLY387" s="1317"/>
      <c r="KLZ387" s="1317"/>
      <c r="KMA387" s="1317"/>
      <c r="KMB387" s="1317"/>
      <c r="KMC387" s="1317"/>
      <c r="KMD387" s="1317"/>
      <c r="KME387" s="1317"/>
      <c r="KMF387" s="1317"/>
      <c r="KMG387" s="1317"/>
      <c r="KMH387" s="1317"/>
      <c r="KMI387" s="1317"/>
      <c r="KMJ387" s="1317"/>
      <c r="KMK387" s="1317"/>
      <c r="KML387" s="1317"/>
      <c r="KMM387" s="1317"/>
      <c r="KMN387" s="1317"/>
      <c r="KMO387" s="1317"/>
      <c r="KMP387" s="1317"/>
      <c r="KMQ387" s="1317"/>
      <c r="KMR387" s="1317"/>
      <c r="KMS387" s="1317"/>
      <c r="KMT387" s="1317"/>
      <c r="KMU387" s="1317"/>
      <c r="KMV387" s="1317"/>
      <c r="KMW387" s="1317"/>
      <c r="KMX387" s="1317"/>
      <c r="KMY387" s="1317"/>
      <c r="KMZ387" s="1317"/>
      <c r="KNA387" s="1317"/>
      <c r="KNB387" s="1317"/>
      <c r="KNC387" s="1317"/>
      <c r="KND387" s="1317"/>
      <c r="KNE387" s="1317"/>
      <c r="KNF387" s="1317"/>
      <c r="KNG387" s="1317"/>
      <c r="KNH387" s="1317"/>
      <c r="KNI387" s="1317"/>
      <c r="KNJ387" s="1317"/>
      <c r="KNK387" s="1317"/>
      <c r="KNL387" s="1317"/>
      <c r="KNM387" s="1317"/>
      <c r="KNN387" s="1317"/>
      <c r="KNO387" s="1317"/>
      <c r="KNP387" s="1317"/>
      <c r="KNQ387" s="1317"/>
      <c r="KNR387" s="1317"/>
      <c r="KNS387" s="1317"/>
      <c r="KNT387" s="1317"/>
      <c r="KNU387" s="1317"/>
      <c r="KNV387" s="1317"/>
      <c r="KNW387" s="1317"/>
      <c r="KNX387" s="1317"/>
      <c r="KNY387" s="1317"/>
      <c r="KNZ387" s="1317"/>
      <c r="KOA387" s="1317"/>
      <c r="KOB387" s="1317"/>
      <c r="KOC387" s="1317"/>
      <c r="KOD387" s="1317"/>
      <c r="KOE387" s="1317"/>
      <c r="KOF387" s="1317"/>
      <c r="KOG387" s="1317"/>
      <c r="KOH387" s="1317"/>
      <c r="KOI387" s="1317"/>
      <c r="KOJ387" s="1317"/>
      <c r="KOK387" s="1317"/>
      <c r="KOL387" s="1317"/>
      <c r="KOM387" s="1317"/>
      <c r="KON387" s="1317"/>
      <c r="KOO387" s="1317"/>
      <c r="KOP387" s="1317"/>
      <c r="KOQ387" s="1317"/>
      <c r="KOR387" s="1317"/>
      <c r="KOS387" s="1317"/>
      <c r="KOT387" s="1317"/>
      <c r="KOU387" s="1317"/>
      <c r="KOV387" s="1317"/>
      <c r="KOW387" s="1317"/>
      <c r="KOX387" s="1317"/>
      <c r="KOY387" s="1317"/>
      <c r="KOZ387" s="1317"/>
      <c r="KPA387" s="1317"/>
      <c r="KPB387" s="1317"/>
      <c r="KPC387" s="1317"/>
      <c r="KPD387" s="1317"/>
      <c r="KPE387" s="1317"/>
      <c r="KPF387" s="1317"/>
      <c r="KPG387" s="1317"/>
      <c r="KPH387" s="1317"/>
      <c r="KPI387" s="1317"/>
      <c r="KPJ387" s="1317"/>
      <c r="KPK387" s="1317"/>
      <c r="KPL387" s="1317"/>
      <c r="KPM387" s="1317"/>
      <c r="KPN387" s="1317"/>
      <c r="KPO387" s="1317"/>
      <c r="KPP387" s="1317"/>
      <c r="KPQ387" s="1317"/>
      <c r="KPR387" s="1317"/>
      <c r="KPS387" s="1317"/>
      <c r="KPT387" s="1317"/>
      <c r="KPU387" s="1317"/>
      <c r="KPV387" s="1317"/>
      <c r="KPW387" s="1317"/>
      <c r="KPX387" s="1317"/>
      <c r="KPY387" s="1317"/>
      <c r="KPZ387" s="1317"/>
      <c r="KQA387" s="1317"/>
      <c r="KQB387" s="1317"/>
      <c r="KQC387" s="1317"/>
      <c r="KQD387" s="1317"/>
      <c r="KQE387" s="1317"/>
      <c r="KQF387" s="1317"/>
      <c r="KQG387" s="1317"/>
      <c r="KQH387" s="1317"/>
      <c r="KQI387" s="1317"/>
      <c r="KQJ387" s="1317"/>
      <c r="KQK387" s="1317"/>
      <c r="KQL387" s="1317"/>
      <c r="KQM387" s="1317"/>
      <c r="KQN387" s="1317"/>
      <c r="KQO387" s="1317"/>
      <c r="KQP387" s="1317"/>
      <c r="KQQ387" s="1317"/>
      <c r="KQR387" s="1317"/>
      <c r="KQS387" s="1317"/>
      <c r="KQT387" s="1317"/>
      <c r="KQU387" s="1317"/>
      <c r="KQV387" s="1317"/>
      <c r="KQW387" s="1317"/>
      <c r="KQX387" s="1317"/>
      <c r="KQY387" s="1317"/>
      <c r="KQZ387" s="1317"/>
      <c r="KRA387" s="1317"/>
      <c r="KRB387" s="1317"/>
      <c r="KRC387" s="1317"/>
      <c r="KRD387" s="1317"/>
      <c r="KRE387" s="1317"/>
      <c r="KRF387" s="1317"/>
      <c r="KRG387" s="1317"/>
      <c r="KRH387" s="1317"/>
      <c r="KRI387" s="1317"/>
      <c r="KRJ387" s="1317"/>
      <c r="KRK387" s="1317"/>
      <c r="KRL387" s="1317"/>
      <c r="KRM387" s="1317"/>
      <c r="KRN387" s="1317"/>
      <c r="KRO387" s="1317"/>
      <c r="KRP387" s="1317"/>
      <c r="KRQ387" s="1317"/>
      <c r="KRR387" s="1317"/>
      <c r="KRS387" s="1317"/>
      <c r="KRT387" s="1317"/>
      <c r="KRU387" s="1317"/>
      <c r="KRV387" s="1317"/>
      <c r="KRW387" s="1317"/>
      <c r="KRX387" s="1317"/>
      <c r="KRY387" s="1317"/>
      <c r="KRZ387" s="1317"/>
      <c r="KSA387" s="1317"/>
      <c r="KSB387" s="1317"/>
      <c r="KSC387" s="1317"/>
      <c r="KSD387" s="1317"/>
      <c r="KSE387" s="1317"/>
      <c r="KSF387" s="1317"/>
      <c r="KSG387" s="1317"/>
      <c r="KSH387" s="1317"/>
      <c r="KSI387" s="1317"/>
      <c r="KSJ387" s="1317"/>
      <c r="KSK387" s="1317"/>
      <c r="KSL387" s="1317"/>
      <c r="KSM387" s="1317"/>
      <c r="KSN387" s="1317"/>
      <c r="KSO387" s="1317"/>
      <c r="KSP387" s="1317"/>
      <c r="KSQ387" s="1317"/>
      <c r="KSR387" s="1317"/>
      <c r="KSS387" s="1317"/>
      <c r="KST387" s="1317"/>
      <c r="KSU387" s="1317"/>
      <c r="KSV387" s="1317"/>
      <c r="KSW387" s="1317"/>
      <c r="KSX387" s="1317"/>
      <c r="KSY387" s="1317"/>
      <c r="KSZ387" s="1317"/>
      <c r="KTA387" s="1317"/>
      <c r="KTB387" s="1317"/>
      <c r="KTC387" s="1317"/>
      <c r="KTD387" s="1317"/>
      <c r="KTE387" s="1317"/>
      <c r="KTF387" s="1317"/>
      <c r="KTG387" s="1317"/>
      <c r="KTH387" s="1317"/>
      <c r="KTI387" s="1317"/>
      <c r="KTJ387" s="1317"/>
      <c r="KTK387" s="1317"/>
      <c r="KTL387" s="1317"/>
      <c r="KTM387" s="1317"/>
      <c r="KTN387" s="1317"/>
      <c r="KTO387" s="1317"/>
      <c r="KTP387" s="1317"/>
      <c r="KTQ387" s="1317"/>
      <c r="KTR387" s="1317"/>
      <c r="KTS387" s="1317"/>
      <c r="KTT387" s="1317"/>
      <c r="KTU387" s="1317"/>
      <c r="KTV387" s="1317"/>
      <c r="KTW387" s="1317"/>
      <c r="KTX387" s="1317"/>
      <c r="KTY387" s="1317"/>
      <c r="KTZ387" s="1317"/>
      <c r="KUA387" s="1317"/>
      <c r="KUB387" s="1317"/>
      <c r="KUC387" s="1317"/>
      <c r="KUD387" s="1317"/>
      <c r="KUE387" s="1317"/>
      <c r="KUF387" s="1317"/>
      <c r="KUG387" s="1317"/>
      <c r="KUH387" s="1317"/>
      <c r="KUI387" s="1317"/>
      <c r="KUJ387" s="1317"/>
      <c r="KUK387" s="1317"/>
      <c r="KUL387" s="1317"/>
      <c r="KUM387" s="1317"/>
      <c r="KUN387" s="1317"/>
      <c r="KUO387" s="1317"/>
      <c r="KUP387" s="1317"/>
      <c r="KUQ387" s="1317"/>
      <c r="KUR387" s="1317"/>
      <c r="KUS387" s="1317"/>
      <c r="KUT387" s="1317"/>
      <c r="KUU387" s="1317"/>
      <c r="KUV387" s="1317"/>
      <c r="KUW387" s="1317"/>
      <c r="KUX387" s="1317"/>
      <c r="KUY387" s="1317"/>
      <c r="KUZ387" s="1317"/>
      <c r="KVA387" s="1317"/>
      <c r="KVB387" s="1317"/>
      <c r="KVC387" s="1317"/>
      <c r="KVD387" s="1317"/>
      <c r="KVE387" s="1317"/>
      <c r="KVF387" s="1317"/>
      <c r="KVG387" s="1317"/>
      <c r="KVH387" s="1317"/>
      <c r="KVI387" s="1317"/>
      <c r="KVJ387" s="1317"/>
      <c r="KVK387" s="1317"/>
      <c r="KVL387" s="1317"/>
      <c r="KVM387" s="1317"/>
      <c r="KVN387" s="1317"/>
      <c r="KVO387" s="1317"/>
      <c r="KVP387" s="1317"/>
      <c r="KVQ387" s="1317"/>
      <c r="KVR387" s="1317"/>
      <c r="KVS387" s="1317"/>
      <c r="KVT387" s="1317"/>
      <c r="KVU387" s="1317"/>
      <c r="KVV387" s="1317"/>
      <c r="KVW387" s="1317"/>
      <c r="KVX387" s="1317"/>
      <c r="KVY387" s="1317"/>
      <c r="KVZ387" s="1317"/>
      <c r="KWA387" s="1317"/>
      <c r="KWB387" s="1317"/>
      <c r="KWC387" s="1317"/>
      <c r="KWD387" s="1317"/>
      <c r="KWE387" s="1317"/>
      <c r="KWF387" s="1317"/>
      <c r="KWG387" s="1317"/>
      <c r="KWH387" s="1317"/>
      <c r="KWI387" s="1317"/>
      <c r="KWJ387" s="1317"/>
      <c r="KWK387" s="1317"/>
      <c r="KWL387" s="1317"/>
      <c r="KWM387" s="1317"/>
      <c r="KWN387" s="1317"/>
      <c r="KWO387" s="1317"/>
      <c r="KWP387" s="1317"/>
      <c r="KWQ387" s="1317"/>
      <c r="KWR387" s="1317"/>
      <c r="KWS387" s="1317"/>
      <c r="KWT387" s="1317"/>
      <c r="KWU387" s="1317"/>
      <c r="KWV387" s="1317"/>
      <c r="KWW387" s="1317"/>
      <c r="KWX387" s="1317"/>
      <c r="KWY387" s="1317"/>
      <c r="KWZ387" s="1317"/>
      <c r="KXA387" s="1317"/>
      <c r="KXB387" s="1317"/>
      <c r="KXC387" s="1317"/>
      <c r="KXD387" s="1317"/>
      <c r="KXE387" s="1317"/>
      <c r="KXF387" s="1317"/>
      <c r="KXG387" s="1317"/>
      <c r="KXH387" s="1317"/>
      <c r="KXI387" s="1317"/>
      <c r="KXJ387" s="1317"/>
      <c r="KXK387" s="1317"/>
      <c r="KXL387" s="1317"/>
      <c r="KXM387" s="1317"/>
      <c r="KXN387" s="1317"/>
      <c r="KXO387" s="1317"/>
      <c r="KXP387" s="1317"/>
      <c r="KXQ387" s="1317"/>
      <c r="KXR387" s="1317"/>
      <c r="KXS387" s="1317"/>
      <c r="KXT387" s="1317"/>
      <c r="KXU387" s="1317"/>
      <c r="KXV387" s="1317"/>
      <c r="KXW387" s="1317"/>
      <c r="KXX387" s="1317"/>
      <c r="KXY387" s="1317"/>
      <c r="KXZ387" s="1317"/>
      <c r="KYA387" s="1317"/>
      <c r="KYB387" s="1317"/>
      <c r="KYC387" s="1317"/>
      <c r="KYD387" s="1317"/>
      <c r="KYE387" s="1317"/>
      <c r="KYF387" s="1317"/>
      <c r="KYG387" s="1317"/>
      <c r="KYH387" s="1317"/>
      <c r="KYI387" s="1317"/>
      <c r="KYJ387" s="1317"/>
      <c r="KYK387" s="1317"/>
      <c r="KYL387" s="1317"/>
      <c r="KYM387" s="1317"/>
      <c r="KYN387" s="1317"/>
      <c r="KYO387" s="1317"/>
      <c r="KYP387" s="1317"/>
      <c r="KYQ387" s="1317"/>
      <c r="KYR387" s="1317"/>
      <c r="KYS387" s="1317"/>
      <c r="KYT387" s="1317"/>
      <c r="KYU387" s="1317"/>
      <c r="KYV387" s="1317"/>
      <c r="KYW387" s="1317"/>
      <c r="KYX387" s="1317"/>
      <c r="KYY387" s="1317"/>
      <c r="KYZ387" s="1317"/>
      <c r="KZA387" s="1317"/>
      <c r="KZB387" s="1317"/>
      <c r="KZC387" s="1317"/>
      <c r="KZD387" s="1317"/>
      <c r="KZE387" s="1317"/>
      <c r="KZF387" s="1317"/>
      <c r="KZG387" s="1317"/>
      <c r="KZH387" s="1317"/>
      <c r="KZI387" s="1317"/>
      <c r="KZJ387" s="1317"/>
      <c r="KZK387" s="1317"/>
      <c r="KZL387" s="1317"/>
      <c r="KZM387" s="1317"/>
      <c r="KZN387" s="1317"/>
      <c r="KZO387" s="1317"/>
      <c r="KZP387" s="1317"/>
      <c r="KZQ387" s="1317"/>
      <c r="KZR387" s="1317"/>
      <c r="KZS387" s="1317"/>
      <c r="KZT387" s="1317"/>
      <c r="KZU387" s="1317"/>
      <c r="KZV387" s="1317"/>
      <c r="KZW387" s="1317"/>
      <c r="KZX387" s="1317"/>
      <c r="KZY387" s="1317"/>
      <c r="KZZ387" s="1317"/>
      <c r="LAA387" s="1317"/>
      <c r="LAB387" s="1317"/>
      <c r="LAC387" s="1317"/>
      <c r="LAD387" s="1317"/>
      <c r="LAE387" s="1317"/>
      <c r="LAF387" s="1317"/>
      <c r="LAG387" s="1317"/>
      <c r="LAH387" s="1317"/>
      <c r="LAI387" s="1317"/>
      <c r="LAJ387" s="1317"/>
      <c r="LAK387" s="1317"/>
      <c r="LAL387" s="1317"/>
      <c r="LAM387" s="1317"/>
      <c r="LAN387" s="1317"/>
      <c r="LAO387" s="1317"/>
      <c r="LAP387" s="1317"/>
      <c r="LAQ387" s="1317"/>
      <c r="LAR387" s="1317"/>
      <c r="LAS387" s="1317"/>
      <c r="LAT387" s="1317"/>
      <c r="LAU387" s="1317"/>
      <c r="LAV387" s="1317"/>
      <c r="LAW387" s="1317"/>
      <c r="LAX387" s="1317"/>
      <c r="LAY387" s="1317"/>
      <c r="LAZ387" s="1317"/>
      <c r="LBA387" s="1317"/>
      <c r="LBB387" s="1317"/>
      <c r="LBC387" s="1317"/>
      <c r="LBD387" s="1317"/>
      <c r="LBE387" s="1317"/>
      <c r="LBF387" s="1317"/>
      <c r="LBG387" s="1317"/>
      <c r="LBH387" s="1317"/>
      <c r="LBI387" s="1317"/>
      <c r="LBJ387" s="1317"/>
      <c r="LBK387" s="1317"/>
      <c r="LBL387" s="1317"/>
      <c r="LBM387" s="1317"/>
      <c r="LBN387" s="1317"/>
      <c r="LBO387" s="1317"/>
      <c r="LBP387" s="1317"/>
      <c r="LBQ387" s="1317"/>
      <c r="LBR387" s="1317"/>
      <c r="LBS387" s="1317"/>
      <c r="LBT387" s="1317"/>
      <c r="LBU387" s="1317"/>
      <c r="LBV387" s="1317"/>
      <c r="LBW387" s="1317"/>
      <c r="LBX387" s="1317"/>
      <c r="LBY387" s="1317"/>
      <c r="LBZ387" s="1317"/>
      <c r="LCA387" s="1317"/>
      <c r="LCB387" s="1317"/>
      <c r="LCC387" s="1317"/>
      <c r="LCD387" s="1317"/>
      <c r="LCE387" s="1317"/>
      <c r="LCF387" s="1317"/>
      <c r="LCG387" s="1317"/>
      <c r="LCH387" s="1317"/>
      <c r="LCI387" s="1317"/>
      <c r="LCJ387" s="1317"/>
      <c r="LCK387" s="1317"/>
      <c r="LCL387" s="1317"/>
      <c r="LCM387" s="1317"/>
      <c r="LCN387" s="1317"/>
      <c r="LCO387" s="1317"/>
      <c r="LCP387" s="1317"/>
      <c r="LCQ387" s="1317"/>
      <c r="LCR387" s="1317"/>
      <c r="LCS387" s="1317"/>
      <c r="LCT387" s="1317"/>
      <c r="LCU387" s="1317"/>
      <c r="LCV387" s="1317"/>
      <c r="LCW387" s="1317"/>
      <c r="LCX387" s="1317"/>
      <c r="LCY387" s="1317"/>
      <c r="LCZ387" s="1317"/>
      <c r="LDA387" s="1317"/>
      <c r="LDB387" s="1317"/>
      <c r="LDC387" s="1317"/>
      <c r="LDD387" s="1317"/>
      <c r="LDE387" s="1317"/>
      <c r="LDF387" s="1317"/>
      <c r="LDG387" s="1317"/>
      <c r="LDH387" s="1317"/>
      <c r="LDI387" s="1317"/>
      <c r="LDJ387" s="1317"/>
      <c r="LDK387" s="1317"/>
      <c r="LDL387" s="1317"/>
      <c r="LDM387" s="1317"/>
      <c r="LDN387" s="1317"/>
      <c r="LDO387" s="1317"/>
      <c r="LDP387" s="1317"/>
      <c r="LDQ387" s="1317"/>
      <c r="LDR387" s="1317"/>
      <c r="LDS387" s="1317"/>
      <c r="LDT387" s="1317"/>
      <c r="LDU387" s="1317"/>
      <c r="LDV387" s="1317"/>
      <c r="LDW387" s="1317"/>
      <c r="LDX387" s="1317"/>
      <c r="LDY387" s="1317"/>
      <c r="LDZ387" s="1317"/>
      <c r="LEA387" s="1317"/>
      <c r="LEB387" s="1317"/>
      <c r="LEC387" s="1317"/>
      <c r="LED387" s="1317"/>
      <c r="LEE387" s="1317"/>
      <c r="LEF387" s="1317"/>
      <c r="LEG387" s="1317"/>
      <c r="LEH387" s="1317"/>
      <c r="LEI387" s="1317"/>
      <c r="LEJ387" s="1317"/>
      <c r="LEK387" s="1317"/>
      <c r="LEL387" s="1317"/>
      <c r="LEM387" s="1317"/>
      <c r="LEN387" s="1317"/>
      <c r="LEO387" s="1317"/>
      <c r="LEP387" s="1317"/>
      <c r="LEQ387" s="1317"/>
      <c r="LER387" s="1317"/>
      <c r="LES387" s="1317"/>
      <c r="LET387" s="1317"/>
      <c r="LEU387" s="1317"/>
      <c r="LEV387" s="1317"/>
      <c r="LEW387" s="1317"/>
      <c r="LEX387" s="1317"/>
      <c r="LEY387" s="1317"/>
      <c r="LEZ387" s="1317"/>
      <c r="LFA387" s="1317"/>
      <c r="LFB387" s="1317"/>
      <c r="LFC387" s="1317"/>
      <c r="LFD387" s="1317"/>
      <c r="LFE387" s="1317"/>
      <c r="LFF387" s="1317"/>
      <c r="LFG387" s="1317"/>
      <c r="LFH387" s="1317"/>
      <c r="LFI387" s="1317"/>
      <c r="LFJ387" s="1317"/>
      <c r="LFK387" s="1317"/>
      <c r="LFL387" s="1317"/>
      <c r="LFM387" s="1317"/>
      <c r="LFN387" s="1317"/>
      <c r="LFO387" s="1317"/>
      <c r="LFP387" s="1317"/>
      <c r="LFQ387" s="1317"/>
      <c r="LFR387" s="1317"/>
      <c r="LFS387" s="1317"/>
      <c r="LFT387" s="1317"/>
      <c r="LFU387" s="1317"/>
      <c r="LFV387" s="1317"/>
      <c r="LFW387" s="1317"/>
      <c r="LFX387" s="1317"/>
      <c r="LFY387" s="1317"/>
      <c r="LFZ387" s="1317"/>
      <c r="LGA387" s="1317"/>
      <c r="LGB387" s="1317"/>
      <c r="LGC387" s="1317"/>
      <c r="LGD387" s="1317"/>
      <c r="LGE387" s="1317"/>
      <c r="LGF387" s="1317"/>
      <c r="LGG387" s="1317"/>
      <c r="LGH387" s="1317"/>
      <c r="LGI387" s="1317"/>
      <c r="LGJ387" s="1317"/>
      <c r="LGK387" s="1317"/>
      <c r="LGL387" s="1317"/>
      <c r="LGM387" s="1317"/>
      <c r="LGN387" s="1317"/>
      <c r="LGO387" s="1317"/>
      <c r="LGP387" s="1317"/>
      <c r="LGQ387" s="1317"/>
      <c r="LGR387" s="1317"/>
      <c r="LGS387" s="1317"/>
      <c r="LGT387" s="1317"/>
      <c r="LGU387" s="1317"/>
      <c r="LGV387" s="1317"/>
      <c r="LGW387" s="1317"/>
      <c r="LGX387" s="1317"/>
      <c r="LGY387" s="1317"/>
      <c r="LGZ387" s="1317"/>
      <c r="LHA387" s="1317"/>
      <c r="LHB387" s="1317"/>
      <c r="LHC387" s="1317"/>
      <c r="LHD387" s="1317"/>
      <c r="LHE387" s="1317"/>
      <c r="LHF387" s="1317"/>
      <c r="LHG387" s="1317"/>
      <c r="LHH387" s="1317"/>
      <c r="LHI387" s="1317"/>
      <c r="LHJ387" s="1317"/>
      <c r="LHK387" s="1317"/>
      <c r="LHL387" s="1317"/>
      <c r="LHM387" s="1317"/>
      <c r="LHN387" s="1317"/>
      <c r="LHO387" s="1317"/>
      <c r="LHP387" s="1317"/>
      <c r="LHQ387" s="1317"/>
      <c r="LHR387" s="1317"/>
      <c r="LHS387" s="1317"/>
      <c r="LHT387" s="1317"/>
      <c r="LHU387" s="1317"/>
      <c r="LHV387" s="1317"/>
      <c r="LHW387" s="1317"/>
      <c r="LHX387" s="1317"/>
      <c r="LHY387" s="1317"/>
      <c r="LHZ387" s="1317"/>
      <c r="LIA387" s="1317"/>
      <c r="LIB387" s="1317"/>
      <c r="LIC387" s="1317"/>
      <c r="LID387" s="1317"/>
      <c r="LIE387" s="1317"/>
      <c r="LIF387" s="1317"/>
      <c r="LIG387" s="1317"/>
      <c r="LIH387" s="1317"/>
      <c r="LII387" s="1317"/>
      <c r="LIJ387" s="1317"/>
      <c r="LIK387" s="1317"/>
      <c r="LIL387" s="1317"/>
      <c r="LIM387" s="1317"/>
      <c r="LIN387" s="1317"/>
      <c r="LIO387" s="1317"/>
      <c r="LIP387" s="1317"/>
      <c r="LIQ387" s="1317"/>
      <c r="LIR387" s="1317"/>
      <c r="LIS387" s="1317"/>
      <c r="LIT387" s="1317"/>
      <c r="LIU387" s="1317"/>
      <c r="LIV387" s="1317"/>
      <c r="LIW387" s="1317"/>
      <c r="LIX387" s="1317"/>
      <c r="LIY387" s="1317"/>
      <c r="LIZ387" s="1317"/>
      <c r="LJA387" s="1317"/>
      <c r="LJB387" s="1317"/>
      <c r="LJC387" s="1317"/>
      <c r="LJD387" s="1317"/>
      <c r="LJE387" s="1317"/>
      <c r="LJF387" s="1317"/>
      <c r="LJG387" s="1317"/>
      <c r="LJH387" s="1317"/>
      <c r="LJI387" s="1317"/>
      <c r="LJJ387" s="1317"/>
      <c r="LJK387" s="1317"/>
      <c r="LJL387" s="1317"/>
      <c r="LJM387" s="1317"/>
      <c r="LJN387" s="1317"/>
      <c r="LJO387" s="1317"/>
      <c r="LJP387" s="1317"/>
      <c r="LJQ387" s="1317"/>
      <c r="LJR387" s="1317"/>
      <c r="LJS387" s="1317"/>
      <c r="LJT387" s="1317"/>
      <c r="LJU387" s="1317"/>
      <c r="LJV387" s="1317"/>
      <c r="LJW387" s="1317"/>
      <c r="LJX387" s="1317"/>
      <c r="LJY387" s="1317"/>
      <c r="LJZ387" s="1317"/>
      <c r="LKA387" s="1317"/>
      <c r="LKB387" s="1317"/>
      <c r="LKC387" s="1317"/>
      <c r="LKD387" s="1317"/>
      <c r="LKE387" s="1317"/>
      <c r="LKF387" s="1317"/>
      <c r="LKG387" s="1317"/>
      <c r="LKH387" s="1317"/>
      <c r="LKI387" s="1317"/>
      <c r="LKJ387" s="1317"/>
      <c r="LKK387" s="1317"/>
      <c r="LKL387" s="1317"/>
      <c r="LKM387" s="1317"/>
      <c r="LKN387" s="1317"/>
      <c r="LKO387" s="1317"/>
      <c r="LKP387" s="1317"/>
      <c r="LKQ387" s="1317"/>
      <c r="LKR387" s="1317"/>
      <c r="LKS387" s="1317"/>
      <c r="LKT387" s="1317"/>
      <c r="LKU387" s="1317"/>
      <c r="LKV387" s="1317"/>
      <c r="LKW387" s="1317"/>
      <c r="LKX387" s="1317"/>
      <c r="LKY387" s="1317"/>
      <c r="LKZ387" s="1317"/>
      <c r="LLA387" s="1317"/>
      <c r="LLB387" s="1317"/>
      <c r="LLC387" s="1317"/>
      <c r="LLD387" s="1317"/>
      <c r="LLE387" s="1317"/>
      <c r="LLF387" s="1317"/>
      <c r="LLG387" s="1317"/>
      <c r="LLH387" s="1317"/>
      <c r="LLI387" s="1317"/>
      <c r="LLJ387" s="1317"/>
      <c r="LLK387" s="1317"/>
      <c r="LLL387" s="1317"/>
      <c r="LLM387" s="1317"/>
      <c r="LLN387" s="1317"/>
      <c r="LLO387" s="1317"/>
      <c r="LLP387" s="1317"/>
      <c r="LLQ387" s="1317"/>
      <c r="LLR387" s="1317"/>
      <c r="LLS387" s="1317"/>
      <c r="LLT387" s="1317"/>
      <c r="LLU387" s="1317"/>
      <c r="LLV387" s="1317"/>
      <c r="LLW387" s="1317"/>
      <c r="LLX387" s="1317"/>
      <c r="LLY387" s="1317"/>
      <c r="LLZ387" s="1317"/>
      <c r="LMA387" s="1317"/>
      <c r="LMB387" s="1317"/>
      <c r="LMC387" s="1317"/>
      <c r="LMD387" s="1317"/>
      <c r="LME387" s="1317"/>
      <c r="LMF387" s="1317"/>
      <c r="LMG387" s="1317"/>
      <c r="LMH387" s="1317"/>
      <c r="LMI387" s="1317"/>
      <c r="LMJ387" s="1317"/>
      <c r="LMK387" s="1317"/>
      <c r="LML387" s="1317"/>
      <c r="LMM387" s="1317"/>
      <c r="LMN387" s="1317"/>
      <c r="LMO387" s="1317"/>
      <c r="LMP387" s="1317"/>
      <c r="LMQ387" s="1317"/>
      <c r="LMR387" s="1317"/>
      <c r="LMS387" s="1317"/>
      <c r="LMT387" s="1317"/>
      <c r="LMU387" s="1317"/>
      <c r="LMV387" s="1317"/>
      <c r="LMW387" s="1317"/>
      <c r="LMX387" s="1317"/>
      <c r="LMY387" s="1317"/>
      <c r="LMZ387" s="1317"/>
      <c r="LNA387" s="1317"/>
      <c r="LNB387" s="1317"/>
      <c r="LNC387" s="1317"/>
      <c r="LND387" s="1317"/>
      <c r="LNE387" s="1317"/>
      <c r="LNF387" s="1317"/>
      <c r="LNG387" s="1317"/>
      <c r="LNH387" s="1317"/>
      <c r="LNI387" s="1317"/>
      <c r="LNJ387" s="1317"/>
      <c r="LNK387" s="1317"/>
      <c r="LNL387" s="1317"/>
      <c r="LNM387" s="1317"/>
      <c r="LNN387" s="1317"/>
      <c r="LNO387" s="1317"/>
      <c r="LNP387" s="1317"/>
      <c r="LNQ387" s="1317"/>
      <c r="LNR387" s="1317"/>
      <c r="LNS387" s="1317"/>
      <c r="LNT387" s="1317"/>
      <c r="LNU387" s="1317"/>
      <c r="LNV387" s="1317"/>
      <c r="LNW387" s="1317"/>
      <c r="LNX387" s="1317"/>
      <c r="LNY387" s="1317"/>
      <c r="LNZ387" s="1317"/>
      <c r="LOA387" s="1317"/>
      <c r="LOB387" s="1317"/>
      <c r="LOC387" s="1317"/>
      <c r="LOD387" s="1317"/>
      <c r="LOE387" s="1317"/>
      <c r="LOF387" s="1317"/>
      <c r="LOG387" s="1317"/>
      <c r="LOH387" s="1317"/>
      <c r="LOI387" s="1317"/>
      <c r="LOJ387" s="1317"/>
      <c r="LOK387" s="1317"/>
      <c r="LOL387" s="1317"/>
      <c r="LOM387" s="1317"/>
      <c r="LON387" s="1317"/>
      <c r="LOO387" s="1317"/>
      <c r="LOP387" s="1317"/>
      <c r="LOQ387" s="1317"/>
      <c r="LOR387" s="1317"/>
      <c r="LOS387" s="1317"/>
      <c r="LOT387" s="1317"/>
      <c r="LOU387" s="1317"/>
      <c r="LOV387" s="1317"/>
      <c r="LOW387" s="1317"/>
      <c r="LOX387" s="1317"/>
      <c r="LOY387" s="1317"/>
      <c r="LOZ387" s="1317"/>
      <c r="LPA387" s="1317"/>
      <c r="LPB387" s="1317"/>
      <c r="LPC387" s="1317"/>
      <c r="LPD387" s="1317"/>
      <c r="LPE387" s="1317"/>
      <c r="LPF387" s="1317"/>
      <c r="LPG387" s="1317"/>
      <c r="LPH387" s="1317"/>
      <c r="LPI387" s="1317"/>
      <c r="LPJ387" s="1317"/>
      <c r="LPK387" s="1317"/>
      <c r="LPL387" s="1317"/>
      <c r="LPM387" s="1317"/>
      <c r="LPN387" s="1317"/>
      <c r="LPO387" s="1317"/>
      <c r="LPP387" s="1317"/>
      <c r="LPQ387" s="1317"/>
      <c r="LPR387" s="1317"/>
      <c r="LPS387" s="1317"/>
      <c r="LPT387" s="1317"/>
      <c r="LPU387" s="1317"/>
      <c r="LPV387" s="1317"/>
      <c r="LPW387" s="1317"/>
      <c r="LPX387" s="1317"/>
      <c r="LPY387" s="1317"/>
      <c r="LPZ387" s="1317"/>
      <c r="LQA387" s="1317"/>
      <c r="LQB387" s="1317"/>
      <c r="LQC387" s="1317"/>
      <c r="LQD387" s="1317"/>
      <c r="LQE387" s="1317"/>
      <c r="LQF387" s="1317"/>
      <c r="LQG387" s="1317"/>
      <c r="LQH387" s="1317"/>
      <c r="LQI387" s="1317"/>
      <c r="LQJ387" s="1317"/>
      <c r="LQK387" s="1317"/>
      <c r="LQL387" s="1317"/>
      <c r="LQM387" s="1317"/>
      <c r="LQN387" s="1317"/>
      <c r="LQO387" s="1317"/>
      <c r="LQP387" s="1317"/>
      <c r="LQQ387" s="1317"/>
      <c r="LQR387" s="1317"/>
      <c r="LQS387" s="1317"/>
      <c r="LQT387" s="1317"/>
      <c r="LQU387" s="1317"/>
      <c r="LQV387" s="1317"/>
      <c r="LQW387" s="1317"/>
      <c r="LQX387" s="1317"/>
      <c r="LQY387" s="1317"/>
      <c r="LQZ387" s="1317"/>
      <c r="LRA387" s="1317"/>
      <c r="LRB387" s="1317"/>
      <c r="LRC387" s="1317"/>
      <c r="LRD387" s="1317"/>
      <c r="LRE387" s="1317"/>
      <c r="LRF387" s="1317"/>
      <c r="LRG387" s="1317"/>
      <c r="LRH387" s="1317"/>
      <c r="LRI387" s="1317"/>
      <c r="LRJ387" s="1317"/>
      <c r="LRK387" s="1317"/>
      <c r="LRL387" s="1317"/>
      <c r="LRM387" s="1317"/>
      <c r="LRN387" s="1317"/>
      <c r="LRO387" s="1317"/>
      <c r="LRP387" s="1317"/>
      <c r="LRQ387" s="1317"/>
      <c r="LRR387" s="1317"/>
      <c r="LRS387" s="1317"/>
      <c r="LRT387" s="1317"/>
      <c r="LRU387" s="1317"/>
      <c r="LRV387" s="1317"/>
      <c r="LRW387" s="1317"/>
      <c r="LRX387" s="1317"/>
      <c r="LRY387" s="1317"/>
      <c r="LRZ387" s="1317"/>
      <c r="LSA387" s="1317"/>
      <c r="LSB387" s="1317"/>
      <c r="LSC387" s="1317"/>
      <c r="LSD387" s="1317"/>
      <c r="LSE387" s="1317"/>
      <c r="LSF387" s="1317"/>
      <c r="LSG387" s="1317"/>
      <c r="LSH387" s="1317"/>
      <c r="LSI387" s="1317"/>
      <c r="LSJ387" s="1317"/>
      <c r="LSK387" s="1317"/>
      <c r="LSL387" s="1317"/>
      <c r="LSM387" s="1317"/>
      <c r="LSN387" s="1317"/>
      <c r="LSO387" s="1317"/>
      <c r="LSP387" s="1317"/>
      <c r="LSQ387" s="1317"/>
      <c r="LSR387" s="1317"/>
      <c r="LSS387" s="1317"/>
      <c r="LST387" s="1317"/>
      <c r="LSU387" s="1317"/>
      <c r="LSV387" s="1317"/>
      <c r="LSW387" s="1317"/>
      <c r="LSX387" s="1317"/>
      <c r="LSY387" s="1317"/>
      <c r="LSZ387" s="1317"/>
      <c r="LTA387" s="1317"/>
      <c r="LTB387" s="1317"/>
      <c r="LTC387" s="1317"/>
      <c r="LTD387" s="1317"/>
      <c r="LTE387" s="1317"/>
      <c r="LTF387" s="1317"/>
      <c r="LTG387" s="1317"/>
      <c r="LTH387" s="1317"/>
      <c r="LTI387" s="1317"/>
      <c r="LTJ387" s="1317"/>
      <c r="LTK387" s="1317"/>
      <c r="LTL387" s="1317"/>
      <c r="LTM387" s="1317"/>
      <c r="LTN387" s="1317"/>
      <c r="LTO387" s="1317"/>
      <c r="LTP387" s="1317"/>
      <c r="LTQ387" s="1317"/>
      <c r="LTR387" s="1317"/>
      <c r="LTS387" s="1317"/>
      <c r="LTT387" s="1317"/>
      <c r="LTU387" s="1317"/>
      <c r="LTV387" s="1317"/>
      <c r="LTW387" s="1317"/>
      <c r="LTX387" s="1317"/>
      <c r="LTY387" s="1317"/>
      <c r="LTZ387" s="1317"/>
      <c r="LUA387" s="1317"/>
      <c r="LUB387" s="1317"/>
      <c r="LUC387" s="1317"/>
      <c r="LUD387" s="1317"/>
      <c r="LUE387" s="1317"/>
      <c r="LUF387" s="1317"/>
      <c r="LUG387" s="1317"/>
      <c r="LUH387" s="1317"/>
      <c r="LUI387" s="1317"/>
      <c r="LUJ387" s="1317"/>
      <c r="LUK387" s="1317"/>
      <c r="LUL387" s="1317"/>
      <c r="LUM387" s="1317"/>
      <c r="LUN387" s="1317"/>
      <c r="LUO387" s="1317"/>
      <c r="LUP387" s="1317"/>
      <c r="LUQ387" s="1317"/>
      <c r="LUR387" s="1317"/>
      <c r="LUS387" s="1317"/>
      <c r="LUT387" s="1317"/>
      <c r="LUU387" s="1317"/>
      <c r="LUV387" s="1317"/>
      <c r="LUW387" s="1317"/>
      <c r="LUX387" s="1317"/>
      <c r="LUY387" s="1317"/>
      <c r="LUZ387" s="1317"/>
      <c r="LVA387" s="1317"/>
      <c r="LVB387" s="1317"/>
      <c r="LVC387" s="1317"/>
      <c r="LVD387" s="1317"/>
      <c r="LVE387" s="1317"/>
      <c r="LVF387" s="1317"/>
      <c r="LVG387" s="1317"/>
      <c r="LVH387" s="1317"/>
      <c r="LVI387" s="1317"/>
      <c r="LVJ387" s="1317"/>
      <c r="LVK387" s="1317"/>
      <c r="LVL387" s="1317"/>
      <c r="LVM387" s="1317"/>
      <c r="LVN387" s="1317"/>
      <c r="LVO387" s="1317"/>
      <c r="LVP387" s="1317"/>
      <c r="LVQ387" s="1317"/>
      <c r="LVR387" s="1317"/>
      <c r="LVS387" s="1317"/>
      <c r="LVT387" s="1317"/>
      <c r="LVU387" s="1317"/>
      <c r="LVV387" s="1317"/>
      <c r="LVW387" s="1317"/>
      <c r="LVX387" s="1317"/>
      <c r="LVY387" s="1317"/>
      <c r="LVZ387" s="1317"/>
      <c r="LWA387" s="1317"/>
      <c r="LWB387" s="1317"/>
      <c r="LWC387" s="1317"/>
      <c r="LWD387" s="1317"/>
      <c r="LWE387" s="1317"/>
      <c r="LWF387" s="1317"/>
      <c r="LWG387" s="1317"/>
      <c r="LWH387" s="1317"/>
      <c r="LWI387" s="1317"/>
      <c r="LWJ387" s="1317"/>
      <c r="LWK387" s="1317"/>
      <c r="LWL387" s="1317"/>
      <c r="LWM387" s="1317"/>
      <c r="LWN387" s="1317"/>
      <c r="LWO387" s="1317"/>
      <c r="LWP387" s="1317"/>
      <c r="LWQ387" s="1317"/>
      <c r="LWR387" s="1317"/>
      <c r="LWS387" s="1317"/>
      <c r="LWT387" s="1317"/>
      <c r="LWU387" s="1317"/>
      <c r="LWV387" s="1317"/>
      <c r="LWW387" s="1317"/>
      <c r="LWX387" s="1317"/>
      <c r="LWY387" s="1317"/>
      <c r="LWZ387" s="1317"/>
      <c r="LXA387" s="1317"/>
      <c r="LXB387" s="1317"/>
      <c r="LXC387" s="1317"/>
      <c r="LXD387" s="1317"/>
      <c r="LXE387" s="1317"/>
      <c r="LXF387" s="1317"/>
      <c r="LXG387" s="1317"/>
      <c r="LXH387" s="1317"/>
      <c r="LXI387" s="1317"/>
      <c r="LXJ387" s="1317"/>
      <c r="LXK387" s="1317"/>
      <c r="LXL387" s="1317"/>
      <c r="LXM387" s="1317"/>
      <c r="LXN387" s="1317"/>
      <c r="LXO387" s="1317"/>
      <c r="LXP387" s="1317"/>
      <c r="LXQ387" s="1317"/>
      <c r="LXR387" s="1317"/>
      <c r="LXS387" s="1317"/>
      <c r="LXT387" s="1317"/>
      <c r="LXU387" s="1317"/>
      <c r="LXV387" s="1317"/>
      <c r="LXW387" s="1317"/>
      <c r="LXX387" s="1317"/>
      <c r="LXY387" s="1317"/>
      <c r="LXZ387" s="1317"/>
      <c r="LYA387" s="1317"/>
      <c r="LYB387" s="1317"/>
      <c r="LYC387" s="1317"/>
      <c r="LYD387" s="1317"/>
      <c r="LYE387" s="1317"/>
      <c r="LYF387" s="1317"/>
      <c r="LYG387" s="1317"/>
      <c r="LYH387" s="1317"/>
      <c r="LYI387" s="1317"/>
      <c r="LYJ387" s="1317"/>
      <c r="LYK387" s="1317"/>
      <c r="LYL387" s="1317"/>
      <c r="LYM387" s="1317"/>
      <c r="LYN387" s="1317"/>
      <c r="LYO387" s="1317"/>
      <c r="LYP387" s="1317"/>
      <c r="LYQ387" s="1317"/>
      <c r="LYR387" s="1317"/>
      <c r="LYS387" s="1317"/>
      <c r="LYT387" s="1317"/>
      <c r="LYU387" s="1317"/>
      <c r="LYV387" s="1317"/>
      <c r="LYW387" s="1317"/>
      <c r="LYX387" s="1317"/>
      <c r="LYY387" s="1317"/>
      <c r="LYZ387" s="1317"/>
      <c r="LZA387" s="1317"/>
      <c r="LZB387" s="1317"/>
      <c r="LZC387" s="1317"/>
      <c r="LZD387" s="1317"/>
      <c r="LZE387" s="1317"/>
      <c r="LZF387" s="1317"/>
      <c r="LZG387" s="1317"/>
      <c r="LZH387" s="1317"/>
      <c r="LZI387" s="1317"/>
      <c r="LZJ387" s="1317"/>
      <c r="LZK387" s="1317"/>
      <c r="LZL387" s="1317"/>
      <c r="LZM387" s="1317"/>
      <c r="LZN387" s="1317"/>
      <c r="LZO387" s="1317"/>
      <c r="LZP387" s="1317"/>
      <c r="LZQ387" s="1317"/>
      <c r="LZR387" s="1317"/>
      <c r="LZS387" s="1317"/>
      <c r="LZT387" s="1317"/>
      <c r="LZU387" s="1317"/>
      <c r="LZV387" s="1317"/>
      <c r="LZW387" s="1317"/>
      <c r="LZX387" s="1317"/>
      <c r="LZY387" s="1317"/>
      <c r="LZZ387" s="1317"/>
      <c r="MAA387" s="1317"/>
      <c r="MAB387" s="1317"/>
      <c r="MAC387" s="1317"/>
      <c r="MAD387" s="1317"/>
      <c r="MAE387" s="1317"/>
      <c r="MAF387" s="1317"/>
      <c r="MAG387" s="1317"/>
      <c r="MAH387" s="1317"/>
      <c r="MAI387" s="1317"/>
      <c r="MAJ387" s="1317"/>
      <c r="MAK387" s="1317"/>
      <c r="MAL387" s="1317"/>
      <c r="MAM387" s="1317"/>
      <c r="MAN387" s="1317"/>
      <c r="MAO387" s="1317"/>
      <c r="MAP387" s="1317"/>
      <c r="MAQ387" s="1317"/>
      <c r="MAR387" s="1317"/>
      <c r="MAS387" s="1317"/>
      <c r="MAT387" s="1317"/>
      <c r="MAU387" s="1317"/>
      <c r="MAV387" s="1317"/>
      <c r="MAW387" s="1317"/>
      <c r="MAX387" s="1317"/>
      <c r="MAY387" s="1317"/>
      <c r="MAZ387" s="1317"/>
      <c r="MBA387" s="1317"/>
      <c r="MBB387" s="1317"/>
      <c r="MBC387" s="1317"/>
      <c r="MBD387" s="1317"/>
      <c r="MBE387" s="1317"/>
      <c r="MBF387" s="1317"/>
      <c r="MBG387" s="1317"/>
      <c r="MBH387" s="1317"/>
      <c r="MBI387" s="1317"/>
      <c r="MBJ387" s="1317"/>
      <c r="MBK387" s="1317"/>
      <c r="MBL387" s="1317"/>
      <c r="MBM387" s="1317"/>
      <c r="MBN387" s="1317"/>
      <c r="MBO387" s="1317"/>
      <c r="MBP387" s="1317"/>
      <c r="MBQ387" s="1317"/>
      <c r="MBR387" s="1317"/>
      <c r="MBS387" s="1317"/>
      <c r="MBT387" s="1317"/>
      <c r="MBU387" s="1317"/>
      <c r="MBV387" s="1317"/>
      <c r="MBW387" s="1317"/>
      <c r="MBX387" s="1317"/>
      <c r="MBY387" s="1317"/>
      <c r="MBZ387" s="1317"/>
      <c r="MCA387" s="1317"/>
      <c r="MCB387" s="1317"/>
      <c r="MCC387" s="1317"/>
      <c r="MCD387" s="1317"/>
      <c r="MCE387" s="1317"/>
      <c r="MCF387" s="1317"/>
      <c r="MCG387" s="1317"/>
      <c r="MCH387" s="1317"/>
      <c r="MCI387" s="1317"/>
      <c r="MCJ387" s="1317"/>
      <c r="MCK387" s="1317"/>
      <c r="MCL387" s="1317"/>
      <c r="MCM387" s="1317"/>
      <c r="MCN387" s="1317"/>
      <c r="MCO387" s="1317"/>
      <c r="MCP387" s="1317"/>
      <c r="MCQ387" s="1317"/>
      <c r="MCR387" s="1317"/>
      <c r="MCS387" s="1317"/>
      <c r="MCT387" s="1317"/>
      <c r="MCU387" s="1317"/>
      <c r="MCV387" s="1317"/>
      <c r="MCW387" s="1317"/>
      <c r="MCX387" s="1317"/>
      <c r="MCY387" s="1317"/>
      <c r="MCZ387" s="1317"/>
      <c r="MDA387" s="1317"/>
      <c r="MDB387" s="1317"/>
      <c r="MDC387" s="1317"/>
      <c r="MDD387" s="1317"/>
      <c r="MDE387" s="1317"/>
      <c r="MDF387" s="1317"/>
      <c r="MDG387" s="1317"/>
      <c r="MDH387" s="1317"/>
      <c r="MDI387" s="1317"/>
      <c r="MDJ387" s="1317"/>
      <c r="MDK387" s="1317"/>
      <c r="MDL387" s="1317"/>
      <c r="MDM387" s="1317"/>
      <c r="MDN387" s="1317"/>
      <c r="MDO387" s="1317"/>
      <c r="MDP387" s="1317"/>
      <c r="MDQ387" s="1317"/>
      <c r="MDR387" s="1317"/>
      <c r="MDS387" s="1317"/>
      <c r="MDT387" s="1317"/>
      <c r="MDU387" s="1317"/>
      <c r="MDV387" s="1317"/>
      <c r="MDW387" s="1317"/>
      <c r="MDX387" s="1317"/>
      <c r="MDY387" s="1317"/>
      <c r="MDZ387" s="1317"/>
      <c r="MEA387" s="1317"/>
      <c r="MEB387" s="1317"/>
      <c r="MEC387" s="1317"/>
      <c r="MED387" s="1317"/>
      <c r="MEE387" s="1317"/>
      <c r="MEF387" s="1317"/>
      <c r="MEG387" s="1317"/>
      <c r="MEH387" s="1317"/>
      <c r="MEI387" s="1317"/>
      <c r="MEJ387" s="1317"/>
      <c r="MEK387" s="1317"/>
      <c r="MEL387" s="1317"/>
      <c r="MEM387" s="1317"/>
      <c r="MEN387" s="1317"/>
      <c r="MEO387" s="1317"/>
      <c r="MEP387" s="1317"/>
      <c r="MEQ387" s="1317"/>
      <c r="MER387" s="1317"/>
      <c r="MES387" s="1317"/>
      <c r="MET387" s="1317"/>
      <c r="MEU387" s="1317"/>
      <c r="MEV387" s="1317"/>
      <c r="MEW387" s="1317"/>
      <c r="MEX387" s="1317"/>
      <c r="MEY387" s="1317"/>
      <c r="MEZ387" s="1317"/>
      <c r="MFA387" s="1317"/>
      <c r="MFB387" s="1317"/>
      <c r="MFC387" s="1317"/>
      <c r="MFD387" s="1317"/>
      <c r="MFE387" s="1317"/>
      <c r="MFF387" s="1317"/>
      <c r="MFG387" s="1317"/>
      <c r="MFH387" s="1317"/>
      <c r="MFI387" s="1317"/>
      <c r="MFJ387" s="1317"/>
      <c r="MFK387" s="1317"/>
      <c r="MFL387" s="1317"/>
      <c r="MFM387" s="1317"/>
      <c r="MFN387" s="1317"/>
      <c r="MFO387" s="1317"/>
      <c r="MFP387" s="1317"/>
      <c r="MFQ387" s="1317"/>
      <c r="MFR387" s="1317"/>
      <c r="MFS387" s="1317"/>
      <c r="MFT387" s="1317"/>
      <c r="MFU387" s="1317"/>
      <c r="MFV387" s="1317"/>
      <c r="MFW387" s="1317"/>
      <c r="MFX387" s="1317"/>
      <c r="MFY387" s="1317"/>
      <c r="MFZ387" s="1317"/>
      <c r="MGA387" s="1317"/>
      <c r="MGB387" s="1317"/>
      <c r="MGC387" s="1317"/>
      <c r="MGD387" s="1317"/>
      <c r="MGE387" s="1317"/>
      <c r="MGF387" s="1317"/>
      <c r="MGG387" s="1317"/>
      <c r="MGH387" s="1317"/>
      <c r="MGI387" s="1317"/>
      <c r="MGJ387" s="1317"/>
      <c r="MGK387" s="1317"/>
      <c r="MGL387" s="1317"/>
      <c r="MGM387" s="1317"/>
      <c r="MGN387" s="1317"/>
      <c r="MGO387" s="1317"/>
      <c r="MGP387" s="1317"/>
      <c r="MGQ387" s="1317"/>
      <c r="MGR387" s="1317"/>
      <c r="MGS387" s="1317"/>
      <c r="MGT387" s="1317"/>
      <c r="MGU387" s="1317"/>
      <c r="MGV387" s="1317"/>
      <c r="MGW387" s="1317"/>
      <c r="MGX387" s="1317"/>
      <c r="MGY387" s="1317"/>
      <c r="MGZ387" s="1317"/>
      <c r="MHA387" s="1317"/>
      <c r="MHB387" s="1317"/>
      <c r="MHC387" s="1317"/>
      <c r="MHD387" s="1317"/>
      <c r="MHE387" s="1317"/>
      <c r="MHF387" s="1317"/>
      <c r="MHG387" s="1317"/>
      <c r="MHH387" s="1317"/>
      <c r="MHI387" s="1317"/>
      <c r="MHJ387" s="1317"/>
      <c r="MHK387" s="1317"/>
      <c r="MHL387" s="1317"/>
      <c r="MHM387" s="1317"/>
      <c r="MHN387" s="1317"/>
      <c r="MHO387" s="1317"/>
      <c r="MHP387" s="1317"/>
      <c r="MHQ387" s="1317"/>
      <c r="MHR387" s="1317"/>
      <c r="MHS387" s="1317"/>
      <c r="MHT387" s="1317"/>
      <c r="MHU387" s="1317"/>
      <c r="MHV387" s="1317"/>
      <c r="MHW387" s="1317"/>
      <c r="MHX387" s="1317"/>
      <c r="MHY387" s="1317"/>
      <c r="MHZ387" s="1317"/>
      <c r="MIA387" s="1317"/>
      <c r="MIB387" s="1317"/>
      <c r="MIC387" s="1317"/>
      <c r="MID387" s="1317"/>
      <c r="MIE387" s="1317"/>
      <c r="MIF387" s="1317"/>
      <c r="MIG387" s="1317"/>
      <c r="MIH387" s="1317"/>
      <c r="MII387" s="1317"/>
      <c r="MIJ387" s="1317"/>
      <c r="MIK387" s="1317"/>
      <c r="MIL387" s="1317"/>
      <c r="MIM387" s="1317"/>
      <c r="MIN387" s="1317"/>
      <c r="MIO387" s="1317"/>
      <c r="MIP387" s="1317"/>
      <c r="MIQ387" s="1317"/>
      <c r="MIR387" s="1317"/>
      <c r="MIS387" s="1317"/>
      <c r="MIT387" s="1317"/>
      <c r="MIU387" s="1317"/>
      <c r="MIV387" s="1317"/>
      <c r="MIW387" s="1317"/>
      <c r="MIX387" s="1317"/>
      <c r="MIY387" s="1317"/>
      <c r="MIZ387" s="1317"/>
      <c r="MJA387" s="1317"/>
      <c r="MJB387" s="1317"/>
      <c r="MJC387" s="1317"/>
      <c r="MJD387" s="1317"/>
      <c r="MJE387" s="1317"/>
      <c r="MJF387" s="1317"/>
      <c r="MJG387" s="1317"/>
      <c r="MJH387" s="1317"/>
      <c r="MJI387" s="1317"/>
      <c r="MJJ387" s="1317"/>
      <c r="MJK387" s="1317"/>
      <c r="MJL387" s="1317"/>
      <c r="MJM387" s="1317"/>
      <c r="MJN387" s="1317"/>
      <c r="MJO387" s="1317"/>
      <c r="MJP387" s="1317"/>
      <c r="MJQ387" s="1317"/>
      <c r="MJR387" s="1317"/>
      <c r="MJS387" s="1317"/>
      <c r="MJT387" s="1317"/>
      <c r="MJU387" s="1317"/>
      <c r="MJV387" s="1317"/>
      <c r="MJW387" s="1317"/>
      <c r="MJX387" s="1317"/>
      <c r="MJY387" s="1317"/>
      <c r="MJZ387" s="1317"/>
      <c r="MKA387" s="1317"/>
      <c r="MKB387" s="1317"/>
      <c r="MKC387" s="1317"/>
      <c r="MKD387" s="1317"/>
      <c r="MKE387" s="1317"/>
      <c r="MKF387" s="1317"/>
      <c r="MKG387" s="1317"/>
      <c r="MKH387" s="1317"/>
      <c r="MKI387" s="1317"/>
      <c r="MKJ387" s="1317"/>
      <c r="MKK387" s="1317"/>
      <c r="MKL387" s="1317"/>
      <c r="MKM387" s="1317"/>
      <c r="MKN387" s="1317"/>
      <c r="MKO387" s="1317"/>
      <c r="MKP387" s="1317"/>
      <c r="MKQ387" s="1317"/>
      <c r="MKR387" s="1317"/>
      <c r="MKS387" s="1317"/>
      <c r="MKT387" s="1317"/>
      <c r="MKU387" s="1317"/>
      <c r="MKV387" s="1317"/>
      <c r="MKW387" s="1317"/>
      <c r="MKX387" s="1317"/>
      <c r="MKY387" s="1317"/>
      <c r="MKZ387" s="1317"/>
      <c r="MLA387" s="1317"/>
      <c r="MLB387" s="1317"/>
      <c r="MLC387" s="1317"/>
      <c r="MLD387" s="1317"/>
      <c r="MLE387" s="1317"/>
      <c r="MLF387" s="1317"/>
      <c r="MLG387" s="1317"/>
      <c r="MLH387" s="1317"/>
      <c r="MLI387" s="1317"/>
      <c r="MLJ387" s="1317"/>
      <c r="MLK387" s="1317"/>
      <c r="MLL387" s="1317"/>
      <c r="MLM387" s="1317"/>
      <c r="MLN387" s="1317"/>
      <c r="MLO387" s="1317"/>
      <c r="MLP387" s="1317"/>
      <c r="MLQ387" s="1317"/>
      <c r="MLR387" s="1317"/>
      <c r="MLS387" s="1317"/>
      <c r="MLT387" s="1317"/>
      <c r="MLU387" s="1317"/>
      <c r="MLV387" s="1317"/>
      <c r="MLW387" s="1317"/>
      <c r="MLX387" s="1317"/>
      <c r="MLY387" s="1317"/>
      <c r="MLZ387" s="1317"/>
      <c r="MMA387" s="1317"/>
      <c r="MMB387" s="1317"/>
      <c r="MMC387" s="1317"/>
      <c r="MMD387" s="1317"/>
      <c r="MME387" s="1317"/>
      <c r="MMF387" s="1317"/>
      <c r="MMG387" s="1317"/>
      <c r="MMH387" s="1317"/>
      <c r="MMI387" s="1317"/>
      <c r="MMJ387" s="1317"/>
      <c r="MMK387" s="1317"/>
      <c r="MML387" s="1317"/>
      <c r="MMM387" s="1317"/>
      <c r="MMN387" s="1317"/>
      <c r="MMO387" s="1317"/>
      <c r="MMP387" s="1317"/>
      <c r="MMQ387" s="1317"/>
      <c r="MMR387" s="1317"/>
      <c r="MMS387" s="1317"/>
      <c r="MMT387" s="1317"/>
      <c r="MMU387" s="1317"/>
      <c r="MMV387" s="1317"/>
      <c r="MMW387" s="1317"/>
      <c r="MMX387" s="1317"/>
      <c r="MMY387" s="1317"/>
      <c r="MMZ387" s="1317"/>
      <c r="MNA387" s="1317"/>
      <c r="MNB387" s="1317"/>
      <c r="MNC387" s="1317"/>
      <c r="MND387" s="1317"/>
      <c r="MNE387" s="1317"/>
      <c r="MNF387" s="1317"/>
      <c r="MNG387" s="1317"/>
      <c r="MNH387" s="1317"/>
      <c r="MNI387" s="1317"/>
      <c r="MNJ387" s="1317"/>
      <c r="MNK387" s="1317"/>
      <c r="MNL387" s="1317"/>
      <c r="MNM387" s="1317"/>
      <c r="MNN387" s="1317"/>
      <c r="MNO387" s="1317"/>
      <c r="MNP387" s="1317"/>
      <c r="MNQ387" s="1317"/>
      <c r="MNR387" s="1317"/>
      <c r="MNS387" s="1317"/>
      <c r="MNT387" s="1317"/>
      <c r="MNU387" s="1317"/>
      <c r="MNV387" s="1317"/>
      <c r="MNW387" s="1317"/>
      <c r="MNX387" s="1317"/>
      <c r="MNY387" s="1317"/>
      <c r="MNZ387" s="1317"/>
      <c r="MOA387" s="1317"/>
      <c r="MOB387" s="1317"/>
      <c r="MOC387" s="1317"/>
      <c r="MOD387" s="1317"/>
      <c r="MOE387" s="1317"/>
      <c r="MOF387" s="1317"/>
      <c r="MOG387" s="1317"/>
      <c r="MOH387" s="1317"/>
      <c r="MOI387" s="1317"/>
      <c r="MOJ387" s="1317"/>
      <c r="MOK387" s="1317"/>
      <c r="MOL387" s="1317"/>
      <c r="MOM387" s="1317"/>
      <c r="MON387" s="1317"/>
      <c r="MOO387" s="1317"/>
      <c r="MOP387" s="1317"/>
      <c r="MOQ387" s="1317"/>
      <c r="MOR387" s="1317"/>
      <c r="MOS387" s="1317"/>
      <c r="MOT387" s="1317"/>
      <c r="MOU387" s="1317"/>
      <c r="MOV387" s="1317"/>
      <c r="MOW387" s="1317"/>
      <c r="MOX387" s="1317"/>
      <c r="MOY387" s="1317"/>
      <c r="MOZ387" s="1317"/>
      <c r="MPA387" s="1317"/>
      <c r="MPB387" s="1317"/>
      <c r="MPC387" s="1317"/>
      <c r="MPD387" s="1317"/>
      <c r="MPE387" s="1317"/>
      <c r="MPF387" s="1317"/>
      <c r="MPG387" s="1317"/>
      <c r="MPH387" s="1317"/>
      <c r="MPI387" s="1317"/>
      <c r="MPJ387" s="1317"/>
      <c r="MPK387" s="1317"/>
      <c r="MPL387" s="1317"/>
      <c r="MPM387" s="1317"/>
      <c r="MPN387" s="1317"/>
      <c r="MPO387" s="1317"/>
      <c r="MPP387" s="1317"/>
      <c r="MPQ387" s="1317"/>
      <c r="MPR387" s="1317"/>
      <c r="MPS387" s="1317"/>
      <c r="MPT387" s="1317"/>
      <c r="MPU387" s="1317"/>
      <c r="MPV387" s="1317"/>
      <c r="MPW387" s="1317"/>
      <c r="MPX387" s="1317"/>
      <c r="MPY387" s="1317"/>
      <c r="MPZ387" s="1317"/>
      <c r="MQA387" s="1317"/>
      <c r="MQB387" s="1317"/>
      <c r="MQC387" s="1317"/>
      <c r="MQD387" s="1317"/>
      <c r="MQE387" s="1317"/>
      <c r="MQF387" s="1317"/>
      <c r="MQG387" s="1317"/>
      <c r="MQH387" s="1317"/>
      <c r="MQI387" s="1317"/>
      <c r="MQJ387" s="1317"/>
      <c r="MQK387" s="1317"/>
      <c r="MQL387" s="1317"/>
      <c r="MQM387" s="1317"/>
      <c r="MQN387" s="1317"/>
      <c r="MQO387" s="1317"/>
      <c r="MQP387" s="1317"/>
      <c r="MQQ387" s="1317"/>
      <c r="MQR387" s="1317"/>
      <c r="MQS387" s="1317"/>
      <c r="MQT387" s="1317"/>
      <c r="MQU387" s="1317"/>
      <c r="MQV387" s="1317"/>
      <c r="MQW387" s="1317"/>
      <c r="MQX387" s="1317"/>
      <c r="MQY387" s="1317"/>
      <c r="MQZ387" s="1317"/>
      <c r="MRA387" s="1317"/>
      <c r="MRB387" s="1317"/>
      <c r="MRC387" s="1317"/>
      <c r="MRD387" s="1317"/>
      <c r="MRE387" s="1317"/>
      <c r="MRF387" s="1317"/>
      <c r="MRG387" s="1317"/>
      <c r="MRH387" s="1317"/>
      <c r="MRI387" s="1317"/>
      <c r="MRJ387" s="1317"/>
      <c r="MRK387" s="1317"/>
      <c r="MRL387" s="1317"/>
      <c r="MRM387" s="1317"/>
      <c r="MRN387" s="1317"/>
      <c r="MRO387" s="1317"/>
      <c r="MRP387" s="1317"/>
      <c r="MRQ387" s="1317"/>
      <c r="MRR387" s="1317"/>
      <c r="MRS387" s="1317"/>
      <c r="MRT387" s="1317"/>
      <c r="MRU387" s="1317"/>
      <c r="MRV387" s="1317"/>
      <c r="MRW387" s="1317"/>
      <c r="MRX387" s="1317"/>
      <c r="MRY387" s="1317"/>
      <c r="MRZ387" s="1317"/>
      <c r="MSA387" s="1317"/>
      <c r="MSB387" s="1317"/>
      <c r="MSC387" s="1317"/>
      <c r="MSD387" s="1317"/>
      <c r="MSE387" s="1317"/>
      <c r="MSF387" s="1317"/>
      <c r="MSG387" s="1317"/>
      <c r="MSH387" s="1317"/>
      <c r="MSI387" s="1317"/>
      <c r="MSJ387" s="1317"/>
      <c r="MSK387" s="1317"/>
      <c r="MSL387" s="1317"/>
      <c r="MSM387" s="1317"/>
      <c r="MSN387" s="1317"/>
      <c r="MSO387" s="1317"/>
      <c r="MSP387" s="1317"/>
      <c r="MSQ387" s="1317"/>
      <c r="MSR387" s="1317"/>
      <c r="MSS387" s="1317"/>
      <c r="MST387" s="1317"/>
      <c r="MSU387" s="1317"/>
      <c r="MSV387" s="1317"/>
      <c r="MSW387" s="1317"/>
      <c r="MSX387" s="1317"/>
      <c r="MSY387" s="1317"/>
      <c r="MSZ387" s="1317"/>
      <c r="MTA387" s="1317"/>
      <c r="MTB387" s="1317"/>
      <c r="MTC387" s="1317"/>
      <c r="MTD387" s="1317"/>
      <c r="MTE387" s="1317"/>
      <c r="MTF387" s="1317"/>
      <c r="MTG387" s="1317"/>
      <c r="MTH387" s="1317"/>
      <c r="MTI387" s="1317"/>
      <c r="MTJ387" s="1317"/>
      <c r="MTK387" s="1317"/>
      <c r="MTL387" s="1317"/>
      <c r="MTM387" s="1317"/>
      <c r="MTN387" s="1317"/>
      <c r="MTO387" s="1317"/>
      <c r="MTP387" s="1317"/>
      <c r="MTQ387" s="1317"/>
      <c r="MTR387" s="1317"/>
      <c r="MTS387" s="1317"/>
      <c r="MTT387" s="1317"/>
      <c r="MTU387" s="1317"/>
      <c r="MTV387" s="1317"/>
      <c r="MTW387" s="1317"/>
      <c r="MTX387" s="1317"/>
      <c r="MTY387" s="1317"/>
      <c r="MTZ387" s="1317"/>
      <c r="MUA387" s="1317"/>
      <c r="MUB387" s="1317"/>
      <c r="MUC387" s="1317"/>
      <c r="MUD387" s="1317"/>
      <c r="MUE387" s="1317"/>
      <c r="MUF387" s="1317"/>
      <c r="MUG387" s="1317"/>
      <c r="MUH387" s="1317"/>
      <c r="MUI387" s="1317"/>
      <c r="MUJ387" s="1317"/>
      <c r="MUK387" s="1317"/>
      <c r="MUL387" s="1317"/>
      <c r="MUM387" s="1317"/>
      <c r="MUN387" s="1317"/>
      <c r="MUO387" s="1317"/>
      <c r="MUP387" s="1317"/>
      <c r="MUQ387" s="1317"/>
      <c r="MUR387" s="1317"/>
      <c r="MUS387" s="1317"/>
      <c r="MUT387" s="1317"/>
      <c r="MUU387" s="1317"/>
      <c r="MUV387" s="1317"/>
      <c r="MUW387" s="1317"/>
      <c r="MUX387" s="1317"/>
      <c r="MUY387" s="1317"/>
      <c r="MUZ387" s="1317"/>
      <c r="MVA387" s="1317"/>
      <c r="MVB387" s="1317"/>
      <c r="MVC387" s="1317"/>
      <c r="MVD387" s="1317"/>
      <c r="MVE387" s="1317"/>
      <c r="MVF387" s="1317"/>
      <c r="MVG387" s="1317"/>
      <c r="MVH387" s="1317"/>
      <c r="MVI387" s="1317"/>
      <c r="MVJ387" s="1317"/>
      <c r="MVK387" s="1317"/>
      <c r="MVL387" s="1317"/>
      <c r="MVM387" s="1317"/>
      <c r="MVN387" s="1317"/>
      <c r="MVO387" s="1317"/>
      <c r="MVP387" s="1317"/>
      <c r="MVQ387" s="1317"/>
      <c r="MVR387" s="1317"/>
      <c r="MVS387" s="1317"/>
      <c r="MVT387" s="1317"/>
      <c r="MVU387" s="1317"/>
      <c r="MVV387" s="1317"/>
      <c r="MVW387" s="1317"/>
      <c r="MVX387" s="1317"/>
      <c r="MVY387" s="1317"/>
      <c r="MVZ387" s="1317"/>
      <c r="MWA387" s="1317"/>
      <c r="MWB387" s="1317"/>
      <c r="MWC387" s="1317"/>
      <c r="MWD387" s="1317"/>
      <c r="MWE387" s="1317"/>
      <c r="MWF387" s="1317"/>
      <c r="MWG387" s="1317"/>
      <c r="MWH387" s="1317"/>
      <c r="MWI387" s="1317"/>
      <c r="MWJ387" s="1317"/>
      <c r="MWK387" s="1317"/>
      <c r="MWL387" s="1317"/>
      <c r="MWM387" s="1317"/>
      <c r="MWN387" s="1317"/>
      <c r="MWO387" s="1317"/>
      <c r="MWP387" s="1317"/>
      <c r="MWQ387" s="1317"/>
      <c r="MWR387" s="1317"/>
      <c r="MWS387" s="1317"/>
      <c r="MWT387" s="1317"/>
      <c r="MWU387" s="1317"/>
      <c r="MWV387" s="1317"/>
      <c r="MWW387" s="1317"/>
      <c r="MWX387" s="1317"/>
      <c r="MWY387" s="1317"/>
      <c r="MWZ387" s="1317"/>
      <c r="MXA387" s="1317"/>
      <c r="MXB387" s="1317"/>
      <c r="MXC387" s="1317"/>
      <c r="MXD387" s="1317"/>
      <c r="MXE387" s="1317"/>
      <c r="MXF387" s="1317"/>
      <c r="MXG387" s="1317"/>
      <c r="MXH387" s="1317"/>
      <c r="MXI387" s="1317"/>
      <c r="MXJ387" s="1317"/>
      <c r="MXK387" s="1317"/>
      <c r="MXL387" s="1317"/>
      <c r="MXM387" s="1317"/>
      <c r="MXN387" s="1317"/>
      <c r="MXO387" s="1317"/>
      <c r="MXP387" s="1317"/>
      <c r="MXQ387" s="1317"/>
      <c r="MXR387" s="1317"/>
      <c r="MXS387" s="1317"/>
      <c r="MXT387" s="1317"/>
      <c r="MXU387" s="1317"/>
      <c r="MXV387" s="1317"/>
      <c r="MXW387" s="1317"/>
      <c r="MXX387" s="1317"/>
      <c r="MXY387" s="1317"/>
      <c r="MXZ387" s="1317"/>
      <c r="MYA387" s="1317"/>
      <c r="MYB387" s="1317"/>
      <c r="MYC387" s="1317"/>
      <c r="MYD387" s="1317"/>
      <c r="MYE387" s="1317"/>
      <c r="MYF387" s="1317"/>
      <c r="MYG387" s="1317"/>
      <c r="MYH387" s="1317"/>
      <c r="MYI387" s="1317"/>
      <c r="MYJ387" s="1317"/>
      <c r="MYK387" s="1317"/>
      <c r="MYL387" s="1317"/>
      <c r="MYM387" s="1317"/>
      <c r="MYN387" s="1317"/>
      <c r="MYO387" s="1317"/>
      <c r="MYP387" s="1317"/>
      <c r="MYQ387" s="1317"/>
      <c r="MYR387" s="1317"/>
      <c r="MYS387" s="1317"/>
      <c r="MYT387" s="1317"/>
      <c r="MYU387" s="1317"/>
      <c r="MYV387" s="1317"/>
      <c r="MYW387" s="1317"/>
      <c r="MYX387" s="1317"/>
      <c r="MYY387" s="1317"/>
      <c r="MYZ387" s="1317"/>
      <c r="MZA387" s="1317"/>
      <c r="MZB387" s="1317"/>
      <c r="MZC387" s="1317"/>
      <c r="MZD387" s="1317"/>
      <c r="MZE387" s="1317"/>
      <c r="MZF387" s="1317"/>
      <c r="MZG387" s="1317"/>
      <c r="MZH387" s="1317"/>
      <c r="MZI387" s="1317"/>
      <c r="MZJ387" s="1317"/>
      <c r="MZK387" s="1317"/>
      <c r="MZL387" s="1317"/>
      <c r="MZM387" s="1317"/>
      <c r="MZN387" s="1317"/>
      <c r="MZO387" s="1317"/>
      <c r="MZP387" s="1317"/>
      <c r="MZQ387" s="1317"/>
      <c r="MZR387" s="1317"/>
      <c r="MZS387" s="1317"/>
      <c r="MZT387" s="1317"/>
      <c r="MZU387" s="1317"/>
      <c r="MZV387" s="1317"/>
      <c r="MZW387" s="1317"/>
      <c r="MZX387" s="1317"/>
      <c r="MZY387" s="1317"/>
      <c r="MZZ387" s="1317"/>
      <c r="NAA387" s="1317"/>
      <c r="NAB387" s="1317"/>
      <c r="NAC387" s="1317"/>
      <c r="NAD387" s="1317"/>
      <c r="NAE387" s="1317"/>
      <c r="NAF387" s="1317"/>
      <c r="NAG387" s="1317"/>
      <c r="NAH387" s="1317"/>
      <c r="NAI387" s="1317"/>
      <c r="NAJ387" s="1317"/>
      <c r="NAK387" s="1317"/>
      <c r="NAL387" s="1317"/>
      <c r="NAM387" s="1317"/>
      <c r="NAN387" s="1317"/>
      <c r="NAO387" s="1317"/>
      <c r="NAP387" s="1317"/>
      <c r="NAQ387" s="1317"/>
      <c r="NAR387" s="1317"/>
      <c r="NAS387" s="1317"/>
      <c r="NAT387" s="1317"/>
      <c r="NAU387" s="1317"/>
      <c r="NAV387" s="1317"/>
      <c r="NAW387" s="1317"/>
      <c r="NAX387" s="1317"/>
      <c r="NAY387" s="1317"/>
      <c r="NAZ387" s="1317"/>
      <c r="NBA387" s="1317"/>
      <c r="NBB387" s="1317"/>
      <c r="NBC387" s="1317"/>
      <c r="NBD387" s="1317"/>
      <c r="NBE387" s="1317"/>
      <c r="NBF387" s="1317"/>
      <c r="NBG387" s="1317"/>
      <c r="NBH387" s="1317"/>
      <c r="NBI387" s="1317"/>
      <c r="NBJ387" s="1317"/>
      <c r="NBK387" s="1317"/>
      <c r="NBL387" s="1317"/>
      <c r="NBM387" s="1317"/>
      <c r="NBN387" s="1317"/>
      <c r="NBO387" s="1317"/>
      <c r="NBP387" s="1317"/>
      <c r="NBQ387" s="1317"/>
      <c r="NBR387" s="1317"/>
      <c r="NBS387" s="1317"/>
      <c r="NBT387" s="1317"/>
      <c r="NBU387" s="1317"/>
      <c r="NBV387" s="1317"/>
      <c r="NBW387" s="1317"/>
      <c r="NBX387" s="1317"/>
      <c r="NBY387" s="1317"/>
      <c r="NBZ387" s="1317"/>
      <c r="NCA387" s="1317"/>
      <c r="NCB387" s="1317"/>
      <c r="NCC387" s="1317"/>
      <c r="NCD387" s="1317"/>
      <c r="NCE387" s="1317"/>
      <c r="NCF387" s="1317"/>
      <c r="NCG387" s="1317"/>
      <c r="NCH387" s="1317"/>
      <c r="NCI387" s="1317"/>
      <c r="NCJ387" s="1317"/>
      <c r="NCK387" s="1317"/>
      <c r="NCL387" s="1317"/>
      <c r="NCM387" s="1317"/>
      <c r="NCN387" s="1317"/>
      <c r="NCO387" s="1317"/>
      <c r="NCP387" s="1317"/>
      <c r="NCQ387" s="1317"/>
      <c r="NCR387" s="1317"/>
      <c r="NCS387" s="1317"/>
      <c r="NCT387" s="1317"/>
      <c r="NCU387" s="1317"/>
      <c r="NCV387" s="1317"/>
      <c r="NCW387" s="1317"/>
      <c r="NCX387" s="1317"/>
      <c r="NCY387" s="1317"/>
      <c r="NCZ387" s="1317"/>
      <c r="NDA387" s="1317"/>
      <c r="NDB387" s="1317"/>
      <c r="NDC387" s="1317"/>
      <c r="NDD387" s="1317"/>
      <c r="NDE387" s="1317"/>
      <c r="NDF387" s="1317"/>
      <c r="NDG387" s="1317"/>
      <c r="NDH387" s="1317"/>
      <c r="NDI387" s="1317"/>
      <c r="NDJ387" s="1317"/>
      <c r="NDK387" s="1317"/>
      <c r="NDL387" s="1317"/>
      <c r="NDM387" s="1317"/>
      <c r="NDN387" s="1317"/>
      <c r="NDO387" s="1317"/>
      <c r="NDP387" s="1317"/>
      <c r="NDQ387" s="1317"/>
      <c r="NDR387" s="1317"/>
      <c r="NDS387" s="1317"/>
      <c r="NDT387" s="1317"/>
      <c r="NDU387" s="1317"/>
      <c r="NDV387" s="1317"/>
      <c r="NDW387" s="1317"/>
      <c r="NDX387" s="1317"/>
      <c r="NDY387" s="1317"/>
      <c r="NDZ387" s="1317"/>
      <c r="NEA387" s="1317"/>
      <c r="NEB387" s="1317"/>
      <c r="NEC387" s="1317"/>
      <c r="NED387" s="1317"/>
      <c r="NEE387" s="1317"/>
      <c r="NEF387" s="1317"/>
      <c r="NEG387" s="1317"/>
      <c r="NEH387" s="1317"/>
      <c r="NEI387" s="1317"/>
      <c r="NEJ387" s="1317"/>
      <c r="NEK387" s="1317"/>
      <c r="NEL387" s="1317"/>
      <c r="NEM387" s="1317"/>
      <c r="NEN387" s="1317"/>
      <c r="NEO387" s="1317"/>
      <c r="NEP387" s="1317"/>
      <c r="NEQ387" s="1317"/>
      <c r="NER387" s="1317"/>
      <c r="NES387" s="1317"/>
      <c r="NET387" s="1317"/>
      <c r="NEU387" s="1317"/>
      <c r="NEV387" s="1317"/>
      <c r="NEW387" s="1317"/>
      <c r="NEX387" s="1317"/>
      <c r="NEY387" s="1317"/>
      <c r="NEZ387" s="1317"/>
      <c r="NFA387" s="1317"/>
      <c r="NFB387" s="1317"/>
      <c r="NFC387" s="1317"/>
      <c r="NFD387" s="1317"/>
      <c r="NFE387" s="1317"/>
      <c r="NFF387" s="1317"/>
      <c r="NFG387" s="1317"/>
      <c r="NFH387" s="1317"/>
      <c r="NFI387" s="1317"/>
      <c r="NFJ387" s="1317"/>
      <c r="NFK387" s="1317"/>
      <c r="NFL387" s="1317"/>
      <c r="NFM387" s="1317"/>
      <c r="NFN387" s="1317"/>
      <c r="NFO387" s="1317"/>
      <c r="NFP387" s="1317"/>
      <c r="NFQ387" s="1317"/>
      <c r="NFR387" s="1317"/>
      <c r="NFS387" s="1317"/>
      <c r="NFT387" s="1317"/>
      <c r="NFU387" s="1317"/>
      <c r="NFV387" s="1317"/>
      <c r="NFW387" s="1317"/>
      <c r="NFX387" s="1317"/>
      <c r="NFY387" s="1317"/>
      <c r="NFZ387" s="1317"/>
      <c r="NGA387" s="1317"/>
      <c r="NGB387" s="1317"/>
      <c r="NGC387" s="1317"/>
      <c r="NGD387" s="1317"/>
      <c r="NGE387" s="1317"/>
      <c r="NGF387" s="1317"/>
      <c r="NGG387" s="1317"/>
      <c r="NGH387" s="1317"/>
      <c r="NGI387" s="1317"/>
      <c r="NGJ387" s="1317"/>
      <c r="NGK387" s="1317"/>
      <c r="NGL387" s="1317"/>
      <c r="NGM387" s="1317"/>
      <c r="NGN387" s="1317"/>
      <c r="NGO387" s="1317"/>
      <c r="NGP387" s="1317"/>
      <c r="NGQ387" s="1317"/>
      <c r="NGR387" s="1317"/>
      <c r="NGS387" s="1317"/>
      <c r="NGT387" s="1317"/>
      <c r="NGU387" s="1317"/>
      <c r="NGV387" s="1317"/>
      <c r="NGW387" s="1317"/>
      <c r="NGX387" s="1317"/>
      <c r="NGY387" s="1317"/>
      <c r="NGZ387" s="1317"/>
      <c r="NHA387" s="1317"/>
      <c r="NHB387" s="1317"/>
      <c r="NHC387" s="1317"/>
      <c r="NHD387" s="1317"/>
      <c r="NHE387" s="1317"/>
      <c r="NHF387" s="1317"/>
      <c r="NHG387" s="1317"/>
      <c r="NHH387" s="1317"/>
      <c r="NHI387" s="1317"/>
      <c r="NHJ387" s="1317"/>
      <c r="NHK387" s="1317"/>
      <c r="NHL387" s="1317"/>
      <c r="NHM387" s="1317"/>
      <c r="NHN387" s="1317"/>
      <c r="NHO387" s="1317"/>
      <c r="NHP387" s="1317"/>
      <c r="NHQ387" s="1317"/>
      <c r="NHR387" s="1317"/>
      <c r="NHS387" s="1317"/>
      <c r="NHT387" s="1317"/>
      <c r="NHU387" s="1317"/>
      <c r="NHV387" s="1317"/>
      <c r="NHW387" s="1317"/>
      <c r="NHX387" s="1317"/>
      <c r="NHY387" s="1317"/>
      <c r="NHZ387" s="1317"/>
      <c r="NIA387" s="1317"/>
      <c r="NIB387" s="1317"/>
      <c r="NIC387" s="1317"/>
      <c r="NID387" s="1317"/>
      <c r="NIE387" s="1317"/>
      <c r="NIF387" s="1317"/>
      <c r="NIG387" s="1317"/>
      <c r="NIH387" s="1317"/>
      <c r="NII387" s="1317"/>
      <c r="NIJ387" s="1317"/>
      <c r="NIK387" s="1317"/>
      <c r="NIL387" s="1317"/>
      <c r="NIM387" s="1317"/>
      <c r="NIN387" s="1317"/>
      <c r="NIO387" s="1317"/>
      <c r="NIP387" s="1317"/>
      <c r="NIQ387" s="1317"/>
      <c r="NIR387" s="1317"/>
      <c r="NIS387" s="1317"/>
      <c r="NIT387" s="1317"/>
      <c r="NIU387" s="1317"/>
      <c r="NIV387" s="1317"/>
      <c r="NIW387" s="1317"/>
      <c r="NIX387" s="1317"/>
      <c r="NIY387" s="1317"/>
      <c r="NIZ387" s="1317"/>
      <c r="NJA387" s="1317"/>
      <c r="NJB387" s="1317"/>
      <c r="NJC387" s="1317"/>
      <c r="NJD387" s="1317"/>
      <c r="NJE387" s="1317"/>
      <c r="NJF387" s="1317"/>
      <c r="NJG387" s="1317"/>
      <c r="NJH387" s="1317"/>
      <c r="NJI387" s="1317"/>
      <c r="NJJ387" s="1317"/>
      <c r="NJK387" s="1317"/>
      <c r="NJL387" s="1317"/>
      <c r="NJM387" s="1317"/>
      <c r="NJN387" s="1317"/>
      <c r="NJO387" s="1317"/>
      <c r="NJP387" s="1317"/>
      <c r="NJQ387" s="1317"/>
      <c r="NJR387" s="1317"/>
      <c r="NJS387" s="1317"/>
      <c r="NJT387" s="1317"/>
      <c r="NJU387" s="1317"/>
      <c r="NJV387" s="1317"/>
      <c r="NJW387" s="1317"/>
      <c r="NJX387" s="1317"/>
      <c r="NJY387" s="1317"/>
      <c r="NJZ387" s="1317"/>
      <c r="NKA387" s="1317"/>
      <c r="NKB387" s="1317"/>
      <c r="NKC387" s="1317"/>
      <c r="NKD387" s="1317"/>
      <c r="NKE387" s="1317"/>
      <c r="NKF387" s="1317"/>
      <c r="NKG387" s="1317"/>
      <c r="NKH387" s="1317"/>
      <c r="NKI387" s="1317"/>
      <c r="NKJ387" s="1317"/>
      <c r="NKK387" s="1317"/>
      <c r="NKL387" s="1317"/>
      <c r="NKM387" s="1317"/>
      <c r="NKN387" s="1317"/>
      <c r="NKO387" s="1317"/>
      <c r="NKP387" s="1317"/>
      <c r="NKQ387" s="1317"/>
      <c r="NKR387" s="1317"/>
      <c r="NKS387" s="1317"/>
      <c r="NKT387" s="1317"/>
      <c r="NKU387" s="1317"/>
      <c r="NKV387" s="1317"/>
      <c r="NKW387" s="1317"/>
      <c r="NKX387" s="1317"/>
      <c r="NKY387" s="1317"/>
      <c r="NKZ387" s="1317"/>
      <c r="NLA387" s="1317"/>
      <c r="NLB387" s="1317"/>
      <c r="NLC387" s="1317"/>
      <c r="NLD387" s="1317"/>
      <c r="NLE387" s="1317"/>
      <c r="NLF387" s="1317"/>
      <c r="NLG387" s="1317"/>
      <c r="NLH387" s="1317"/>
      <c r="NLI387" s="1317"/>
      <c r="NLJ387" s="1317"/>
      <c r="NLK387" s="1317"/>
      <c r="NLL387" s="1317"/>
      <c r="NLM387" s="1317"/>
      <c r="NLN387" s="1317"/>
      <c r="NLO387" s="1317"/>
      <c r="NLP387" s="1317"/>
      <c r="NLQ387" s="1317"/>
      <c r="NLR387" s="1317"/>
      <c r="NLS387" s="1317"/>
      <c r="NLT387" s="1317"/>
      <c r="NLU387" s="1317"/>
      <c r="NLV387" s="1317"/>
      <c r="NLW387" s="1317"/>
      <c r="NLX387" s="1317"/>
      <c r="NLY387" s="1317"/>
      <c r="NLZ387" s="1317"/>
      <c r="NMA387" s="1317"/>
      <c r="NMB387" s="1317"/>
      <c r="NMC387" s="1317"/>
      <c r="NMD387" s="1317"/>
      <c r="NME387" s="1317"/>
      <c r="NMF387" s="1317"/>
      <c r="NMG387" s="1317"/>
      <c r="NMH387" s="1317"/>
      <c r="NMI387" s="1317"/>
      <c r="NMJ387" s="1317"/>
      <c r="NMK387" s="1317"/>
      <c r="NML387" s="1317"/>
      <c r="NMM387" s="1317"/>
      <c r="NMN387" s="1317"/>
      <c r="NMO387" s="1317"/>
      <c r="NMP387" s="1317"/>
      <c r="NMQ387" s="1317"/>
      <c r="NMR387" s="1317"/>
      <c r="NMS387" s="1317"/>
      <c r="NMT387" s="1317"/>
      <c r="NMU387" s="1317"/>
      <c r="NMV387" s="1317"/>
      <c r="NMW387" s="1317"/>
      <c r="NMX387" s="1317"/>
      <c r="NMY387" s="1317"/>
      <c r="NMZ387" s="1317"/>
      <c r="NNA387" s="1317"/>
      <c r="NNB387" s="1317"/>
      <c r="NNC387" s="1317"/>
      <c r="NND387" s="1317"/>
      <c r="NNE387" s="1317"/>
      <c r="NNF387" s="1317"/>
      <c r="NNG387" s="1317"/>
      <c r="NNH387" s="1317"/>
      <c r="NNI387" s="1317"/>
      <c r="NNJ387" s="1317"/>
      <c r="NNK387" s="1317"/>
      <c r="NNL387" s="1317"/>
      <c r="NNM387" s="1317"/>
      <c r="NNN387" s="1317"/>
      <c r="NNO387" s="1317"/>
      <c r="NNP387" s="1317"/>
      <c r="NNQ387" s="1317"/>
      <c r="NNR387" s="1317"/>
      <c r="NNS387" s="1317"/>
      <c r="NNT387" s="1317"/>
      <c r="NNU387" s="1317"/>
      <c r="NNV387" s="1317"/>
      <c r="NNW387" s="1317"/>
      <c r="NNX387" s="1317"/>
      <c r="NNY387" s="1317"/>
      <c r="NNZ387" s="1317"/>
      <c r="NOA387" s="1317"/>
      <c r="NOB387" s="1317"/>
      <c r="NOC387" s="1317"/>
      <c r="NOD387" s="1317"/>
      <c r="NOE387" s="1317"/>
      <c r="NOF387" s="1317"/>
      <c r="NOG387" s="1317"/>
      <c r="NOH387" s="1317"/>
      <c r="NOI387" s="1317"/>
      <c r="NOJ387" s="1317"/>
      <c r="NOK387" s="1317"/>
      <c r="NOL387" s="1317"/>
      <c r="NOM387" s="1317"/>
      <c r="NON387" s="1317"/>
      <c r="NOO387" s="1317"/>
      <c r="NOP387" s="1317"/>
      <c r="NOQ387" s="1317"/>
      <c r="NOR387" s="1317"/>
      <c r="NOS387" s="1317"/>
      <c r="NOT387" s="1317"/>
      <c r="NOU387" s="1317"/>
      <c r="NOV387" s="1317"/>
      <c r="NOW387" s="1317"/>
      <c r="NOX387" s="1317"/>
      <c r="NOY387" s="1317"/>
      <c r="NOZ387" s="1317"/>
      <c r="NPA387" s="1317"/>
      <c r="NPB387" s="1317"/>
      <c r="NPC387" s="1317"/>
      <c r="NPD387" s="1317"/>
      <c r="NPE387" s="1317"/>
      <c r="NPF387" s="1317"/>
      <c r="NPG387" s="1317"/>
      <c r="NPH387" s="1317"/>
      <c r="NPI387" s="1317"/>
      <c r="NPJ387" s="1317"/>
      <c r="NPK387" s="1317"/>
      <c r="NPL387" s="1317"/>
      <c r="NPM387" s="1317"/>
      <c r="NPN387" s="1317"/>
      <c r="NPO387" s="1317"/>
      <c r="NPP387" s="1317"/>
      <c r="NPQ387" s="1317"/>
      <c r="NPR387" s="1317"/>
      <c r="NPS387" s="1317"/>
      <c r="NPT387" s="1317"/>
      <c r="NPU387" s="1317"/>
      <c r="NPV387" s="1317"/>
      <c r="NPW387" s="1317"/>
      <c r="NPX387" s="1317"/>
      <c r="NPY387" s="1317"/>
      <c r="NPZ387" s="1317"/>
      <c r="NQA387" s="1317"/>
      <c r="NQB387" s="1317"/>
      <c r="NQC387" s="1317"/>
      <c r="NQD387" s="1317"/>
      <c r="NQE387" s="1317"/>
      <c r="NQF387" s="1317"/>
      <c r="NQG387" s="1317"/>
      <c r="NQH387" s="1317"/>
      <c r="NQI387" s="1317"/>
      <c r="NQJ387" s="1317"/>
      <c r="NQK387" s="1317"/>
      <c r="NQL387" s="1317"/>
      <c r="NQM387" s="1317"/>
      <c r="NQN387" s="1317"/>
      <c r="NQO387" s="1317"/>
      <c r="NQP387" s="1317"/>
      <c r="NQQ387" s="1317"/>
      <c r="NQR387" s="1317"/>
      <c r="NQS387" s="1317"/>
      <c r="NQT387" s="1317"/>
      <c r="NQU387" s="1317"/>
      <c r="NQV387" s="1317"/>
      <c r="NQW387" s="1317"/>
      <c r="NQX387" s="1317"/>
      <c r="NQY387" s="1317"/>
      <c r="NQZ387" s="1317"/>
      <c r="NRA387" s="1317"/>
      <c r="NRB387" s="1317"/>
      <c r="NRC387" s="1317"/>
      <c r="NRD387" s="1317"/>
      <c r="NRE387" s="1317"/>
      <c r="NRF387" s="1317"/>
      <c r="NRG387" s="1317"/>
      <c r="NRH387" s="1317"/>
      <c r="NRI387" s="1317"/>
      <c r="NRJ387" s="1317"/>
      <c r="NRK387" s="1317"/>
      <c r="NRL387" s="1317"/>
      <c r="NRM387" s="1317"/>
      <c r="NRN387" s="1317"/>
      <c r="NRO387" s="1317"/>
      <c r="NRP387" s="1317"/>
      <c r="NRQ387" s="1317"/>
      <c r="NRR387" s="1317"/>
      <c r="NRS387" s="1317"/>
      <c r="NRT387" s="1317"/>
      <c r="NRU387" s="1317"/>
      <c r="NRV387" s="1317"/>
      <c r="NRW387" s="1317"/>
      <c r="NRX387" s="1317"/>
      <c r="NRY387" s="1317"/>
      <c r="NRZ387" s="1317"/>
      <c r="NSA387" s="1317"/>
      <c r="NSB387" s="1317"/>
      <c r="NSC387" s="1317"/>
      <c r="NSD387" s="1317"/>
      <c r="NSE387" s="1317"/>
      <c r="NSF387" s="1317"/>
      <c r="NSG387" s="1317"/>
      <c r="NSH387" s="1317"/>
      <c r="NSI387" s="1317"/>
      <c r="NSJ387" s="1317"/>
      <c r="NSK387" s="1317"/>
      <c r="NSL387" s="1317"/>
      <c r="NSM387" s="1317"/>
      <c r="NSN387" s="1317"/>
      <c r="NSO387" s="1317"/>
      <c r="NSP387" s="1317"/>
      <c r="NSQ387" s="1317"/>
      <c r="NSR387" s="1317"/>
      <c r="NSS387" s="1317"/>
      <c r="NST387" s="1317"/>
      <c r="NSU387" s="1317"/>
      <c r="NSV387" s="1317"/>
      <c r="NSW387" s="1317"/>
      <c r="NSX387" s="1317"/>
      <c r="NSY387" s="1317"/>
      <c r="NSZ387" s="1317"/>
      <c r="NTA387" s="1317"/>
      <c r="NTB387" s="1317"/>
      <c r="NTC387" s="1317"/>
      <c r="NTD387" s="1317"/>
      <c r="NTE387" s="1317"/>
      <c r="NTF387" s="1317"/>
      <c r="NTG387" s="1317"/>
      <c r="NTH387" s="1317"/>
      <c r="NTI387" s="1317"/>
      <c r="NTJ387" s="1317"/>
      <c r="NTK387" s="1317"/>
      <c r="NTL387" s="1317"/>
      <c r="NTM387" s="1317"/>
      <c r="NTN387" s="1317"/>
      <c r="NTO387" s="1317"/>
      <c r="NTP387" s="1317"/>
      <c r="NTQ387" s="1317"/>
      <c r="NTR387" s="1317"/>
      <c r="NTS387" s="1317"/>
      <c r="NTT387" s="1317"/>
      <c r="NTU387" s="1317"/>
      <c r="NTV387" s="1317"/>
      <c r="NTW387" s="1317"/>
      <c r="NTX387" s="1317"/>
      <c r="NTY387" s="1317"/>
      <c r="NTZ387" s="1317"/>
      <c r="NUA387" s="1317"/>
      <c r="NUB387" s="1317"/>
      <c r="NUC387" s="1317"/>
      <c r="NUD387" s="1317"/>
      <c r="NUE387" s="1317"/>
      <c r="NUF387" s="1317"/>
      <c r="NUG387" s="1317"/>
      <c r="NUH387" s="1317"/>
      <c r="NUI387" s="1317"/>
      <c r="NUJ387" s="1317"/>
      <c r="NUK387" s="1317"/>
      <c r="NUL387" s="1317"/>
      <c r="NUM387" s="1317"/>
      <c r="NUN387" s="1317"/>
      <c r="NUO387" s="1317"/>
      <c r="NUP387" s="1317"/>
      <c r="NUQ387" s="1317"/>
      <c r="NUR387" s="1317"/>
      <c r="NUS387" s="1317"/>
      <c r="NUT387" s="1317"/>
      <c r="NUU387" s="1317"/>
      <c r="NUV387" s="1317"/>
      <c r="NUW387" s="1317"/>
      <c r="NUX387" s="1317"/>
      <c r="NUY387" s="1317"/>
      <c r="NUZ387" s="1317"/>
      <c r="NVA387" s="1317"/>
      <c r="NVB387" s="1317"/>
      <c r="NVC387" s="1317"/>
      <c r="NVD387" s="1317"/>
      <c r="NVE387" s="1317"/>
      <c r="NVF387" s="1317"/>
      <c r="NVG387" s="1317"/>
      <c r="NVH387" s="1317"/>
      <c r="NVI387" s="1317"/>
      <c r="NVJ387" s="1317"/>
      <c r="NVK387" s="1317"/>
      <c r="NVL387" s="1317"/>
      <c r="NVM387" s="1317"/>
      <c r="NVN387" s="1317"/>
      <c r="NVO387" s="1317"/>
      <c r="NVP387" s="1317"/>
      <c r="NVQ387" s="1317"/>
      <c r="NVR387" s="1317"/>
      <c r="NVS387" s="1317"/>
      <c r="NVT387" s="1317"/>
      <c r="NVU387" s="1317"/>
      <c r="NVV387" s="1317"/>
      <c r="NVW387" s="1317"/>
      <c r="NVX387" s="1317"/>
      <c r="NVY387" s="1317"/>
      <c r="NVZ387" s="1317"/>
      <c r="NWA387" s="1317"/>
      <c r="NWB387" s="1317"/>
      <c r="NWC387" s="1317"/>
      <c r="NWD387" s="1317"/>
      <c r="NWE387" s="1317"/>
      <c r="NWF387" s="1317"/>
      <c r="NWG387" s="1317"/>
      <c r="NWH387" s="1317"/>
      <c r="NWI387" s="1317"/>
      <c r="NWJ387" s="1317"/>
      <c r="NWK387" s="1317"/>
      <c r="NWL387" s="1317"/>
      <c r="NWM387" s="1317"/>
      <c r="NWN387" s="1317"/>
      <c r="NWO387" s="1317"/>
      <c r="NWP387" s="1317"/>
      <c r="NWQ387" s="1317"/>
      <c r="NWR387" s="1317"/>
      <c r="NWS387" s="1317"/>
      <c r="NWT387" s="1317"/>
      <c r="NWU387" s="1317"/>
      <c r="NWV387" s="1317"/>
      <c r="NWW387" s="1317"/>
      <c r="NWX387" s="1317"/>
      <c r="NWY387" s="1317"/>
      <c r="NWZ387" s="1317"/>
      <c r="NXA387" s="1317"/>
      <c r="NXB387" s="1317"/>
      <c r="NXC387" s="1317"/>
      <c r="NXD387" s="1317"/>
      <c r="NXE387" s="1317"/>
      <c r="NXF387" s="1317"/>
      <c r="NXG387" s="1317"/>
      <c r="NXH387" s="1317"/>
      <c r="NXI387" s="1317"/>
      <c r="NXJ387" s="1317"/>
      <c r="NXK387" s="1317"/>
      <c r="NXL387" s="1317"/>
      <c r="NXM387" s="1317"/>
      <c r="NXN387" s="1317"/>
      <c r="NXO387" s="1317"/>
      <c r="NXP387" s="1317"/>
      <c r="NXQ387" s="1317"/>
      <c r="NXR387" s="1317"/>
      <c r="NXS387" s="1317"/>
      <c r="NXT387" s="1317"/>
      <c r="NXU387" s="1317"/>
      <c r="NXV387" s="1317"/>
      <c r="NXW387" s="1317"/>
      <c r="NXX387" s="1317"/>
      <c r="NXY387" s="1317"/>
      <c r="NXZ387" s="1317"/>
      <c r="NYA387" s="1317"/>
      <c r="NYB387" s="1317"/>
      <c r="NYC387" s="1317"/>
      <c r="NYD387" s="1317"/>
      <c r="NYE387" s="1317"/>
      <c r="NYF387" s="1317"/>
      <c r="NYG387" s="1317"/>
      <c r="NYH387" s="1317"/>
      <c r="NYI387" s="1317"/>
      <c r="NYJ387" s="1317"/>
      <c r="NYK387" s="1317"/>
      <c r="NYL387" s="1317"/>
      <c r="NYM387" s="1317"/>
      <c r="NYN387" s="1317"/>
      <c r="NYO387" s="1317"/>
      <c r="NYP387" s="1317"/>
      <c r="NYQ387" s="1317"/>
      <c r="NYR387" s="1317"/>
      <c r="NYS387" s="1317"/>
      <c r="NYT387" s="1317"/>
      <c r="NYU387" s="1317"/>
      <c r="NYV387" s="1317"/>
      <c r="NYW387" s="1317"/>
      <c r="NYX387" s="1317"/>
      <c r="NYY387" s="1317"/>
      <c r="NYZ387" s="1317"/>
      <c r="NZA387" s="1317"/>
      <c r="NZB387" s="1317"/>
      <c r="NZC387" s="1317"/>
      <c r="NZD387" s="1317"/>
      <c r="NZE387" s="1317"/>
      <c r="NZF387" s="1317"/>
      <c r="NZG387" s="1317"/>
      <c r="NZH387" s="1317"/>
      <c r="NZI387" s="1317"/>
      <c r="NZJ387" s="1317"/>
      <c r="NZK387" s="1317"/>
      <c r="NZL387" s="1317"/>
      <c r="NZM387" s="1317"/>
      <c r="NZN387" s="1317"/>
      <c r="NZO387" s="1317"/>
      <c r="NZP387" s="1317"/>
      <c r="NZQ387" s="1317"/>
      <c r="NZR387" s="1317"/>
      <c r="NZS387" s="1317"/>
      <c r="NZT387" s="1317"/>
      <c r="NZU387" s="1317"/>
      <c r="NZV387" s="1317"/>
      <c r="NZW387" s="1317"/>
      <c r="NZX387" s="1317"/>
      <c r="NZY387" s="1317"/>
      <c r="NZZ387" s="1317"/>
      <c r="OAA387" s="1317"/>
      <c r="OAB387" s="1317"/>
      <c r="OAC387" s="1317"/>
      <c r="OAD387" s="1317"/>
      <c r="OAE387" s="1317"/>
      <c r="OAF387" s="1317"/>
      <c r="OAG387" s="1317"/>
      <c r="OAH387" s="1317"/>
      <c r="OAI387" s="1317"/>
      <c r="OAJ387" s="1317"/>
      <c r="OAK387" s="1317"/>
      <c r="OAL387" s="1317"/>
      <c r="OAM387" s="1317"/>
      <c r="OAN387" s="1317"/>
      <c r="OAO387" s="1317"/>
      <c r="OAP387" s="1317"/>
      <c r="OAQ387" s="1317"/>
      <c r="OAR387" s="1317"/>
      <c r="OAS387" s="1317"/>
      <c r="OAT387" s="1317"/>
      <c r="OAU387" s="1317"/>
      <c r="OAV387" s="1317"/>
      <c r="OAW387" s="1317"/>
      <c r="OAX387" s="1317"/>
      <c r="OAY387" s="1317"/>
      <c r="OAZ387" s="1317"/>
      <c r="OBA387" s="1317"/>
      <c r="OBB387" s="1317"/>
      <c r="OBC387" s="1317"/>
      <c r="OBD387" s="1317"/>
      <c r="OBE387" s="1317"/>
      <c r="OBF387" s="1317"/>
      <c r="OBG387" s="1317"/>
      <c r="OBH387" s="1317"/>
      <c r="OBI387" s="1317"/>
      <c r="OBJ387" s="1317"/>
      <c r="OBK387" s="1317"/>
      <c r="OBL387" s="1317"/>
      <c r="OBM387" s="1317"/>
      <c r="OBN387" s="1317"/>
      <c r="OBO387" s="1317"/>
      <c r="OBP387" s="1317"/>
      <c r="OBQ387" s="1317"/>
      <c r="OBR387" s="1317"/>
      <c r="OBS387" s="1317"/>
      <c r="OBT387" s="1317"/>
      <c r="OBU387" s="1317"/>
      <c r="OBV387" s="1317"/>
      <c r="OBW387" s="1317"/>
      <c r="OBX387" s="1317"/>
      <c r="OBY387" s="1317"/>
      <c r="OBZ387" s="1317"/>
      <c r="OCA387" s="1317"/>
      <c r="OCB387" s="1317"/>
      <c r="OCC387" s="1317"/>
      <c r="OCD387" s="1317"/>
      <c r="OCE387" s="1317"/>
      <c r="OCF387" s="1317"/>
      <c r="OCG387" s="1317"/>
      <c r="OCH387" s="1317"/>
      <c r="OCI387" s="1317"/>
      <c r="OCJ387" s="1317"/>
      <c r="OCK387" s="1317"/>
      <c r="OCL387" s="1317"/>
      <c r="OCM387" s="1317"/>
      <c r="OCN387" s="1317"/>
      <c r="OCO387" s="1317"/>
      <c r="OCP387" s="1317"/>
      <c r="OCQ387" s="1317"/>
      <c r="OCR387" s="1317"/>
      <c r="OCS387" s="1317"/>
      <c r="OCT387" s="1317"/>
      <c r="OCU387" s="1317"/>
      <c r="OCV387" s="1317"/>
      <c r="OCW387" s="1317"/>
      <c r="OCX387" s="1317"/>
      <c r="OCY387" s="1317"/>
      <c r="OCZ387" s="1317"/>
      <c r="ODA387" s="1317"/>
      <c r="ODB387" s="1317"/>
      <c r="ODC387" s="1317"/>
      <c r="ODD387" s="1317"/>
      <c r="ODE387" s="1317"/>
      <c r="ODF387" s="1317"/>
      <c r="ODG387" s="1317"/>
      <c r="ODH387" s="1317"/>
      <c r="ODI387" s="1317"/>
      <c r="ODJ387" s="1317"/>
      <c r="ODK387" s="1317"/>
      <c r="ODL387" s="1317"/>
      <c r="ODM387" s="1317"/>
      <c r="ODN387" s="1317"/>
      <c r="ODO387" s="1317"/>
      <c r="ODP387" s="1317"/>
      <c r="ODQ387" s="1317"/>
      <c r="ODR387" s="1317"/>
      <c r="ODS387" s="1317"/>
      <c r="ODT387" s="1317"/>
      <c r="ODU387" s="1317"/>
      <c r="ODV387" s="1317"/>
      <c r="ODW387" s="1317"/>
      <c r="ODX387" s="1317"/>
      <c r="ODY387" s="1317"/>
      <c r="ODZ387" s="1317"/>
      <c r="OEA387" s="1317"/>
      <c r="OEB387" s="1317"/>
      <c r="OEC387" s="1317"/>
      <c r="OED387" s="1317"/>
      <c r="OEE387" s="1317"/>
      <c r="OEF387" s="1317"/>
      <c r="OEG387" s="1317"/>
      <c r="OEH387" s="1317"/>
      <c r="OEI387" s="1317"/>
      <c r="OEJ387" s="1317"/>
      <c r="OEK387" s="1317"/>
      <c r="OEL387" s="1317"/>
      <c r="OEM387" s="1317"/>
      <c r="OEN387" s="1317"/>
      <c r="OEO387" s="1317"/>
      <c r="OEP387" s="1317"/>
      <c r="OEQ387" s="1317"/>
      <c r="OER387" s="1317"/>
      <c r="OES387" s="1317"/>
      <c r="OET387" s="1317"/>
      <c r="OEU387" s="1317"/>
      <c r="OEV387" s="1317"/>
      <c r="OEW387" s="1317"/>
      <c r="OEX387" s="1317"/>
      <c r="OEY387" s="1317"/>
      <c r="OEZ387" s="1317"/>
      <c r="OFA387" s="1317"/>
      <c r="OFB387" s="1317"/>
      <c r="OFC387" s="1317"/>
      <c r="OFD387" s="1317"/>
      <c r="OFE387" s="1317"/>
      <c r="OFF387" s="1317"/>
      <c r="OFG387" s="1317"/>
      <c r="OFH387" s="1317"/>
      <c r="OFI387" s="1317"/>
      <c r="OFJ387" s="1317"/>
      <c r="OFK387" s="1317"/>
      <c r="OFL387" s="1317"/>
      <c r="OFM387" s="1317"/>
      <c r="OFN387" s="1317"/>
      <c r="OFO387" s="1317"/>
      <c r="OFP387" s="1317"/>
      <c r="OFQ387" s="1317"/>
      <c r="OFR387" s="1317"/>
      <c r="OFS387" s="1317"/>
      <c r="OFT387" s="1317"/>
      <c r="OFU387" s="1317"/>
      <c r="OFV387" s="1317"/>
      <c r="OFW387" s="1317"/>
      <c r="OFX387" s="1317"/>
      <c r="OFY387" s="1317"/>
      <c r="OFZ387" s="1317"/>
      <c r="OGA387" s="1317"/>
      <c r="OGB387" s="1317"/>
      <c r="OGC387" s="1317"/>
      <c r="OGD387" s="1317"/>
      <c r="OGE387" s="1317"/>
      <c r="OGF387" s="1317"/>
      <c r="OGG387" s="1317"/>
      <c r="OGH387" s="1317"/>
      <c r="OGI387" s="1317"/>
      <c r="OGJ387" s="1317"/>
      <c r="OGK387" s="1317"/>
      <c r="OGL387" s="1317"/>
      <c r="OGM387" s="1317"/>
      <c r="OGN387" s="1317"/>
      <c r="OGO387" s="1317"/>
      <c r="OGP387" s="1317"/>
      <c r="OGQ387" s="1317"/>
      <c r="OGR387" s="1317"/>
      <c r="OGS387" s="1317"/>
      <c r="OGT387" s="1317"/>
      <c r="OGU387" s="1317"/>
      <c r="OGV387" s="1317"/>
      <c r="OGW387" s="1317"/>
      <c r="OGX387" s="1317"/>
      <c r="OGY387" s="1317"/>
      <c r="OGZ387" s="1317"/>
      <c r="OHA387" s="1317"/>
      <c r="OHB387" s="1317"/>
      <c r="OHC387" s="1317"/>
      <c r="OHD387" s="1317"/>
      <c r="OHE387" s="1317"/>
      <c r="OHF387" s="1317"/>
      <c r="OHG387" s="1317"/>
      <c r="OHH387" s="1317"/>
      <c r="OHI387" s="1317"/>
      <c r="OHJ387" s="1317"/>
      <c r="OHK387" s="1317"/>
      <c r="OHL387" s="1317"/>
      <c r="OHM387" s="1317"/>
      <c r="OHN387" s="1317"/>
      <c r="OHO387" s="1317"/>
      <c r="OHP387" s="1317"/>
      <c r="OHQ387" s="1317"/>
      <c r="OHR387" s="1317"/>
      <c r="OHS387" s="1317"/>
      <c r="OHT387" s="1317"/>
      <c r="OHU387" s="1317"/>
      <c r="OHV387" s="1317"/>
      <c r="OHW387" s="1317"/>
      <c r="OHX387" s="1317"/>
      <c r="OHY387" s="1317"/>
      <c r="OHZ387" s="1317"/>
      <c r="OIA387" s="1317"/>
      <c r="OIB387" s="1317"/>
      <c r="OIC387" s="1317"/>
      <c r="OID387" s="1317"/>
      <c r="OIE387" s="1317"/>
      <c r="OIF387" s="1317"/>
      <c r="OIG387" s="1317"/>
      <c r="OIH387" s="1317"/>
      <c r="OII387" s="1317"/>
      <c r="OIJ387" s="1317"/>
      <c r="OIK387" s="1317"/>
      <c r="OIL387" s="1317"/>
      <c r="OIM387" s="1317"/>
      <c r="OIN387" s="1317"/>
      <c r="OIO387" s="1317"/>
      <c r="OIP387" s="1317"/>
      <c r="OIQ387" s="1317"/>
      <c r="OIR387" s="1317"/>
      <c r="OIS387" s="1317"/>
      <c r="OIT387" s="1317"/>
      <c r="OIU387" s="1317"/>
      <c r="OIV387" s="1317"/>
      <c r="OIW387" s="1317"/>
      <c r="OIX387" s="1317"/>
      <c r="OIY387" s="1317"/>
      <c r="OIZ387" s="1317"/>
      <c r="OJA387" s="1317"/>
      <c r="OJB387" s="1317"/>
      <c r="OJC387" s="1317"/>
      <c r="OJD387" s="1317"/>
      <c r="OJE387" s="1317"/>
      <c r="OJF387" s="1317"/>
      <c r="OJG387" s="1317"/>
      <c r="OJH387" s="1317"/>
      <c r="OJI387" s="1317"/>
      <c r="OJJ387" s="1317"/>
      <c r="OJK387" s="1317"/>
      <c r="OJL387" s="1317"/>
      <c r="OJM387" s="1317"/>
      <c r="OJN387" s="1317"/>
      <c r="OJO387" s="1317"/>
      <c r="OJP387" s="1317"/>
      <c r="OJQ387" s="1317"/>
      <c r="OJR387" s="1317"/>
      <c r="OJS387" s="1317"/>
      <c r="OJT387" s="1317"/>
      <c r="OJU387" s="1317"/>
      <c r="OJV387" s="1317"/>
      <c r="OJW387" s="1317"/>
      <c r="OJX387" s="1317"/>
      <c r="OJY387" s="1317"/>
      <c r="OJZ387" s="1317"/>
      <c r="OKA387" s="1317"/>
      <c r="OKB387" s="1317"/>
      <c r="OKC387" s="1317"/>
      <c r="OKD387" s="1317"/>
      <c r="OKE387" s="1317"/>
      <c r="OKF387" s="1317"/>
      <c r="OKG387" s="1317"/>
      <c r="OKH387" s="1317"/>
      <c r="OKI387" s="1317"/>
      <c r="OKJ387" s="1317"/>
      <c r="OKK387" s="1317"/>
      <c r="OKL387" s="1317"/>
      <c r="OKM387" s="1317"/>
      <c r="OKN387" s="1317"/>
      <c r="OKO387" s="1317"/>
      <c r="OKP387" s="1317"/>
      <c r="OKQ387" s="1317"/>
      <c r="OKR387" s="1317"/>
      <c r="OKS387" s="1317"/>
      <c r="OKT387" s="1317"/>
      <c r="OKU387" s="1317"/>
      <c r="OKV387" s="1317"/>
      <c r="OKW387" s="1317"/>
      <c r="OKX387" s="1317"/>
      <c r="OKY387" s="1317"/>
      <c r="OKZ387" s="1317"/>
      <c r="OLA387" s="1317"/>
      <c r="OLB387" s="1317"/>
      <c r="OLC387" s="1317"/>
      <c r="OLD387" s="1317"/>
      <c r="OLE387" s="1317"/>
      <c r="OLF387" s="1317"/>
      <c r="OLG387" s="1317"/>
      <c r="OLH387" s="1317"/>
      <c r="OLI387" s="1317"/>
      <c r="OLJ387" s="1317"/>
      <c r="OLK387" s="1317"/>
      <c r="OLL387" s="1317"/>
      <c r="OLM387" s="1317"/>
      <c r="OLN387" s="1317"/>
      <c r="OLO387" s="1317"/>
      <c r="OLP387" s="1317"/>
      <c r="OLQ387" s="1317"/>
      <c r="OLR387" s="1317"/>
      <c r="OLS387" s="1317"/>
      <c r="OLT387" s="1317"/>
      <c r="OLU387" s="1317"/>
      <c r="OLV387" s="1317"/>
      <c r="OLW387" s="1317"/>
      <c r="OLX387" s="1317"/>
      <c r="OLY387" s="1317"/>
      <c r="OLZ387" s="1317"/>
      <c r="OMA387" s="1317"/>
      <c r="OMB387" s="1317"/>
      <c r="OMC387" s="1317"/>
      <c r="OMD387" s="1317"/>
      <c r="OME387" s="1317"/>
      <c r="OMF387" s="1317"/>
      <c r="OMG387" s="1317"/>
      <c r="OMH387" s="1317"/>
      <c r="OMI387" s="1317"/>
      <c r="OMJ387" s="1317"/>
      <c r="OMK387" s="1317"/>
      <c r="OML387" s="1317"/>
      <c r="OMM387" s="1317"/>
      <c r="OMN387" s="1317"/>
      <c r="OMO387" s="1317"/>
      <c r="OMP387" s="1317"/>
      <c r="OMQ387" s="1317"/>
      <c r="OMR387" s="1317"/>
      <c r="OMS387" s="1317"/>
      <c r="OMT387" s="1317"/>
      <c r="OMU387" s="1317"/>
      <c r="OMV387" s="1317"/>
      <c r="OMW387" s="1317"/>
      <c r="OMX387" s="1317"/>
      <c r="OMY387" s="1317"/>
      <c r="OMZ387" s="1317"/>
      <c r="ONA387" s="1317"/>
      <c r="ONB387" s="1317"/>
      <c r="ONC387" s="1317"/>
      <c r="OND387" s="1317"/>
      <c r="ONE387" s="1317"/>
      <c r="ONF387" s="1317"/>
      <c r="ONG387" s="1317"/>
      <c r="ONH387" s="1317"/>
      <c r="ONI387" s="1317"/>
      <c r="ONJ387" s="1317"/>
      <c r="ONK387" s="1317"/>
      <c r="ONL387" s="1317"/>
      <c r="ONM387" s="1317"/>
      <c r="ONN387" s="1317"/>
      <c r="ONO387" s="1317"/>
      <c r="ONP387" s="1317"/>
      <c r="ONQ387" s="1317"/>
      <c r="ONR387" s="1317"/>
      <c r="ONS387" s="1317"/>
      <c r="ONT387" s="1317"/>
      <c r="ONU387" s="1317"/>
      <c r="ONV387" s="1317"/>
      <c r="ONW387" s="1317"/>
      <c r="ONX387" s="1317"/>
      <c r="ONY387" s="1317"/>
      <c r="ONZ387" s="1317"/>
      <c r="OOA387" s="1317"/>
      <c r="OOB387" s="1317"/>
      <c r="OOC387" s="1317"/>
      <c r="OOD387" s="1317"/>
      <c r="OOE387" s="1317"/>
      <c r="OOF387" s="1317"/>
      <c r="OOG387" s="1317"/>
      <c r="OOH387" s="1317"/>
      <c r="OOI387" s="1317"/>
      <c r="OOJ387" s="1317"/>
      <c r="OOK387" s="1317"/>
      <c r="OOL387" s="1317"/>
      <c r="OOM387" s="1317"/>
      <c r="OON387" s="1317"/>
      <c r="OOO387" s="1317"/>
      <c r="OOP387" s="1317"/>
      <c r="OOQ387" s="1317"/>
      <c r="OOR387" s="1317"/>
      <c r="OOS387" s="1317"/>
      <c r="OOT387" s="1317"/>
      <c r="OOU387" s="1317"/>
      <c r="OOV387" s="1317"/>
      <c r="OOW387" s="1317"/>
      <c r="OOX387" s="1317"/>
      <c r="OOY387" s="1317"/>
      <c r="OOZ387" s="1317"/>
      <c r="OPA387" s="1317"/>
      <c r="OPB387" s="1317"/>
      <c r="OPC387" s="1317"/>
      <c r="OPD387" s="1317"/>
      <c r="OPE387" s="1317"/>
      <c r="OPF387" s="1317"/>
      <c r="OPG387" s="1317"/>
      <c r="OPH387" s="1317"/>
      <c r="OPI387" s="1317"/>
      <c r="OPJ387" s="1317"/>
      <c r="OPK387" s="1317"/>
      <c r="OPL387" s="1317"/>
      <c r="OPM387" s="1317"/>
      <c r="OPN387" s="1317"/>
      <c r="OPO387" s="1317"/>
      <c r="OPP387" s="1317"/>
      <c r="OPQ387" s="1317"/>
      <c r="OPR387" s="1317"/>
      <c r="OPS387" s="1317"/>
      <c r="OPT387" s="1317"/>
      <c r="OPU387" s="1317"/>
      <c r="OPV387" s="1317"/>
      <c r="OPW387" s="1317"/>
      <c r="OPX387" s="1317"/>
      <c r="OPY387" s="1317"/>
      <c r="OPZ387" s="1317"/>
      <c r="OQA387" s="1317"/>
      <c r="OQB387" s="1317"/>
      <c r="OQC387" s="1317"/>
      <c r="OQD387" s="1317"/>
      <c r="OQE387" s="1317"/>
      <c r="OQF387" s="1317"/>
      <c r="OQG387" s="1317"/>
      <c r="OQH387" s="1317"/>
      <c r="OQI387" s="1317"/>
      <c r="OQJ387" s="1317"/>
      <c r="OQK387" s="1317"/>
      <c r="OQL387" s="1317"/>
      <c r="OQM387" s="1317"/>
      <c r="OQN387" s="1317"/>
      <c r="OQO387" s="1317"/>
      <c r="OQP387" s="1317"/>
      <c r="OQQ387" s="1317"/>
      <c r="OQR387" s="1317"/>
      <c r="OQS387" s="1317"/>
      <c r="OQT387" s="1317"/>
      <c r="OQU387" s="1317"/>
      <c r="OQV387" s="1317"/>
      <c r="OQW387" s="1317"/>
      <c r="OQX387" s="1317"/>
      <c r="OQY387" s="1317"/>
      <c r="OQZ387" s="1317"/>
      <c r="ORA387" s="1317"/>
      <c r="ORB387" s="1317"/>
      <c r="ORC387" s="1317"/>
      <c r="ORD387" s="1317"/>
      <c r="ORE387" s="1317"/>
      <c r="ORF387" s="1317"/>
      <c r="ORG387" s="1317"/>
      <c r="ORH387" s="1317"/>
      <c r="ORI387" s="1317"/>
      <c r="ORJ387" s="1317"/>
      <c r="ORK387" s="1317"/>
      <c r="ORL387" s="1317"/>
      <c r="ORM387" s="1317"/>
      <c r="ORN387" s="1317"/>
      <c r="ORO387" s="1317"/>
      <c r="ORP387" s="1317"/>
      <c r="ORQ387" s="1317"/>
      <c r="ORR387" s="1317"/>
      <c r="ORS387" s="1317"/>
      <c r="ORT387" s="1317"/>
      <c r="ORU387" s="1317"/>
      <c r="ORV387" s="1317"/>
      <c r="ORW387" s="1317"/>
      <c r="ORX387" s="1317"/>
      <c r="ORY387" s="1317"/>
      <c r="ORZ387" s="1317"/>
      <c r="OSA387" s="1317"/>
      <c r="OSB387" s="1317"/>
      <c r="OSC387" s="1317"/>
      <c r="OSD387" s="1317"/>
      <c r="OSE387" s="1317"/>
      <c r="OSF387" s="1317"/>
      <c r="OSG387" s="1317"/>
      <c r="OSH387" s="1317"/>
      <c r="OSI387" s="1317"/>
      <c r="OSJ387" s="1317"/>
      <c r="OSK387" s="1317"/>
      <c r="OSL387" s="1317"/>
      <c r="OSM387" s="1317"/>
      <c r="OSN387" s="1317"/>
      <c r="OSO387" s="1317"/>
      <c r="OSP387" s="1317"/>
      <c r="OSQ387" s="1317"/>
      <c r="OSR387" s="1317"/>
      <c r="OSS387" s="1317"/>
      <c r="OST387" s="1317"/>
      <c r="OSU387" s="1317"/>
      <c r="OSV387" s="1317"/>
      <c r="OSW387" s="1317"/>
      <c r="OSX387" s="1317"/>
      <c r="OSY387" s="1317"/>
      <c r="OSZ387" s="1317"/>
      <c r="OTA387" s="1317"/>
      <c r="OTB387" s="1317"/>
      <c r="OTC387" s="1317"/>
      <c r="OTD387" s="1317"/>
      <c r="OTE387" s="1317"/>
      <c r="OTF387" s="1317"/>
      <c r="OTG387" s="1317"/>
      <c r="OTH387" s="1317"/>
      <c r="OTI387" s="1317"/>
      <c r="OTJ387" s="1317"/>
      <c r="OTK387" s="1317"/>
      <c r="OTL387" s="1317"/>
      <c r="OTM387" s="1317"/>
      <c r="OTN387" s="1317"/>
      <c r="OTO387" s="1317"/>
      <c r="OTP387" s="1317"/>
      <c r="OTQ387" s="1317"/>
      <c r="OTR387" s="1317"/>
      <c r="OTS387" s="1317"/>
      <c r="OTT387" s="1317"/>
      <c r="OTU387" s="1317"/>
      <c r="OTV387" s="1317"/>
      <c r="OTW387" s="1317"/>
      <c r="OTX387" s="1317"/>
      <c r="OTY387" s="1317"/>
      <c r="OTZ387" s="1317"/>
      <c r="OUA387" s="1317"/>
      <c r="OUB387" s="1317"/>
      <c r="OUC387" s="1317"/>
      <c r="OUD387" s="1317"/>
      <c r="OUE387" s="1317"/>
      <c r="OUF387" s="1317"/>
      <c r="OUG387" s="1317"/>
      <c r="OUH387" s="1317"/>
      <c r="OUI387" s="1317"/>
      <c r="OUJ387" s="1317"/>
      <c r="OUK387" s="1317"/>
      <c r="OUL387" s="1317"/>
      <c r="OUM387" s="1317"/>
      <c r="OUN387" s="1317"/>
      <c r="OUO387" s="1317"/>
      <c r="OUP387" s="1317"/>
      <c r="OUQ387" s="1317"/>
      <c r="OUR387" s="1317"/>
      <c r="OUS387" s="1317"/>
      <c r="OUT387" s="1317"/>
      <c r="OUU387" s="1317"/>
      <c r="OUV387" s="1317"/>
      <c r="OUW387" s="1317"/>
      <c r="OUX387" s="1317"/>
      <c r="OUY387" s="1317"/>
      <c r="OUZ387" s="1317"/>
      <c r="OVA387" s="1317"/>
      <c r="OVB387" s="1317"/>
      <c r="OVC387" s="1317"/>
      <c r="OVD387" s="1317"/>
      <c r="OVE387" s="1317"/>
      <c r="OVF387" s="1317"/>
      <c r="OVG387" s="1317"/>
      <c r="OVH387" s="1317"/>
      <c r="OVI387" s="1317"/>
      <c r="OVJ387" s="1317"/>
      <c r="OVK387" s="1317"/>
      <c r="OVL387" s="1317"/>
      <c r="OVM387" s="1317"/>
      <c r="OVN387" s="1317"/>
      <c r="OVO387" s="1317"/>
      <c r="OVP387" s="1317"/>
      <c r="OVQ387" s="1317"/>
      <c r="OVR387" s="1317"/>
      <c r="OVS387" s="1317"/>
      <c r="OVT387" s="1317"/>
      <c r="OVU387" s="1317"/>
      <c r="OVV387" s="1317"/>
      <c r="OVW387" s="1317"/>
      <c r="OVX387" s="1317"/>
      <c r="OVY387" s="1317"/>
      <c r="OVZ387" s="1317"/>
      <c r="OWA387" s="1317"/>
      <c r="OWB387" s="1317"/>
      <c r="OWC387" s="1317"/>
      <c r="OWD387" s="1317"/>
      <c r="OWE387" s="1317"/>
      <c r="OWF387" s="1317"/>
      <c r="OWG387" s="1317"/>
      <c r="OWH387" s="1317"/>
      <c r="OWI387" s="1317"/>
      <c r="OWJ387" s="1317"/>
      <c r="OWK387" s="1317"/>
      <c r="OWL387" s="1317"/>
      <c r="OWM387" s="1317"/>
      <c r="OWN387" s="1317"/>
      <c r="OWO387" s="1317"/>
      <c r="OWP387" s="1317"/>
      <c r="OWQ387" s="1317"/>
      <c r="OWR387" s="1317"/>
      <c r="OWS387" s="1317"/>
      <c r="OWT387" s="1317"/>
      <c r="OWU387" s="1317"/>
      <c r="OWV387" s="1317"/>
      <c r="OWW387" s="1317"/>
      <c r="OWX387" s="1317"/>
      <c r="OWY387" s="1317"/>
      <c r="OWZ387" s="1317"/>
      <c r="OXA387" s="1317"/>
      <c r="OXB387" s="1317"/>
      <c r="OXC387" s="1317"/>
      <c r="OXD387" s="1317"/>
      <c r="OXE387" s="1317"/>
      <c r="OXF387" s="1317"/>
      <c r="OXG387" s="1317"/>
      <c r="OXH387" s="1317"/>
      <c r="OXI387" s="1317"/>
      <c r="OXJ387" s="1317"/>
      <c r="OXK387" s="1317"/>
      <c r="OXL387" s="1317"/>
      <c r="OXM387" s="1317"/>
      <c r="OXN387" s="1317"/>
      <c r="OXO387" s="1317"/>
      <c r="OXP387" s="1317"/>
      <c r="OXQ387" s="1317"/>
      <c r="OXR387" s="1317"/>
      <c r="OXS387" s="1317"/>
      <c r="OXT387" s="1317"/>
      <c r="OXU387" s="1317"/>
      <c r="OXV387" s="1317"/>
      <c r="OXW387" s="1317"/>
      <c r="OXX387" s="1317"/>
      <c r="OXY387" s="1317"/>
      <c r="OXZ387" s="1317"/>
      <c r="OYA387" s="1317"/>
      <c r="OYB387" s="1317"/>
      <c r="OYC387" s="1317"/>
      <c r="OYD387" s="1317"/>
      <c r="OYE387" s="1317"/>
      <c r="OYF387" s="1317"/>
      <c r="OYG387" s="1317"/>
      <c r="OYH387" s="1317"/>
      <c r="OYI387" s="1317"/>
      <c r="OYJ387" s="1317"/>
      <c r="OYK387" s="1317"/>
      <c r="OYL387" s="1317"/>
      <c r="OYM387" s="1317"/>
      <c r="OYN387" s="1317"/>
      <c r="OYO387" s="1317"/>
      <c r="OYP387" s="1317"/>
      <c r="OYQ387" s="1317"/>
      <c r="OYR387" s="1317"/>
      <c r="OYS387" s="1317"/>
      <c r="OYT387" s="1317"/>
      <c r="OYU387" s="1317"/>
      <c r="OYV387" s="1317"/>
      <c r="OYW387" s="1317"/>
      <c r="OYX387" s="1317"/>
      <c r="OYY387" s="1317"/>
      <c r="OYZ387" s="1317"/>
      <c r="OZA387" s="1317"/>
      <c r="OZB387" s="1317"/>
      <c r="OZC387" s="1317"/>
      <c r="OZD387" s="1317"/>
      <c r="OZE387" s="1317"/>
      <c r="OZF387" s="1317"/>
      <c r="OZG387" s="1317"/>
      <c r="OZH387" s="1317"/>
      <c r="OZI387" s="1317"/>
      <c r="OZJ387" s="1317"/>
      <c r="OZK387" s="1317"/>
      <c r="OZL387" s="1317"/>
      <c r="OZM387" s="1317"/>
      <c r="OZN387" s="1317"/>
      <c r="OZO387" s="1317"/>
      <c r="OZP387" s="1317"/>
      <c r="OZQ387" s="1317"/>
      <c r="OZR387" s="1317"/>
      <c r="OZS387" s="1317"/>
      <c r="OZT387" s="1317"/>
      <c r="OZU387" s="1317"/>
      <c r="OZV387" s="1317"/>
      <c r="OZW387" s="1317"/>
      <c r="OZX387" s="1317"/>
      <c r="OZY387" s="1317"/>
      <c r="OZZ387" s="1317"/>
      <c r="PAA387" s="1317"/>
      <c r="PAB387" s="1317"/>
      <c r="PAC387" s="1317"/>
      <c r="PAD387" s="1317"/>
      <c r="PAE387" s="1317"/>
      <c r="PAF387" s="1317"/>
      <c r="PAG387" s="1317"/>
      <c r="PAH387" s="1317"/>
      <c r="PAI387" s="1317"/>
      <c r="PAJ387" s="1317"/>
      <c r="PAK387" s="1317"/>
      <c r="PAL387" s="1317"/>
      <c r="PAM387" s="1317"/>
      <c r="PAN387" s="1317"/>
      <c r="PAO387" s="1317"/>
      <c r="PAP387" s="1317"/>
      <c r="PAQ387" s="1317"/>
      <c r="PAR387" s="1317"/>
      <c r="PAS387" s="1317"/>
      <c r="PAT387" s="1317"/>
      <c r="PAU387" s="1317"/>
      <c r="PAV387" s="1317"/>
      <c r="PAW387" s="1317"/>
      <c r="PAX387" s="1317"/>
      <c r="PAY387" s="1317"/>
      <c r="PAZ387" s="1317"/>
      <c r="PBA387" s="1317"/>
      <c r="PBB387" s="1317"/>
      <c r="PBC387" s="1317"/>
      <c r="PBD387" s="1317"/>
      <c r="PBE387" s="1317"/>
      <c r="PBF387" s="1317"/>
      <c r="PBG387" s="1317"/>
      <c r="PBH387" s="1317"/>
      <c r="PBI387" s="1317"/>
      <c r="PBJ387" s="1317"/>
      <c r="PBK387" s="1317"/>
      <c r="PBL387" s="1317"/>
      <c r="PBM387" s="1317"/>
      <c r="PBN387" s="1317"/>
      <c r="PBO387" s="1317"/>
      <c r="PBP387" s="1317"/>
      <c r="PBQ387" s="1317"/>
      <c r="PBR387" s="1317"/>
      <c r="PBS387" s="1317"/>
      <c r="PBT387" s="1317"/>
      <c r="PBU387" s="1317"/>
      <c r="PBV387" s="1317"/>
      <c r="PBW387" s="1317"/>
      <c r="PBX387" s="1317"/>
      <c r="PBY387" s="1317"/>
      <c r="PBZ387" s="1317"/>
      <c r="PCA387" s="1317"/>
      <c r="PCB387" s="1317"/>
      <c r="PCC387" s="1317"/>
      <c r="PCD387" s="1317"/>
      <c r="PCE387" s="1317"/>
      <c r="PCF387" s="1317"/>
      <c r="PCG387" s="1317"/>
      <c r="PCH387" s="1317"/>
      <c r="PCI387" s="1317"/>
      <c r="PCJ387" s="1317"/>
      <c r="PCK387" s="1317"/>
      <c r="PCL387" s="1317"/>
      <c r="PCM387" s="1317"/>
      <c r="PCN387" s="1317"/>
      <c r="PCO387" s="1317"/>
      <c r="PCP387" s="1317"/>
      <c r="PCQ387" s="1317"/>
      <c r="PCR387" s="1317"/>
      <c r="PCS387" s="1317"/>
      <c r="PCT387" s="1317"/>
      <c r="PCU387" s="1317"/>
      <c r="PCV387" s="1317"/>
      <c r="PCW387" s="1317"/>
      <c r="PCX387" s="1317"/>
      <c r="PCY387" s="1317"/>
      <c r="PCZ387" s="1317"/>
      <c r="PDA387" s="1317"/>
      <c r="PDB387" s="1317"/>
      <c r="PDC387" s="1317"/>
      <c r="PDD387" s="1317"/>
      <c r="PDE387" s="1317"/>
      <c r="PDF387" s="1317"/>
      <c r="PDG387" s="1317"/>
      <c r="PDH387" s="1317"/>
      <c r="PDI387" s="1317"/>
      <c r="PDJ387" s="1317"/>
      <c r="PDK387" s="1317"/>
      <c r="PDL387" s="1317"/>
      <c r="PDM387" s="1317"/>
      <c r="PDN387" s="1317"/>
      <c r="PDO387" s="1317"/>
      <c r="PDP387" s="1317"/>
      <c r="PDQ387" s="1317"/>
      <c r="PDR387" s="1317"/>
      <c r="PDS387" s="1317"/>
      <c r="PDT387" s="1317"/>
      <c r="PDU387" s="1317"/>
      <c r="PDV387" s="1317"/>
      <c r="PDW387" s="1317"/>
      <c r="PDX387" s="1317"/>
      <c r="PDY387" s="1317"/>
      <c r="PDZ387" s="1317"/>
      <c r="PEA387" s="1317"/>
      <c r="PEB387" s="1317"/>
      <c r="PEC387" s="1317"/>
      <c r="PED387" s="1317"/>
      <c r="PEE387" s="1317"/>
      <c r="PEF387" s="1317"/>
      <c r="PEG387" s="1317"/>
      <c r="PEH387" s="1317"/>
      <c r="PEI387" s="1317"/>
      <c r="PEJ387" s="1317"/>
      <c r="PEK387" s="1317"/>
      <c r="PEL387" s="1317"/>
      <c r="PEM387" s="1317"/>
      <c r="PEN387" s="1317"/>
      <c r="PEO387" s="1317"/>
      <c r="PEP387" s="1317"/>
      <c r="PEQ387" s="1317"/>
      <c r="PER387" s="1317"/>
      <c r="PES387" s="1317"/>
      <c r="PET387" s="1317"/>
      <c r="PEU387" s="1317"/>
      <c r="PEV387" s="1317"/>
      <c r="PEW387" s="1317"/>
      <c r="PEX387" s="1317"/>
      <c r="PEY387" s="1317"/>
      <c r="PEZ387" s="1317"/>
      <c r="PFA387" s="1317"/>
      <c r="PFB387" s="1317"/>
      <c r="PFC387" s="1317"/>
      <c r="PFD387" s="1317"/>
      <c r="PFE387" s="1317"/>
      <c r="PFF387" s="1317"/>
      <c r="PFG387" s="1317"/>
      <c r="PFH387" s="1317"/>
      <c r="PFI387" s="1317"/>
      <c r="PFJ387" s="1317"/>
      <c r="PFK387" s="1317"/>
      <c r="PFL387" s="1317"/>
      <c r="PFM387" s="1317"/>
      <c r="PFN387" s="1317"/>
      <c r="PFO387" s="1317"/>
      <c r="PFP387" s="1317"/>
      <c r="PFQ387" s="1317"/>
      <c r="PFR387" s="1317"/>
      <c r="PFS387" s="1317"/>
      <c r="PFT387" s="1317"/>
      <c r="PFU387" s="1317"/>
      <c r="PFV387" s="1317"/>
      <c r="PFW387" s="1317"/>
      <c r="PFX387" s="1317"/>
      <c r="PFY387" s="1317"/>
      <c r="PFZ387" s="1317"/>
      <c r="PGA387" s="1317"/>
      <c r="PGB387" s="1317"/>
      <c r="PGC387" s="1317"/>
      <c r="PGD387" s="1317"/>
      <c r="PGE387" s="1317"/>
      <c r="PGF387" s="1317"/>
      <c r="PGG387" s="1317"/>
      <c r="PGH387" s="1317"/>
      <c r="PGI387" s="1317"/>
      <c r="PGJ387" s="1317"/>
      <c r="PGK387" s="1317"/>
      <c r="PGL387" s="1317"/>
      <c r="PGM387" s="1317"/>
      <c r="PGN387" s="1317"/>
      <c r="PGO387" s="1317"/>
      <c r="PGP387" s="1317"/>
      <c r="PGQ387" s="1317"/>
      <c r="PGR387" s="1317"/>
      <c r="PGS387" s="1317"/>
      <c r="PGT387" s="1317"/>
      <c r="PGU387" s="1317"/>
      <c r="PGV387" s="1317"/>
      <c r="PGW387" s="1317"/>
      <c r="PGX387" s="1317"/>
      <c r="PGY387" s="1317"/>
      <c r="PGZ387" s="1317"/>
      <c r="PHA387" s="1317"/>
      <c r="PHB387" s="1317"/>
      <c r="PHC387" s="1317"/>
      <c r="PHD387" s="1317"/>
      <c r="PHE387" s="1317"/>
      <c r="PHF387" s="1317"/>
      <c r="PHG387" s="1317"/>
      <c r="PHH387" s="1317"/>
      <c r="PHI387" s="1317"/>
      <c r="PHJ387" s="1317"/>
      <c r="PHK387" s="1317"/>
      <c r="PHL387" s="1317"/>
      <c r="PHM387" s="1317"/>
      <c r="PHN387" s="1317"/>
      <c r="PHO387" s="1317"/>
      <c r="PHP387" s="1317"/>
      <c r="PHQ387" s="1317"/>
      <c r="PHR387" s="1317"/>
      <c r="PHS387" s="1317"/>
      <c r="PHT387" s="1317"/>
      <c r="PHU387" s="1317"/>
      <c r="PHV387" s="1317"/>
      <c r="PHW387" s="1317"/>
      <c r="PHX387" s="1317"/>
      <c r="PHY387" s="1317"/>
      <c r="PHZ387" s="1317"/>
      <c r="PIA387" s="1317"/>
      <c r="PIB387" s="1317"/>
      <c r="PIC387" s="1317"/>
      <c r="PID387" s="1317"/>
      <c r="PIE387" s="1317"/>
      <c r="PIF387" s="1317"/>
      <c r="PIG387" s="1317"/>
      <c r="PIH387" s="1317"/>
      <c r="PII387" s="1317"/>
      <c r="PIJ387" s="1317"/>
      <c r="PIK387" s="1317"/>
      <c r="PIL387" s="1317"/>
      <c r="PIM387" s="1317"/>
      <c r="PIN387" s="1317"/>
      <c r="PIO387" s="1317"/>
      <c r="PIP387" s="1317"/>
      <c r="PIQ387" s="1317"/>
      <c r="PIR387" s="1317"/>
      <c r="PIS387" s="1317"/>
      <c r="PIT387" s="1317"/>
      <c r="PIU387" s="1317"/>
      <c r="PIV387" s="1317"/>
      <c r="PIW387" s="1317"/>
      <c r="PIX387" s="1317"/>
      <c r="PIY387" s="1317"/>
      <c r="PIZ387" s="1317"/>
      <c r="PJA387" s="1317"/>
      <c r="PJB387" s="1317"/>
      <c r="PJC387" s="1317"/>
      <c r="PJD387" s="1317"/>
      <c r="PJE387" s="1317"/>
      <c r="PJF387" s="1317"/>
      <c r="PJG387" s="1317"/>
      <c r="PJH387" s="1317"/>
      <c r="PJI387" s="1317"/>
      <c r="PJJ387" s="1317"/>
      <c r="PJK387" s="1317"/>
      <c r="PJL387" s="1317"/>
      <c r="PJM387" s="1317"/>
      <c r="PJN387" s="1317"/>
      <c r="PJO387" s="1317"/>
      <c r="PJP387" s="1317"/>
      <c r="PJQ387" s="1317"/>
      <c r="PJR387" s="1317"/>
      <c r="PJS387" s="1317"/>
      <c r="PJT387" s="1317"/>
      <c r="PJU387" s="1317"/>
      <c r="PJV387" s="1317"/>
      <c r="PJW387" s="1317"/>
      <c r="PJX387" s="1317"/>
      <c r="PJY387" s="1317"/>
      <c r="PJZ387" s="1317"/>
      <c r="PKA387" s="1317"/>
      <c r="PKB387" s="1317"/>
      <c r="PKC387" s="1317"/>
      <c r="PKD387" s="1317"/>
      <c r="PKE387" s="1317"/>
      <c r="PKF387" s="1317"/>
      <c r="PKG387" s="1317"/>
      <c r="PKH387" s="1317"/>
      <c r="PKI387" s="1317"/>
      <c r="PKJ387" s="1317"/>
      <c r="PKK387" s="1317"/>
      <c r="PKL387" s="1317"/>
      <c r="PKM387" s="1317"/>
      <c r="PKN387" s="1317"/>
      <c r="PKO387" s="1317"/>
      <c r="PKP387" s="1317"/>
      <c r="PKQ387" s="1317"/>
      <c r="PKR387" s="1317"/>
      <c r="PKS387" s="1317"/>
      <c r="PKT387" s="1317"/>
      <c r="PKU387" s="1317"/>
      <c r="PKV387" s="1317"/>
      <c r="PKW387" s="1317"/>
      <c r="PKX387" s="1317"/>
      <c r="PKY387" s="1317"/>
      <c r="PKZ387" s="1317"/>
      <c r="PLA387" s="1317"/>
      <c r="PLB387" s="1317"/>
      <c r="PLC387" s="1317"/>
      <c r="PLD387" s="1317"/>
      <c r="PLE387" s="1317"/>
      <c r="PLF387" s="1317"/>
      <c r="PLG387" s="1317"/>
      <c r="PLH387" s="1317"/>
      <c r="PLI387" s="1317"/>
      <c r="PLJ387" s="1317"/>
      <c r="PLK387" s="1317"/>
      <c r="PLL387" s="1317"/>
      <c r="PLM387" s="1317"/>
      <c r="PLN387" s="1317"/>
      <c r="PLO387" s="1317"/>
      <c r="PLP387" s="1317"/>
      <c r="PLQ387" s="1317"/>
      <c r="PLR387" s="1317"/>
      <c r="PLS387" s="1317"/>
      <c r="PLT387" s="1317"/>
      <c r="PLU387" s="1317"/>
      <c r="PLV387" s="1317"/>
      <c r="PLW387" s="1317"/>
      <c r="PLX387" s="1317"/>
      <c r="PLY387" s="1317"/>
      <c r="PLZ387" s="1317"/>
      <c r="PMA387" s="1317"/>
      <c r="PMB387" s="1317"/>
      <c r="PMC387" s="1317"/>
      <c r="PMD387" s="1317"/>
      <c r="PME387" s="1317"/>
      <c r="PMF387" s="1317"/>
      <c r="PMG387" s="1317"/>
      <c r="PMH387" s="1317"/>
      <c r="PMI387" s="1317"/>
      <c r="PMJ387" s="1317"/>
      <c r="PMK387" s="1317"/>
      <c r="PML387" s="1317"/>
      <c r="PMM387" s="1317"/>
      <c r="PMN387" s="1317"/>
      <c r="PMO387" s="1317"/>
      <c r="PMP387" s="1317"/>
      <c r="PMQ387" s="1317"/>
      <c r="PMR387" s="1317"/>
      <c r="PMS387" s="1317"/>
      <c r="PMT387" s="1317"/>
      <c r="PMU387" s="1317"/>
      <c r="PMV387" s="1317"/>
      <c r="PMW387" s="1317"/>
      <c r="PMX387" s="1317"/>
      <c r="PMY387" s="1317"/>
      <c r="PMZ387" s="1317"/>
      <c r="PNA387" s="1317"/>
      <c r="PNB387" s="1317"/>
      <c r="PNC387" s="1317"/>
      <c r="PND387" s="1317"/>
      <c r="PNE387" s="1317"/>
      <c r="PNF387" s="1317"/>
      <c r="PNG387" s="1317"/>
      <c r="PNH387" s="1317"/>
      <c r="PNI387" s="1317"/>
      <c r="PNJ387" s="1317"/>
      <c r="PNK387" s="1317"/>
      <c r="PNL387" s="1317"/>
      <c r="PNM387" s="1317"/>
      <c r="PNN387" s="1317"/>
      <c r="PNO387" s="1317"/>
      <c r="PNP387" s="1317"/>
      <c r="PNQ387" s="1317"/>
      <c r="PNR387" s="1317"/>
      <c r="PNS387" s="1317"/>
      <c r="PNT387" s="1317"/>
      <c r="PNU387" s="1317"/>
      <c r="PNV387" s="1317"/>
      <c r="PNW387" s="1317"/>
      <c r="PNX387" s="1317"/>
      <c r="PNY387" s="1317"/>
      <c r="PNZ387" s="1317"/>
      <c r="POA387" s="1317"/>
      <c r="POB387" s="1317"/>
      <c r="POC387" s="1317"/>
      <c r="POD387" s="1317"/>
      <c r="POE387" s="1317"/>
      <c r="POF387" s="1317"/>
      <c r="POG387" s="1317"/>
      <c r="POH387" s="1317"/>
      <c r="POI387" s="1317"/>
      <c r="POJ387" s="1317"/>
      <c r="POK387" s="1317"/>
      <c r="POL387" s="1317"/>
      <c r="POM387" s="1317"/>
      <c r="PON387" s="1317"/>
      <c r="POO387" s="1317"/>
      <c r="POP387" s="1317"/>
      <c r="POQ387" s="1317"/>
      <c r="POR387" s="1317"/>
      <c r="POS387" s="1317"/>
      <c r="POT387" s="1317"/>
      <c r="POU387" s="1317"/>
      <c r="POV387" s="1317"/>
      <c r="POW387" s="1317"/>
      <c r="POX387" s="1317"/>
      <c r="POY387" s="1317"/>
      <c r="POZ387" s="1317"/>
      <c r="PPA387" s="1317"/>
      <c r="PPB387" s="1317"/>
      <c r="PPC387" s="1317"/>
      <c r="PPD387" s="1317"/>
      <c r="PPE387" s="1317"/>
      <c r="PPF387" s="1317"/>
      <c r="PPG387" s="1317"/>
      <c r="PPH387" s="1317"/>
      <c r="PPI387" s="1317"/>
      <c r="PPJ387" s="1317"/>
      <c r="PPK387" s="1317"/>
      <c r="PPL387" s="1317"/>
      <c r="PPM387" s="1317"/>
      <c r="PPN387" s="1317"/>
      <c r="PPO387" s="1317"/>
      <c r="PPP387" s="1317"/>
      <c r="PPQ387" s="1317"/>
      <c r="PPR387" s="1317"/>
      <c r="PPS387" s="1317"/>
      <c r="PPT387" s="1317"/>
      <c r="PPU387" s="1317"/>
      <c r="PPV387" s="1317"/>
      <c r="PPW387" s="1317"/>
      <c r="PPX387" s="1317"/>
      <c r="PPY387" s="1317"/>
      <c r="PPZ387" s="1317"/>
      <c r="PQA387" s="1317"/>
      <c r="PQB387" s="1317"/>
      <c r="PQC387" s="1317"/>
      <c r="PQD387" s="1317"/>
      <c r="PQE387" s="1317"/>
      <c r="PQF387" s="1317"/>
      <c r="PQG387" s="1317"/>
      <c r="PQH387" s="1317"/>
      <c r="PQI387" s="1317"/>
      <c r="PQJ387" s="1317"/>
      <c r="PQK387" s="1317"/>
      <c r="PQL387" s="1317"/>
      <c r="PQM387" s="1317"/>
      <c r="PQN387" s="1317"/>
      <c r="PQO387" s="1317"/>
      <c r="PQP387" s="1317"/>
      <c r="PQQ387" s="1317"/>
      <c r="PQR387" s="1317"/>
      <c r="PQS387" s="1317"/>
      <c r="PQT387" s="1317"/>
      <c r="PQU387" s="1317"/>
      <c r="PQV387" s="1317"/>
      <c r="PQW387" s="1317"/>
      <c r="PQX387" s="1317"/>
      <c r="PQY387" s="1317"/>
      <c r="PQZ387" s="1317"/>
      <c r="PRA387" s="1317"/>
      <c r="PRB387" s="1317"/>
      <c r="PRC387" s="1317"/>
      <c r="PRD387" s="1317"/>
      <c r="PRE387" s="1317"/>
      <c r="PRF387" s="1317"/>
      <c r="PRG387" s="1317"/>
      <c r="PRH387" s="1317"/>
      <c r="PRI387" s="1317"/>
      <c r="PRJ387" s="1317"/>
      <c r="PRK387" s="1317"/>
      <c r="PRL387" s="1317"/>
      <c r="PRM387" s="1317"/>
      <c r="PRN387" s="1317"/>
      <c r="PRO387" s="1317"/>
      <c r="PRP387" s="1317"/>
      <c r="PRQ387" s="1317"/>
      <c r="PRR387" s="1317"/>
      <c r="PRS387" s="1317"/>
      <c r="PRT387" s="1317"/>
      <c r="PRU387" s="1317"/>
      <c r="PRV387" s="1317"/>
      <c r="PRW387" s="1317"/>
      <c r="PRX387" s="1317"/>
      <c r="PRY387" s="1317"/>
      <c r="PRZ387" s="1317"/>
      <c r="PSA387" s="1317"/>
      <c r="PSB387" s="1317"/>
      <c r="PSC387" s="1317"/>
      <c r="PSD387" s="1317"/>
      <c r="PSE387" s="1317"/>
      <c r="PSF387" s="1317"/>
      <c r="PSG387" s="1317"/>
      <c r="PSH387" s="1317"/>
      <c r="PSI387" s="1317"/>
      <c r="PSJ387" s="1317"/>
      <c r="PSK387" s="1317"/>
      <c r="PSL387" s="1317"/>
      <c r="PSM387" s="1317"/>
      <c r="PSN387" s="1317"/>
      <c r="PSO387" s="1317"/>
      <c r="PSP387" s="1317"/>
      <c r="PSQ387" s="1317"/>
      <c r="PSR387" s="1317"/>
      <c r="PSS387" s="1317"/>
      <c r="PST387" s="1317"/>
      <c r="PSU387" s="1317"/>
      <c r="PSV387" s="1317"/>
      <c r="PSW387" s="1317"/>
      <c r="PSX387" s="1317"/>
      <c r="PSY387" s="1317"/>
      <c r="PSZ387" s="1317"/>
      <c r="PTA387" s="1317"/>
      <c r="PTB387" s="1317"/>
      <c r="PTC387" s="1317"/>
      <c r="PTD387" s="1317"/>
      <c r="PTE387" s="1317"/>
      <c r="PTF387" s="1317"/>
      <c r="PTG387" s="1317"/>
      <c r="PTH387" s="1317"/>
      <c r="PTI387" s="1317"/>
      <c r="PTJ387" s="1317"/>
      <c r="PTK387" s="1317"/>
      <c r="PTL387" s="1317"/>
      <c r="PTM387" s="1317"/>
      <c r="PTN387" s="1317"/>
      <c r="PTO387" s="1317"/>
      <c r="PTP387" s="1317"/>
      <c r="PTQ387" s="1317"/>
      <c r="PTR387" s="1317"/>
      <c r="PTS387" s="1317"/>
      <c r="PTT387" s="1317"/>
      <c r="PTU387" s="1317"/>
      <c r="PTV387" s="1317"/>
      <c r="PTW387" s="1317"/>
      <c r="PTX387" s="1317"/>
      <c r="PTY387" s="1317"/>
      <c r="PTZ387" s="1317"/>
      <c r="PUA387" s="1317"/>
      <c r="PUB387" s="1317"/>
      <c r="PUC387" s="1317"/>
      <c r="PUD387" s="1317"/>
      <c r="PUE387" s="1317"/>
      <c r="PUF387" s="1317"/>
      <c r="PUG387" s="1317"/>
      <c r="PUH387" s="1317"/>
      <c r="PUI387" s="1317"/>
      <c r="PUJ387" s="1317"/>
      <c r="PUK387" s="1317"/>
      <c r="PUL387" s="1317"/>
      <c r="PUM387" s="1317"/>
      <c r="PUN387" s="1317"/>
      <c r="PUO387" s="1317"/>
      <c r="PUP387" s="1317"/>
      <c r="PUQ387" s="1317"/>
      <c r="PUR387" s="1317"/>
      <c r="PUS387" s="1317"/>
      <c r="PUT387" s="1317"/>
      <c r="PUU387" s="1317"/>
      <c r="PUV387" s="1317"/>
      <c r="PUW387" s="1317"/>
      <c r="PUX387" s="1317"/>
      <c r="PUY387" s="1317"/>
      <c r="PUZ387" s="1317"/>
      <c r="PVA387" s="1317"/>
      <c r="PVB387" s="1317"/>
      <c r="PVC387" s="1317"/>
      <c r="PVD387" s="1317"/>
      <c r="PVE387" s="1317"/>
      <c r="PVF387" s="1317"/>
      <c r="PVG387" s="1317"/>
      <c r="PVH387" s="1317"/>
      <c r="PVI387" s="1317"/>
      <c r="PVJ387" s="1317"/>
      <c r="PVK387" s="1317"/>
      <c r="PVL387" s="1317"/>
      <c r="PVM387" s="1317"/>
      <c r="PVN387" s="1317"/>
      <c r="PVO387" s="1317"/>
      <c r="PVP387" s="1317"/>
      <c r="PVQ387" s="1317"/>
      <c r="PVR387" s="1317"/>
      <c r="PVS387" s="1317"/>
      <c r="PVT387" s="1317"/>
      <c r="PVU387" s="1317"/>
      <c r="PVV387" s="1317"/>
      <c r="PVW387" s="1317"/>
      <c r="PVX387" s="1317"/>
      <c r="PVY387" s="1317"/>
      <c r="PVZ387" s="1317"/>
      <c r="PWA387" s="1317"/>
      <c r="PWB387" s="1317"/>
      <c r="PWC387" s="1317"/>
      <c r="PWD387" s="1317"/>
      <c r="PWE387" s="1317"/>
      <c r="PWF387" s="1317"/>
      <c r="PWG387" s="1317"/>
      <c r="PWH387" s="1317"/>
      <c r="PWI387" s="1317"/>
      <c r="PWJ387" s="1317"/>
      <c r="PWK387" s="1317"/>
      <c r="PWL387" s="1317"/>
      <c r="PWM387" s="1317"/>
      <c r="PWN387" s="1317"/>
      <c r="PWO387" s="1317"/>
      <c r="PWP387" s="1317"/>
      <c r="PWQ387" s="1317"/>
      <c r="PWR387" s="1317"/>
      <c r="PWS387" s="1317"/>
      <c r="PWT387" s="1317"/>
      <c r="PWU387" s="1317"/>
      <c r="PWV387" s="1317"/>
      <c r="PWW387" s="1317"/>
      <c r="PWX387" s="1317"/>
      <c r="PWY387" s="1317"/>
      <c r="PWZ387" s="1317"/>
      <c r="PXA387" s="1317"/>
      <c r="PXB387" s="1317"/>
      <c r="PXC387" s="1317"/>
      <c r="PXD387" s="1317"/>
      <c r="PXE387" s="1317"/>
      <c r="PXF387" s="1317"/>
      <c r="PXG387" s="1317"/>
      <c r="PXH387" s="1317"/>
      <c r="PXI387" s="1317"/>
      <c r="PXJ387" s="1317"/>
      <c r="PXK387" s="1317"/>
      <c r="PXL387" s="1317"/>
      <c r="PXM387" s="1317"/>
      <c r="PXN387" s="1317"/>
      <c r="PXO387" s="1317"/>
      <c r="PXP387" s="1317"/>
      <c r="PXQ387" s="1317"/>
      <c r="PXR387" s="1317"/>
      <c r="PXS387" s="1317"/>
      <c r="PXT387" s="1317"/>
      <c r="PXU387" s="1317"/>
      <c r="PXV387" s="1317"/>
      <c r="PXW387" s="1317"/>
      <c r="PXX387" s="1317"/>
      <c r="PXY387" s="1317"/>
      <c r="PXZ387" s="1317"/>
      <c r="PYA387" s="1317"/>
      <c r="PYB387" s="1317"/>
      <c r="PYC387" s="1317"/>
      <c r="PYD387" s="1317"/>
      <c r="PYE387" s="1317"/>
      <c r="PYF387" s="1317"/>
      <c r="PYG387" s="1317"/>
      <c r="PYH387" s="1317"/>
      <c r="PYI387" s="1317"/>
      <c r="PYJ387" s="1317"/>
      <c r="PYK387" s="1317"/>
      <c r="PYL387" s="1317"/>
      <c r="PYM387" s="1317"/>
      <c r="PYN387" s="1317"/>
      <c r="PYO387" s="1317"/>
      <c r="PYP387" s="1317"/>
      <c r="PYQ387" s="1317"/>
      <c r="PYR387" s="1317"/>
      <c r="PYS387" s="1317"/>
      <c r="PYT387" s="1317"/>
      <c r="PYU387" s="1317"/>
      <c r="PYV387" s="1317"/>
      <c r="PYW387" s="1317"/>
      <c r="PYX387" s="1317"/>
      <c r="PYY387" s="1317"/>
      <c r="PYZ387" s="1317"/>
      <c r="PZA387" s="1317"/>
      <c r="PZB387" s="1317"/>
      <c r="PZC387" s="1317"/>
      <c r="PZD387" s="1317"/>
      <c r="PZE387" s="1317"/>
      <c r="PZF387" s="1317"/>
      <c r="PZG387" s="1317"/>
      <c r="PZH387" s="1317"/>
      <c r="PZI387" s="1317"/>
      <c r="PZJ387" s="1317"/>
      <c r="PZK387" s="1317"/>
      <c r="PZL387" s="1317"/>
      <c r="PZM387" s="1317"/>
      <c r="PZN387" s="1317"/>
      <c r="PZO387" s="1317"/>
      <c r="PZP387" s="1317"/>
      <c r="PZQ387" s="1317"/>
      <c r="PZR387" s="1317"/>
      <c r="PZS387" s="1317"/>
      <c r="PZT387" s="1317"/>
      <c r="PZU387" s="1317"/>
      <c r="PZV387" s="1317"/>
      <c r="PZW387" s="1317"/>
      <c r="PZX387" s="1317"/>
      <c r="PZY387" s="1317"/>
      <c r="PZZ387" s="1317"/>
      <c r="QAA387" s="1317"/>
      <c r="QAB387" s="1317"/>
      <c r="QAC387" s="1317"/>
      <c r="QAD387" s="1317"/>
      <c r="QAE387" s="1317"/>
      <c r="QAF387" s="1317"/>
      <c r="QAG387" s="1317"/>
      <c r="QAH387" s="1317"/>
      <c r="QAI387" s="1317"/>
      <c r="QAJ387" s="1317"/>
      <c r="QAK387" s="1317"/>
      <c r="QAL387" s="1317"/>
      <c r="QAM387" s="1317"/>
      <c r="QAN387" s="1317"/>
      <c r="QAO387" s="1317"/>
      <c r="QAP387" s="1317"/>
      <c r="QAQ387" s="1317"/>
      <c r="QAR387" s="1317"/>
      <c r="QAS387" s="1317"/>
      <c r="QAT387" s="1317"/>
      <c r="QAU387" s="1317"/>
      <c r="QAV387" s="1317"/>
      <c r="QAW387" s="1317"/>
      <c r="QAX387" s="1317"/>
      <c r="QAY387" s="1317"/>
      <c r="QAZ387" s="1317"/>
      <c r="QBA387" s="1317"/>
      <c r="QBB387" s="1317"/>
      <c r="QBC387" s="1317"/>
      <c r="QBD387" s="1317"/>
      <c r="QBE387" s="1317"/>
      <c r="QBF387" s="1317"/>
      <c r="QBG387" s="1317"/>
      <c r="QBH387" s="1317"/>
      <c r="QBI387" s="1317"/>
      <c r="QBJ387" s="1317"/>
      <c r="QBK387" s="1317"/>
      <c r="QBL387" s="1317"/>
      <c r="QBM387" s="1317"/>
      <c r="QBN387" s="1317"/>
      <c r="QBO387" s="1317"/>
      <c r="QBP387" s="1317"/>
      <c r="QBQ387" s="1317"/>
      <c r="QBR387" s="1317"/>
      <c r="QBS387" s="1317"/>
      <c r="QBT387" s="1317"/>
      <c r="QBU387" s="1317"/>
      <c r="QBV387" s="1317"/>
      <c r="QBW387" s="1317"/>
      <c r="QBX387" s="1317"/>
      <c r="QBY387" s="1317"/>
      <c r="QBZ387" s="1317"/>
      <c r="QCA387" s="1317"/>
      <c r="QCB387" s="1317"/>
      <c r="QCC387" s="1317"/>
      <c r="QCD387" s="1317"/>
      <c r="QCE387" s="1317"/>
      <c r="QCF387" s="1317"/>
      <c r="QCG387" s="1317"/>
      <c r="QCH387" s="1317"/>
      <c r="QCI387" s="1317"/>
      <c r="QCJ387" s="1317"/>
      <c r="QCK387" s="1317"/>
      <c r="QCL387" s="1317"/>
      <c r="QCM387" s="1317"/>
      <c r="QCN387" s="1317"/>
      <c r="QCO387" s="1317"/>
      <c r="QCP387" s="1317"/>
      <c r="QCQ387" s="1317"/>
      <c r="QCR387" s="1317"/>
      <c r="QCS387" s="1317"/>
      <c r="QCT387" s="1317"/>
      <c r="QCU387" s="1317"/>
      <c r="QCV387" s="1317"/>
      <c r="QCW387" s="1317"/>
      <c r="QCX387" s="1317"/>
      <c r="QCY387" s="1317"/>
      <c r="QCZ387" s="1317"/>
      <c r="QDA387" s="1317"/>
      <c r="QDB387" s="1317"/>
      <c r="QDC387" s="1317"/>
      <c r="QDD387" s="1317"/>
      <c r="QDE387" s="1317"/>
      <c r="QDF387" s="1317"/>
      <c r="QDG387" s="1317"/>
      <c r="QDH387" s="1317"/>
      <c r="QDI387" s="1317"/>
      <c r="QDJ387" s="1317"/>
      <c r="QDK387" s="1317"/>
      <c r="QDL387" s="1317"/>
      <c r="QDM387" s="1317"/>
      <c r="QDN387" s="1317"/>
      <c r="QDO387" s="1317"/>
      <c r="QDP387" s="1317"/>
      <c r="QDQ387" s="1317"/>
      <c r="QDR387" s="1317"/>
      <c r="QDS387" s="1317"/>
      <c r="QDT387" s="1317"/>
      <c r="QDU387" s="1317"/>
      <c r="QDV387" s="1317"/>
      <c r="QDW387" s="1317"/>
      <c r="QDX387" s="1317"/>
      <c r="QDY387" s="1317"/>
      <c r="QDZ387" s="1317"/>
      <c r="QEA387" s="1317"/>
      <c r="QEB387" s="1317"/>
      <c r="QEC387" s="1317"/>
      <c r="QED387" s="1317"/>
      <c r="QEE387" s="1317"/>
      <c r="QEF387" s="1317"/>
      <c r="QEG387" s="1317"/>
      <c r="QEH387" s="1317"/>
      <c r="QEI387" s="1317"/>
      <c r="QEJ387" s="1317"/>
      <c r="QEK387" s="1317"/>
      <c r="QEL387" s="1317"/>
      <c r="QEM387" s="1317"/>
      <c r="QEN387" s="1317"/>
      <c r="QEO387" s="1317"/>
      <c r="QEP387" s="1317"/>
      <c r="QEQ387" s="1317"/>
      <c r="QER387" s="1317"/>
      <c r="QES387" s="1317"/>
      <c r="QET387" s="1317"/>
      <c r="QEU387" s="1317"/>
      <c r="QEV387" s="1317"/>
      <c r="QEW387" s="1317"/>
      <c r="QEX387" s="1317"/>
      <c r="QEY387" s="1317"/>
      <c r="QEZ387" s="1317"/>
      <c r="QFA387" s="1317"/>
      <c r="QFB387" s="1317"/>
      <c r="QFC387" s="1317"/>
      <c r="QFD387" s="1317"/>
      <c r="QFE387" s="1317"/>
      <c r="QFF387" s="1317"/>
      <c r="QFG387" s="1317"/>
      <c r="QFH387" s="1317"/>
      <c r="QFI387" s="1317"/>
      <c r="QFJ387" s="1317"/>
      <c r="QFK387" s="1317"/>
      <c r="QFL387" s="1317"/>
      <c r="QFM387" s="1317"/>
      <c r="QFN387" s="1317"/>
      <c r="QFO387" s="1317"/>
      <c r="QFP387" s="1317"/>
      <c r="QFQ387" s="1317"/>
      <c r="QFR387" s="1317"/>
      <c r="QFS387" s="1317"/>
      <c r="QFT387" s="1317"/>
      <c r="QFU387" s="1317"/>
      <c r="QFV387" s="1317"/>
      <c r="QFW387" s="1317"/>
      <c r="QFX387" s="1317"/>
      <c r="QFY387" s="1317"/>
      <c r="QFZ387" s="1317"/>
      <c r="QGA387" s="1317"/>
      <c r="QGB387" s="1317"/>
      <c r="QGC387" s="1317"/>
      <c r="QGD387" s="1317"/>
      <c r="QGE387" s="1317"/>
      <c r="QGF387" s="1317"/>
      <c r="QGG387" s="1317"/>
      <c r="QGH387" s="1317"/>
      <c r="QGI387" s="1317"/>
      <c r="QGJ387" s="1317"/>
      <c r="QGK387" s="1317"/>
      <c r="QGL387" s="1317"/>
      <c r="QGM387" s="1317"/>
      <c r="QGN387" s="1317"/>
      <c r="QGO387" s="1317"/>
      <c r="QGP387" s="1317"/>
      <c r="QGQ387" s="1317"/>
      <c r="QGR387" s="1317"/>
      <c r="QGS387" s="1317"/>
      <c r="QGT387" s="1317"/>
      <c r="QGU387" s="1317"/>
      <c r="QGV387" s="1317"/>
      <c r="QGW387" s="1317"/>
      <c r="QGX387" s="1317"/>
      <c r="QGY387" s="1317"/>
      <c r="QGZ387" s="1317"/>
      <c r="QHA387" s="1317"/>
      <c r="QHB387" s="1317"/>
      <c r="QHC387" s="1317"/>
      <c r="QHD387" s="1317"/>
      <c r="QHE387" s="1317"/>
      <c r="QHF387" s="1317"/>
      <c r="QHG387" s="1317"/>
      <c r="QHH387" s="1317"/>
      <c r="QHI387" s="1317"/>
      <c r="QHJ387" s="1317"/>
      <c r="QHK387" s="1317"/>
      <c r="QHL387" s="1317"/>
      <c r="QHM387" s="1317"/>
      <c r="QHN387" s="1317"/>
      <c r="QHO387" s="1317"/>
      <c r="QHP387" s="1317"/>
      <c r="QHQ387" s="1317"/>
      <c r="QHR387" s="1317"/>
      <c r="QHS387" s="1317"/>
      <c r="QHT387" s="1317"/>
      <c r="QHU387" s="1317"/>
      <c r="QHV387" s="1317"/>
      <c r="QHW387" s="1317"/>
      <c r="QHX387" s="1317"/>
      <c r="QHY387" s="1317"/>
      <c r="QHZ387" s="1317"/>
      <c r="QIA387" s="1317"/>
      <c r="QIB387" s="1317"/>
      <c r="QIC387" s="1317"/>
      <c r="QID387" s="1317"/>
      <c r="QIE387" s="1317"/>
      <c r="QIF387" s="1317"/>
      <c r="QIG387" s="1317"/>
      <c r="QIH387" s="1317"/>
      <c r="QII387" s="1317"/>
      <c r="QIJ387" s="1317"/>
      <c r="QIK387" s="1317"/>
      <c r="QIL387" s="1317"/>
      <c r="QIM387" s="1317"/>
      <c r="QIN387" s="1317"/>
      <c r="QIO387" s="1317"/>
      <c r="QIP387" s="1317"/>
      <c r="QIQ387" s="1317"/>
      <c r="QIR387" s="1317"/>
      <c r="QIS387" s="1317"/>
      <c r="QIT387" s="1317"/>
      <c r="QIU387" s="1317"/>
      <c r="QIV387" s="1317"/>
      <c r="QIW387" s="1317"/>
      <c r="QIX387" s="1317"/>
      <c r="QIY387" s="1317"/>
      <c r="QIZ387" s="1317"/>
      <c r="QJA387" s="1317"/>
      <c r="QJB387" s="1317"/>
      <c r="QJC387" s="1317"/>
      <c r="QJD387" s="1317"/>
      <c r="QJE387" s="1317"/>
      <c r="QJF387" s="1317"/>
      <c r="QJG387" s="1317"/>
      <c r="QJH387" s="1317"/>
      <c r="QJI387" s="1317"/>
      <c r="QJJ387" s="1317"/>
      <c r="QJK387" s="1317"/>
      <c r="QJL387" s="1317"/>
      <c r="QJM387" s="1317"/>
      <c r="QJN387" s="1317"/>
      <c r="QJO387" s="1317"/>
      <c r="QJP387" s="1317"/>
      <c r="QJQ387" s="1317"/>
      <c r="QJR387" s="1317"/>
      <c r="QJS387" s="1317"/>
      <c r="QJT387" s="1317"/>
      <c r="QJU387" s="1317"/>
      <c r="QJV387" s="1317"/>
      <c r="QJW387" s="1317"/>
      <c r="QJX387" s="1317"/>
      <c r="QJY387" s="1317"/>
      <c r="QJZ387" s="1317"/>
      <c r="QKA387" s="1317"/>
      <c r="QKB387" s="1317"/>
      <c r="QKC387" s="1317"/>
      <c r="QKD387" s="1317"/>
      <c r="QKE387" s="1317"/>
      <c r="QKF387" s="1317"/>
      <c r="QKG387" s="1317"/>
      <c r="QKH387" s="1317"/>
      <c r="QKI387" s="1317"/>
      <c r="QKJ387" s="1317"/>
      <c r="QKK387" s="1317"/>
      <c r="QKL387" s="1317"/>
      <c r="QKM387" s="1317"/>
      <c r="QKN387" s="1317"/>
      <c r="QKO387" s="1317"/>
      <c r="QKP387" s="1317"/>
      <c r="QKQ387" s="1317"/>
      <c r="QKR387" s="1317"/>
      <c r="QKS387" s="1317"/>
      <c r="QKT387" s="1317"/>
      <c r="QKU387" s="1317"/>
      <c r="QKV387" s="1317"/>
      <c r="QKW387" s="1317"/>
      <c r="QKX387" s="1317"/>
      <c r="QKY387" s="1317"/>
      <c r="QKZ387" s="1317"/>
      <c r="QLA387" s="1317"/>
      <c r="QLB387" s="1317"/>
      <c r="QLC387" s="1317"/>
      <c r="QLD387" s="1317"/>
      <c r="QLE387" s="1317"/>
      <c r="QLF387" s="1317"/>
      <c r="QLG387" s="1317"/>
      <c r="QLH387" s="1317"/>
      <c r="QLI387" s="1317"/>
      <c r="QLJ387" s="1317"/>
      <c r="QLK387" s="1317"/>
      <c r="QLL387" s="1317"/>
      <c r="QLM387" s="1317"/>
      <c r="QLN387" s="1317"/>
      <c r="QLO387" s="1317"/>
      <c r="QLP387" s="1317"/>
      <c r="QLQ387" s="1317"/>
      <c r="QLR387" s="1317"/>
      <c r="QLS387" s="1317"/>
      <c r="QLT387" s="1317"/>
      <c r="QLU387" s="1317"/>
      <c r="QLV387" s="1317"/>
      <c r="QLW387" s="1317"/>
      <c r="QLX387" s="1317"/>
      <c r="QLY387" s="1317"/>
      <c r="QLZ387" s="1317"/>
      <c r="QMA387" s="1317"/>
      <c r="QMB387" s="1317"/>
      <c r="QMC387" s="1317"/>
      <c r="QMD387" s="1317"/>
      <c r="QME387" s="1317"/>
      <c r="QMF387" s="1317"/>
      <c r="QMG387" s="1317"/>
      <c r="QMH387" s="1317"/>
      <c r="QMI387" s="1317"/>
      <c r="QMJ387" s="1317"/>
      <c r="QMK387" s="1317"/>
      <c r="QML387" s="1317"/>
      <c r="QMM387" s="1317"/>
      <c r="QMN387" s="1317"/>
      <c r="QMO387" s="1317"/>
      <c r="QMP387" s="1317"/>
      <c r="QMQ387" s="1317"/>
      <c r="QMR387" s="1317"/>
      <c r="QMS387" s="1317"/>
      <c r="QMT387" s="1317"/>
      <c r="QMU387" s="1317"/>
      <c r="QMV387" s="1317"/>
      <c r="QMW387" s="1317"/>
      <c r="QMX387" s="1317"/>
      <c r="QMY387" s="1317"/>
      <c r="QMZ387" s="1317"/>
      <c r="QNA387" s="1317"/>
      <c r="QNB387" s="1317"/>
      <c r="QNC387" s="1317"/>
      <c r="QND387" s="1317"/>
      <c r="QNE387" s="1317"/>
      <c r="QNF387" s="1317"/>
      <c r="QNG387" s="1317"/>
      <c r="QNH387" s="1317"/>
      <c r="QNI387" s="1317"/>
      <c r="QNJ387" s="1317"/>
      <c r="QNK387" s="1317"/>
      <c r="QNL387" s="1317"/>
      <c r="QNM387" s="1317"/>
      <c r="QNN387" s="1317"/>
      <c r="QNO387" s="1317"/>
      <c r="QNP387" s="1317"/>
      <c r="QNQ387" s="1317"/>
      <c r="QNR387" s="1317"/>
      <c r="QNS387" s="1317"/>
      <c r="QNT387" s="1317"/>
      <c r="QNU387" s="1317"/>
      <c r="QNV387" s="1317"/>
      <c r="QNW387" s="1317"/>
      <c r="QNX387" s="1317"/>
      <c r="QNY387" s="1317"/>
      <c r="QNZ387" s="1317"/>
      <c r="QOA387" s="1317"/>
      <c r="QOB387" s="1317"/>
      <c r="QOC387" s="1317"/>
      <c r="QOD387" s="1317"/>
      <c r="QOE387" s="1317"/>
      <c r="QOF387" s="1317"/>
      <c r="QOG387" s="1317"/>
      <c r="QOH387" s="1317"/>
      <c r="QOI387" s="1317"/>
      <c r="QOJ387" s="1317"/>
      <c r="QOK387" s="1317"/>
      <c r="QOL387" s="1317"/>
      <c r="QOM387" s="1317"/>
      <c r="QON387" s="1317"/>
      <c r="QOO387" s="1317"/>
      <c r="QOP387" s="1317"/>
      <c r="QOQ387" s="1317"/>
      <c r="QOR387" s="1317"/>
      <c r="QOS387" s="1317"/>
      <c r="QOT387" s="1317"/>
      <c r="QOU387" s="1317"/>
      <c r="QOV387" s="1317"/>
      <c r="QOW387" s="1317"/>
      <c r="QOX387" s="1317"/>
      <c r="QOY387" s="1317"/>
      <c r="QOZ387" s="1317"/>
      <c r="QPA387" s="1317"/>
      <c r="QPB387" s="1317"/>
      <c r="QPC387" s="1317"/>
      <c r="QPD387" s="1317"/>
      <c r="QPE387" s="1317"/>
      <c r="QPF387" s="1317"/>
      <c r="QPG387" s="1317"/>
      <c r="QPH387" s="1317"/>
      <c r="QPI387" s="1317"/>
      <c r="QPJ387" s="1317"/>
      <c r="QPK387" s="1317"/>
      <c r="QPL387" s="1317"/>
      <c r="QPM387" s="1317"/>
      <c r="QPN387" s="1317"/>
      <c r="QPO387" s="1317"/>
      <c r="QPP387" s="1317"/>
      <c r="QPQ387" s="1317"/>
      <c r="QPR387" s="1317"/>
      <c r="QPS387" s="1317"/>
      <c r="QPT387" s="1317"/>
      <c r="QPU387" s="1317"/>
      <c r="QPV387" s="1317"/>
      <c r="QPW387" s="1317"/>
      <c r="QPX387" s="1317"/>
      <c r="QPY387" s="1317"/>
      <c r="QPZ387" s="1317"/>
      <c r="QQA387" s="1317"/>
      <c r="QQB387" s="1317"/>
      <c r="QQC387" s="1317"/>
      <c r="QQD387" s="1317"/>
      <c r="QQE387" s="1317"/>
      <c r="QQF387" s="1317"/>
      <c r="QQG387" s="1317"/>
      <c r="QQH387" s="1317"/>
      <c r="QQI387" s="1317"/>
      <c r="QQJ387" s="1317"/>
      <c r="QQK387" s="1317"/>
      <c r="QQL387" s="1317"/>
      <c r="QQM387" s="1317"/>
      <c r="QQN387" s="1317"/>
      <c r="QQO387" s="1317"/>
      <c r="QQP387" s="1317"/>
      <c r="QQQ387" s="1317"/>
      <c r="QQR387" s="1317"/>
      <c r="QQS387" s="1317"/>
      <c r="QQT387" s="1317"/>
      <c r="QQU387" s="1317"/>
      <c r="QQV387" s="1317"/>
      <c r="QQW387" s="1317"/>
      <c r="QQX387" s="1317"/>
      <c r="QQY387" s="1317"/>
      <c r="QQZ387" s="1317"/>
      <c r="QRA387" s="1317"/>
      <c r="QRB387" s="1317"/>
      <c r="QRC387" s="1317"/>
      <c r="QRD387" s="1317"/>
      <c r="QRE387" s="1317"/>
      <c r="QRF387" s="1317"/>
      <c r="QRG387" s="1317"/>
      <c r="QRH387" s="1317"/>
      <c r="QRI387" s="1317"/>
      <c r="QRJ387" s="1317"/>
      <c r="QRK387" s="1317"/>
      <c r="QRL387" s="1317"/>
      <c r="QRM387" s="1317"/>
      <c r="QRN387" s="1317"/>
      <c r="QRO387" s="1317"/>
      <c r="QRP387" s="1317"/>
      <c r="QRQ387" s="1317"/>
      <c r="QRR387" s="1317"/>
      <c r="QRS387" s="1317"/>
      <c r="QRT387" s="1317"/>
      <c r="QRU387" s="1317"/>
      <c r="QRV387" s="1317"/>
      <c r="QRW387" s="1317"/>
      <c r="QRX387" s="1317"/>
      <c r="QRY387" s="1317"/>
      <c r="QRZ387" s="1317"/>
      <c r="QSA387" s="1317"/>
      <c r="QSB387" s="1317"/>
      <c r="QSC387" s="1317"/>
      <c r="QSD387" s="1317"/>
      <c r="QSE387" s="1317"/>
      <c r="QSF387" s="1317"/>
      <c r="QSG387" s="1317"/>
      <c r="QSH387" s="1317"/>
      <c r="QSI387" s="1317"/>
      <c r="QSJ387" s="1317"/>
      <c r="QSK387" s="1317"/>
      <c r="QSL387" s="1317"/>
      <c r="QSM387" s="1317"/>
      <c r="QSN387" s="1317"/>
      <c r="QSO387" s="1317"/>
      <c r="QSP387" s="1317"/>
      <c r="QSQ387" s="1317"/>
      <c r="QSR387" s="1317"/>
      <c r="QSS387" s="1317"/>
      <c r="QST387" s="1317"/>
      <c r="QSU387" s="1317"/>
      <c r="QSV387" s="1317"/>
      <c r="QSW387" s="1317"/>
      <c r="QSX387" s="1317"/>
      <c r="QSY387" s="1317"/>
      <c r="QSZ387" s="1317"/>
      <c r="QTA387" s="1317"/>
      <c r="QTB387" s="1317"/>
      <c r="QTC387" s="1317"/>
      <c r="QTD387" s="1317"/>
      <c r="QTE387" s="1317"/>
      <c r="QTF387" s="1317"/>
      <c r="QTG387" s="1317"/>
      <c r="QTH387" s="1317"/>
      <c r="QTI387" s="1317"/>
      <c r="QTJ387" s="1317"/>
      <c r="QTK387" s="1317"/>
      <c r="QTL387" s="1317"/>
      <c r="QTM387" s="1317"/>
      <c r="QTN387" s="1317"/>
      <c r="QTO387" s="1317"/>
      <c r="QTP387" s="1317"/>
      <c r="QTQ387" s="1317"/>
      <c r="QTR387" s="1317"/>
      <c r="QTS387" s="1317"/>
      <c r="QTT387" s="1317"/>
      <c r="QTU387" s="1317"/>
      <c r="QTV387" s="1317"/>
      <c r="QTW387" s="1317"/>
      <c r="QTX387" s="1317"/>
      <c r="QTY387" s="1317"/>
      <c r="QTZ387" s="1317"/>
      <c r="QUA387" s="1317"/>
      <c r="QUB387" s="1317"/>
      <c r="QUC387" s="1317"/>
      <c r="QUD387" s="1317"/>
      <c r="QUE387" s="1317"/>
      <c r="QUF387" s="1317"/>
      <c r="QUG387" s="1317"/>
      <c r="QUH387" s="1317"/>
      <c r="QUI387" s="1317"/>
      <c r="QUJ387" s="1317"/>
      <c r="QUK387" s="1317"/>
      <c r="QUL387" s="1317"/>
      <c r="QUM387" s="1317"/>
      <c r="QUN387" s="1317"/>
      <c r="QUO387" s="1317"/>
      <c r="QUP387" s="1317"/>
      <c r="QUQ387" s="1317"/>
      <c r="QUR387" s="1317"/>
      <c r="QUS387" s="1317"/>
      <c r="QUT387" s="1317"/>
      <c r="QUU387" s="1317"/>
      <c r="QUV387" s="1317"/>
      <c r="QUW387" s="1317"/>
      <c r="QUX387" s="1317"/>
      <c r="QUY387" s="1317"/>
      <c r="QUZ387" s="1317"/>
      <c r="QVA387" s="1317"/>
      <c r="QVB387" s="1317"/>
      <c r="QVC387" s="1317"/>
      <c r="QVD387" s="1317"/>
      <c r="QVE387" s="1317"/>
      <c r="QVF387" s="1317"/>
      <c r="QVG387" s="1317"/>
      <c r="QVH387" s="1317"/>
      <c r="QVI387" s="1317"/>
      <c r="QVJ387" s="1317"/>
      <c r="QVK387" s="1317"/>
      <c r="QVL387" s="1317"/>
      <c r="QVM387" s="1317"/>
      <c r="QVN387" s="1317"/>
      <c r="QVO387" s="1317"/>
      <c r="QVP387" s="1317"/>
      <c r="QVQ387" s="1317"/>
      <c r="QVR387" s="1317"/>
      <c r="QVS387" s="1317"/>
      <c r="QVT387" s="1317"/>
      <c r="QVU387" s="1317"/>
      <c r="QVV387" s="1317"/>
      <c r="QVW387" s="1317"/>
      <c r="QVX387" s="1317"/>
      <c r="QVY387" s="1317"/>
      <c r="QVZ387" s="1317"/>
      <c r="QWA387" s="1317"/>
      <c r="QWB387" s="1317"/>
      <c r="QWC387" s="1317"/>
      <c r="QWD387" s="1317"/>
      <c r="QWE387" s="1317"/>
      <c r="QWF387" s="1317"/>
      <c r="QWG387" s="1317"/>
      <c r="QWH387" s="1317"/>
      <c r="QWI387" s="1317"/>
      <c r="QWJ387" s="1317"/>
      <c r="QWK387" s="1317"/>
      <c r="QWL387" s="1317"/>
      <c r="QWM387" s="1317"/>
      <c r="QWN387" s="1317"/>
      <c r="QWO387" s="1317"/>
      <c r="QWP387" s="1317"/>
      <c r="QWQ387" s="1317"/>
      <c r="QWR387" s="1317"/>
      <c r="QWS387" s="1317"/>
      <c r="QWT387" s="1317"/>
      <c r="QWU387" s="1317"/>
      <c r="QWV387" s="1317"/>
      <c r="QWW387" s="1317"/>
      <c r="QWX387" s="1317"/>
      <c r="QWY387" s="1317"/>
      <c r="QWZ387" s="1317"/>
      <c r="QXA387" s="1317"/>
      <c r="QXB387" s="1317"/>
      <c r="QXC387" s="1317"/>
      <c r="QXD387" s="1317"/>
      <c r="QXE387" s="1317"/>
      <c r="QXF387" s="1317"/>
      <c r="QXG387" s="1317"/>
      <c r="QXH387" s="1317"/>
      <c r="QXI387" s="1317"/>
      <c r="QXJ387" s="1317"/>
      <c r="QXK387" s="1317"/>
      <c r="QXL387" s="1317"/>
      <c r="QXM387" s="1317"/>
      <c r="QXN387" s="1317"/>
      <c r="QXO387" s="1317"/>
      <c r="QXP387" s="1317"/>
      <c r="QXQ387" s="1317"/>
      <c r="QXR387" s="1317"/>
      <c r="QXS387" s="1317"/>
      <c r="QXT387" s="1317"/>
      <c r="QXU387" s="1317"/>
      <c r="QXV387" s="1317"/>
      <c r="QXW387" s="1317"/>
      <c r="QXX387" s="1317"/>
      <c r="QXY387" s="1317"/>
      <c r="QXZ387" s="1317"/>
      <c r="QYA387" s="1317"/>
      <c r="QYB387" s="1317"/>
      <c r="QYC387" s="1317"/>
      <c r="QYD387" s="1317"/>
      <c r="QYE387" s="1317"/>
      <c r="QYF387" s="1317"/>
      <c r="QYG387" s="1317"/>
      <c r="QYH387" s="1317"/>
      <c r="QYI387" s="1317"/>
      <c r="QYJ387" s="1317"/>
      <c r="QYK387" s="1317"/>
      <c r="QYL387" s="1317"/>
      <c r="QYM387" s="1317"/>
      <c r="QYN387" s="1317"/>
      <c r="QYO387" s="1317"/>
      <c r="QYP387" s="1317"/>
      <c r="QYQ387" s="1317"/>
      <c r="QYR387" s="1317"/>
      <c r="QYS387" s="1317"/>
      <c r="QYT387" s="1317"/>
      <c r="QYU387" s="1317"/>
      <c r="QYV387" s="1317"/>
      <c r="QYW387" s="1317"/>
      <c r="QYX387" s="1317"/>
      <c r="QYY387" s="1317"/>
      <c r="QYZ387" s="1317"/>
      <c r="QZA387" s="1317"/>
      <c r="QZB387" s="1317"/>
      <c r="QZC387" s="1317"/>
      <c r="QZD387" s="1317"/>
      <c r="QZE387" s="1317"/>
      <c r="QZF387" s="1317"/>
      <c r="QZG387" s="1317"/>
      <c r="QZH387" s="1317"/>
      <c r="QZI387" s="1317"/>
      <c r="QZJ387" s="1317"/>
      <c r="QZK387" s="1317"/>
      <c r="QZL387" s="1317"/>
      <c r="QZM387" s="1317"/>
      <c r="QZN387" s="1317"/>
      <c r="QZO387" s="1317"/>
      <c r="QZP387" s="1317"/>
      <c r="QZQ387" s="1317"/>
      <c r="QZR387" s="1317"/>
      <c r="QZS387" s="1317"/>
      <c r="QZT387" s="1317"/>
      <c r="QZU387" s="1317"/>
      <c r="QZV387" s="1317"/>
      <c r="QZW387" s="1317"/>
      <c r="QZX387" s="1317"/>
      <c r="QZY387" s="1317"/>
      <c r="QZZ387" s="1317"/>
      <c r="RAA387" s="1317"/>
      <c r="RAB387" s="1317"/>
      <c r="RAC387" s="1317"/>
      <c r="RAD387" s="1317"/>
      <c r="RAE387" s="1317"/>
      <c r="RAF387" s="1317"/>
      <c r="RAG387" s="1317"/>
      <c r="RAH387" s="1317"/>
      <c r="RAI387" s="1317"/>
      <c r="RAJ387" s="1317"/>
      <c r="RAK387" s="1317"/>
      <c r="RAL387" s="1317"/>
      <c r="RAM387" s="1317"/>
      <c r="RAN387" s="1317"/>
      <c r="RAO387" s="1317"/>
      <c r="RAP387" s="1317"/>
      <c r="RAQ387" s="1317"/>
      <c r="RAR387" s="1317"/>
      <c r="RAS387" s="1317"/>
      <c r="RAT387" s="1317"/>
      <c r="RAU387" s="1317"/>
      <c r="RAV387" s="1317"/>
      <c r="RAW387" s="1317"/>
      <c r="RAX387" s="1317"/>
      <c r="RAY387" s="1317"/>
      <c r="RAZ387" s="1317"/>
      <c r="RBA387" s="1317"/>
      <c r="RBB387" s="1317"/>
      <c r="RBC387" s="1317"/>
      <c r="RBD387" s="1317"/>
      <c r="RBE387" s="1317"/>
      <c r="RBF387" s="1317"/>
      <c r="RBG387" s="1317"/>
      <c r="RBH387" s="1317"/>
      <c r="RBI387" s="1317"/>
      <c r="RBJ387" s="1317"/>
      <c r="RBK387" s="1317"/>
      <c r="RBL387" s="1317"/>
      <c r="RBM387" s="1317"/>
      <c r="RBN387" s="1317"/>
      <c r="RBO387" s="1317"/>
      <c r="RBP387" s="1317"/>
      <c r="RBQ387" s="1317"/>
      <c r="RBR387" s="1317"/>
      <c r="RBS387" s="1317"/>
      <c r="RBT387" s="1317"/>
      <c r="RBU387" s="1317"/>
      <c r="RBV387" s="1317"/>
      <c r="RBW387" s="1317"/>
      <c r="RBX387" s="1317"/>
      <c r="RBY387" s="1317"/>
      <c r="RBZ387" s="1317"/>
      <c r="RCA387" s="1317"/>
      <c r="RCB387" s="1317"/>
      <c r="RCC387" s="1317"/>
      <c r="RCD387" s="1317"/>
      <c r="RCE387" s="1317"/>
      <c r="RCF387" s="1317"/>
      <c r="RCG387" s="1317"/>
      <c r="RCH387" s="1317"/>
      <c r="RCI387" s="1317"/>
      <c r="RCJ387" s="1317"/>
      <c r="RCK387" s="1317"/>
      <c r="RCL387" s="1317"/>
      <c r="RCM387" s="1317"/>
      <c r="RCN387" s="1317"/>
      <c r="RCO387" s="1317"/>
      <c r="RCP387" s="1317"/>
      <c r="RCQ387" s="1317"/>
      <c r="RCR387" s="1317"/>
      <c r="RCS387" s="1317"/>
      <c r="RCT387" s="1317"/>
      <c r="RCU387" s="1317"/>
      <c r="RCV387" s="1317"/>
      <c r="RCW387" s="1317"/>
      <c r="RCX387" s="1317"/>
      <c r="RCY387" s="1317"/>
      <c r="RCZ387" s="1317"/>
      <c r="RDA387" s="1317"/>
      <c r="RDB387" s="1317"/>
      <c r="RDC387" s="1317"/>
      <c r="RDD387" s="1317"/>
      <c r="RDE387" s="1317"/>
      <c r="RDF387" s="1317"/>
      <c r="RDG387" s="1317"/>
      <c r="RDH387" s="1317"/>
      <c r="RDI387" s="1317"/>
      <c r="RDJ387" s="1317"/>
      <c r="RDK387" s="1317"/>
      <c r="RDL387" s="1317"/>
      <c r="RDM387" s="1317"/>
      <c r="RDN387" s="1317"/>
      <c r="RDO387" s="1317"/>
      <c r="RDP387" s="1317"/>
      <c r="RDQ387" s="1317"/>
      <c r="RDR387" s="1317"/>
      <c r="RDS387" s="1317"/>
      <c r="RDT387" s="1317"/>
      <c r="RDU387" s="1317"/>
      <c r="RDV387" s="1317"/>
      <c r="RDW387" s="1317"/>
      <c r="RDX387" s="1317"/>
      <c r="RDY387" s="1317"/>
      <c r="RDZ387" s="1317"/>
      <c r="REA387" s="1317"/>
      <c r="REB387" s="1317"/>
      <c r="REC387" s="1317"/>
      <c r="RED387" s="1317"/>
      <c r="REE387" s="1317"/>
      <c r="REF387" s="1317"/>
      <c r="REG387" s="1317"/>
      <c r="REH387" s="1317"/>
      <c r="REI387" s="1317"/>
      <c r="REJ387" s="1317"/>
      <c r="REK387" s="1317"/>
      <c r="REL387" s="1317"/>
      <c r="REM387" s="1317"/>
      <c r="REN387" s="1317"/>
      <c r="REO387" s="1317"/>
      <c r="REP387" s="1317"/>
      <c r="REQ387" s="1317"/>
      <c r="RER387" s="1317"/>
      <c r="RES387" s="1317"/>
      <c r="RET387" s="1317"/>
      <c r="REU387" s="1317"/>
      <c r="REV387" s="1317"/>
      <c r="REW387" s="1317"/>
      <c r="REX387" s="1317"/>
      <c r="REY387" s="1317"/>
      <c r="REZ387" s="1317"/>
      <c r="RFA387" s="1317"/>
      <c r="RFB387" s="1317"/>
      <c r="RFC387" s="1317"/>
      <c r="RFD387" s="1317"/>
      <c r="RFE387" s="1317"/>
      <c r="RFF387" s="1317"/>
      <c r="RFG387" s="1317"/>
      <c r="RFH387" s="1317"/>
      <c r="RFI387" s="1317"/>
      <c r="RFJ387" s="1317"/>
      <c r="RFK387" s="1317"/>
      <c r="RFL387" s="1317"/>
      <c r="RFM387" s="1317"/>
      <c r="RFN387" s="1317"/>
      <c r="RFO387" s="1317"/>
      <c r="RFP387" s="1317"/>
      <c r="RFQ387" s="1317"/>
      <c r="RFR387" s="1317"/>
      <c r="RFS387" s="1317"/>
      <c r="RFT387" s="1317"/>
      <c r="RFU387" s="1317"/>
      <c r="RFV387" s="1317"/>
      <c r="RFW387" s="1317"/>
      <c r="RFX387" s="1317"/>
      <c r="RFY387" s="1317"/>
      <c r="RFZ387" s="1317"/>
      <c r="RGA387" s="1317"/>
      <c r="RGB387" s="1317"/>
      <c r="RGC387" s="1317"/>
      <c r="RGD387" s="1317"/>
      <c r="RGE387" s="1317"/>
      <c r="RGF387" s="1317"/>
      <c r="RGG387" s="1317"/>
      <c r="RGH387" s="1317"/>
      <c r="RGI387" s="1317"/>
      <c r="RGJ387" s="1317"/>
      <c r="RGK387" s="1317"/>
      <c r="RGL387" s="1317"/>
      <c r="RGM387" s="1317"/>
      <c r="RGN387" s="1317"/>
      <c r="RGO387" s="1317"/>
      <c r="RGP387" s="1317"/>
      <c r="RGQ387" s="1317"/>
      <c r="RGR387" s="1317"/>
      <c r="RGS387" s="1317"/>
      <c r="RGT387" s="1317"/>
      <c r="RGU387" s="1317"/>
      <c r="RGV387" s="1317"/>
      <c r="RGW387" s="1317"/>
      <c r="RGX387" s="1317"/>
      <c r="RGY387" s="1317"/>
      <c r="RGZ387" s="1317"/>
      <c r="RHA387" s="1317"/>
      <c r="RHB387" s="1317"/>
      <c r="RHC387" s="1317"/>
      <c r="RHD387" s="1317"/>
      <c r="RHE387" s="1317"/>
      <c r="RHF387" s="1317"/>
      <c r="RHG387" s="1317"/>
      <c r="RHH387" s="1317"/>
      <c r="RHI387" s="1317"/>
      <c r="RHJ387" s="1317"/>
      <c r="RHK387" s="1317"/>
      <c r="RHL387" s="1317"/>
      <c r="RHM387" s="1317"/>
      <c r="RHN387" s="1317"/>
      <c r="RHO387" s="1317"/>
      <c r="RHP387" s="1317"/>
      <c r="RHQ387" s="1317"/>
      <c r="RHR387" s="1317"/>
      <c r="RHS387" s="1317"/>
      <c r="RHT387" s="1317"/>
      <c r="RHU387" s="1317"/>
      <c r="RHV387" s="1317"/>
      <c r="RHW387" s="1317"/>
      <c r="RHX387" s="1317"/>
      <c r="RHY387" s="1317"/>
      <c r="RHZ387" s="1317"/>
      <c r="RIA387" s="1317"/>
      <c r="RIB387" s="1317"/>
      <c r="RIC387" s="1317"/>
      <c r="RID387" s="1317"/>
      <c r="RIE387" s="1317"/>
      <c r="RIF387" s="1317"/>
      <c r="RIG387" s="1317"/>
      <c r="RIH387" s="1317"/>
      <c r="RII387" s="1317"/>
      <c r="RIJ387" s="1317"/>
      <c r="RIK387" s="1317"/>
      <c r="RIL387" s="1317"/>
      <c r="RIM387" s="1317"/>
      <c r="RIN387" s="1317"/>
      <c r="RIO387" s="1317"/>
      <c r="RIP387" s="1317"/>
      <c r="RIQ387" s="1317"/>
      <c r="RIR387" s="1317"/>
      <c r="RIS387" s="1317"/>
      <c r="RIT387" s="1317"/>
      <c r="RIU387" s="1317"/>
      <c r="RIV387" s="1317"/>
      <c r="RIW387" s="1317"/>
      <c r="RIX387" s="1317"/>
      <c r="RIY387" s="1317"/>
      <c r="RIZ387" s="1317"/>
      <c r="RJA387" s="1317"/>
      <c r="RJB387" s="1317"/>
      <c r="RJC387" s="1317"/>
      <c r="RJD387" s="1317"/>
      <c r="RJE387" s="1317"/>
      <c r="RJF387" s="1317"/>
      <c r="RJG387" s="1317"/>
      <c r="RJH387" s="1317"/>
      <c r="RJI387" s="1317"/>
      <c r="RJJ387" s="1317"/>
      <c r="RJK387" s="1317"/>
      <c r="RJL387" s="1317"/>
      <c r="RJM387" s="1317"/>
      <c r="RJN387" s="1317"/>
      <c r="RJO387" s="1317"/>
      <c r="RJP387" s="1317"/>
      <c r="RJQ387" s="1317"/>
      <c r="RJR387" s="1317"/>
      <c r="RJS387" s="1317"/>
      <c r="RJT387" s="1317"/>
      <c r="RJU387" s="1317"/>
      <c r="RJV387" s="1317"/>
      <c r="RJW387" s="1317"/>
      <c r="RJX387" s="1317"/>
      <c r="RJY387" s="1317"/>
      <c r="RJZ387" s="1317"/>
      <c r="RKA387" s="1317"/>
      <c r="RKB387" s="1317"/>
      <c r="RKC387" s="1317"/>
      <c r="RKD387" s="1317"/>
      <c r="RKE387" s="1317"/>
      <c r="RKF387" s="1317"/>
      <c r="RKG387" s="1317"/>
      <c r="RKH387" s="1317"/>
      <c r="RKI387" s="1317"/>
      <c r="RKJ387" s="1317"/>
      <c r="RKK387" s="1317"/>
      <c r="RKL387" s="1317"/>
      <c r="RKM387" s="1317"/>
      <c r="RKN387" s="1317"/>
      <c r="RKO387" s="1317"/>
      <c r="RKP387" s="1317"/>
      <c r="RKQ387" s="1317"/>
      <c r="RKR387" s="1317"/>
      <c r="RKS387" s="1317"/>
      <c r="RKT387" s="1317"/>
      <c r="RKU387" s="1317"/>
      <c r="RKV387" s="1317"/>
      <c r="RKW387" s="1317"/>
      <c r="RKX387" s="1317"/>
      <c r="RKY387" s="1317"/>
      <c r="RKZ387" s="1317"/>
      <c r="RLA387" s="1317"/>
      <c r="RLB387" s="1317"/>
      <c r="RLC387" s="1317"/>
      <c r="RLD387" s="1317"/>
      <c r="RLE387" s="1317"/>
      <c r="RLF387" s="1317"/>
      <c r="RLG387" s="1317"/>
      <c r="RLH387" s="1317"/>
      <c r="RLI387" s="1317"/>
      <c r="RLJ387" s="1317"/>
      <c r="RLK387" s="1317"/>
      <c r="RLL387" s="1317"/>
      <c r="RLM387" s="1317"/>
      <c r="RLN387" s="1317"/>
      <c r="RLO387" s="1317"/>
      <c r="RLP387" s="1317"/>
      <c r="RLQ387" s="1317"/>
      <c r="RLR387" s="1317"/>
      <c r="RLS387" s="1317"/>
      <c r="RLT387" s="1317"/>
      <c r="RLU387" s="1317"/>
      <c r="RLV387" s="1317"/>
      <c r="RLW387" s="1317"/>
      <c r="RLX387" s="1317"/>
      <c r="RLY387" s="1317"/>
      <c r="RLZ387" s="1317"/>
      <c r="RMA387" s="1317"/>
      <c r="RMB387" s="1317"/>
      <c r="RMC387" s="1317"/>
      <c r="RMD387" s="1317"/>
      <c r="RME387" s="1317"/>
      <c r="RMF387" s="1317"/>
      <c r="RMG387" s="1317"/>
      <c r="RMH387" s="1317"/>
      <c r="RMI387" s="1317"/>
      <c r="RMJ387" s="1317"/>
      <c r="RMK387" s="1317"/>
      <c r="RML387" s="1317"/>
      <c r="RMM387" s="1317"/>
      <c r="RMN387" s="1317"/>
      <c r="RMO387" s="1317"/>
      <c r="RMP387" s="1317"/>
      <c r="RMQ387" s="1317"/>
      <c r="RMR387" s="1317"/>
      <c r="RMS387" s="1317"/>
      <c r="RMT387" s="1317"/>
      <c r="RMU387" s="1317"/>
      <c r="RMV387" s="1317"/>
      <c r="RMW387" s="1317"/>
      <c r="RMX387" s="1317"/>
      <c r="RMY387" s="1317"/>
      <c r="RMZ387" s="1317"/>
      <c r="RNA387" s="1317"/>
      <c r="RNB387" s="1317"/>
      <c r="RNC387" s="1317"/>
      <c r="RND387" s="1317"/>
      <c r="RNE387" s="1317"/>
      <c r="RNF387" s="1317"/>
      <c r="RNG387" s="1317"/>
      <c r="RNH387" s="1317"/>
      <c r="RNI387" s="1317"/>
      <c r="RNJ387" s="1317"/>
      <c r="RNK387" s="1317"/>
      <c r="RNL387" s="1317"/>
      <c r="RNM387" s="1317"/>
      <c r="RNN387" s="1317"/>
      <c r="RNO387" s="1317"/>
      <c r="RNP387" s="1317"/>
      <c r="RNQ387" s="1317"/>
      <c r="RNR387" s="1317"/>
      <c r="RNS387" s="1317"/>
      <c r="RNT387" s="1317"/>
      <c r="RNU387" s="1317"/>
      <c r="RNV387" s="1317"/>
      <c r="RNW387" s="1317"/>
      <c r="RNX387" s="1317"/>
      <c r="RNY387" s="1317"/>
      <c r="RNZ387" s="1317"/>
      <c r="ROA387" s="1317"/>
      <c r="ROB387" s="1317"/>
      <c r="ROC387" s="1317"/>
      <c r="ROD387" s="1317"/>
      <c r="ROE387" s="1317"/>
      <c r="ROF387" s="1317"/>
      <c r="ROG387" s="1317"/>
      <c r="ROH387" s="1317"/>
      <c r="ROI387" s="1317"/>
      <c r="ROJ387" s="1317"/>
      <c r="ROK387" s="1317"/>
      <c r="ROL387" s="1317"/>
      <c r="ROM387" s="1317"/>
      <c r="RON387" s="1317"/>
      <c r="ROO387" s="1317"/>
      <c r="ROP387" s="1317"/>
      <c r="ROQ387" s="1317"/>
      <c r="ROR387" s="1317"/>
      <c r="ROS387" s="1317"/>
      <c r="ROT387" s="1317"/>
      <c r="ROU387" s="1317"/>
      <c r="ROV387" s="1317"/>
      <c r="ROW387" s="1317"/>
      <c r="ROX387" s="1317"/>
      <c r="ROY387" s="1317"/>
      <c r="ROZ387" s="1317"/>
      <c r="RPA387" s="1317"/>
      <c r="RPB387" s="1317"/>
      <c r="RPC387" s="1317"/>
      <c r="RPD387" s="1317"/>
      <c r="RPE387" s="1317"/>
      <c r="RPF387" s="1317"/>
      <c r="RPG387" s="1317"/>
      <c r="RPH387" s="1317"/>
      <c r="RPI387" s="1317"/>
      <c r="RPJ387" s="1317"/>
      <c r="RPK387" s="1317"/>
      <c r="RPL387" s="1317"/>
      <c r="RPM387" s="1317"/>
      <c r="RPN387" s="1317"/>
      <c r="RPO387" s="1317"/>
      <c r="RPP387" s="1317"/>
      <c r="RPQ387" s="1317"/>
      <c r="RPR387" s="1317"/>
      <c r="RPS387" s="1317"/>
      <c r="RPT387" s="1317"/>
      <c r="RPU387" s="1317"/>
      <c r="RPV387" s="1317"/>
      <c r="RPW387" s="1317"/>
      <c r="RPX387" s="1317"/>
      <c r="RPY387" s="1317"/>
      <c r="RPZ387" s="1317"/>
      <c r="RQA387" s="1317"/>
      <c r="RQB387" s="1317"/>
      <c r="RQC387" s="1317"/>
      <c r="RQD387" s="1317"/>
      <c r="RQE387" s="1317"/>
      <c r="RQF387" s="1317"/>
      <c r="RQG387" s="1317"/>
      <c r="RQH387" s="1317"/>
      <c r="RQI387" s="1317"/>
      <c r="RQJ387" s="1317"/>
      <c r="RQK387" s="1317"/>
      <c r="RQL387" s="1317"/>
      <c r="RQM387" s="1317"/>
      <c r="RQN387" s="1317"/>
      <c r="RQO387" s="1317"/>
      <c r="RQP387" s="1317"/>
      <c r="RQQ387" s="1317"/>
      <c r="RQR387" s="1317"/>
      <c r="RQS387" s="1317"/>
      <c r="RQT387" s="1317"/>
      <c r="RQU387" s="1317"/>
      <c r="RQV387" s="1317"/>
      <c r="RQW387" s="1317"/>
      <c r="RQX387" s="1317"/>
      <c r="RQY387" s="1317"/>
      <c r="RQZ387" s="1317"/>
      <c r="RRA387" s="1317"/>
      <c r="RRB387" s="1317"/>
      <c r="RRC387" s="1317"/>
      <c r="RRD387" s="1317"/>
      <c r="RRE387" s="1317"/>
      <c r="RRF387" s="1317"/>
      <c r="RRG387" s="1317"/>
      <c r="RRH387" s="1317"/>
      <c r="RRI387" s="1317"/>
      <c r="RRJ387" s="1317"/>
      <c r="RRK387" s="1317"/>
      <c r="RRL387" s="1317"/>
      <c r="RRM387" s="1317"/>
      <c r="RRN387" s="1317"/>
      <c r="RRO387" s="1317"/>
      <c r="RRP387" s="1317"/>
      <c r="RRQ387" s="1317"/>
      <c r="RRR387" s="1317"/>
      <c r="RRS387" s="1317"/>
      <c r="RRT387" s="1317"/>
      <c r="RRU387" s="1317"/>
      <c r="RRV387" s="1317"/>
      <c r="RRW387" s="1317"/>
      <c r="RRX387" s="1317"/>
      <c r="RRY387" s="1317"/>
      <c r="RRZ387" s="1317"/>
      <c r="RSA387" s="1317"/>
      <c r="RSB387" s="1317"/>
      <c r="RSC387" s="1317"/>
      <c r="RSD387" s="1317"/>
      <c r="RSE387" s="1317"/>
      <c r="RSF387" s="1317"/>
      <c r="RSG387" s="1317"/>
      <c r="RSH387" s="1317"/>
      <c r="RSI387" s="1317"/>
      <c r="RSJ387" s="1317"/>
      <c r="RSK387" s="1317"/>
      <c r="RSL387" s="1317"/>
      <c r="RSM387" s="1317"/>
      <c r="RSN387" s="1317"/>
      <c r="RSO387" s="1317"/>
      <c r="RSP387" s="1317"/>
      <c r="RSQ387" s="1317"/>
      <c r="RSR387" s="1317"/>
      <c r="RSS387" s="1317"/>
      <c r="RST387" s="1317"/>
      <c r="RSU387" s="1317"/>
      <c r="RSV387" s="1317"/>
      <c r="RSW387" s="1317"/>
      <c r="RSX387" s="1317"/>
      <c r="RSY387" s="1317"/>
      <c r="RSZ387" s="1317"/>
      <c r="RTA387" s="1317"/>
      <c r="RTB387" s="1317"/>
      <c r="RTC387" s="1317"/>
      <c r="RTD387" s="1317"/>
      <c r="RTE387" s="1317"/>
      <c r="RTF387" s="1317"/>
      <c r="RTG387" s="1317"/>
      <c r="RTH387" s="1317"/>
      <c r="RTI387" s="1317"/>
      <c r="RTJ387" s="1317"/>
      <c r="RTK387" s="1317"/>
      <c r="RTL387" s="1317"/>
      <c r="RTM387" s="1317"/>
      <c r="RTN387" s="1317"/>
      <c r="RTO387" s="1317"/>
      <c r="RTP387" s="1317"/>
      <c r="RTQ387" s="1317"/>
      <c r="RTR387" s="1317"/>
      <c r="RTS387" s="1317"/>
      <c r="RTT387" s="1317"/>
      <c r="RTU387" s="1317"/>
      <c r="RTV387" s="1317"/>
      <c r="RTW387" s="1317"/>
      <c r="RTX387" s="1317"/>
      <c r="RTY387" s="1317"/>
      <c r="RTZ387" s="1317"/>
      <c r="RUA387" s="1317"/>
      <c r="RUB387" s="1317"/>
      <c r="RUC387" s="1317"/>
      <c r="RUD387" s="1317"/>
      <c r="RUE387" s="1317"/>
      <c r="RUF387" s="1317"/>
      <c r="RUG387" s="1317"/>
      <c r="RUH387" s="1317"/>
      <c r="RUI387" s="1317"/>
      <c r="RUJ387" s="1317"/>
      <c r="RUK387" s="1317"/>
      <c r="RUL387" s="1317"/>
      <c r="RUM387" s="1317"/>
      <c r="RUN387" s="1317"/>
      <c r="RUO387" s="1317"/>
      <c r="RUP387" s="1317"/>
      <c r="RUQ387" s="1317"/>
      <c r="RUR387" s="1317"/>
      <c r="RUS387" s="1317"/>
      <c r="RUT387" s="1317"/>
      <c r="RUU387" s="1317"/>
      <c r="RUV387" s="1317"/>
      <c r="RUW387" s="1317"/>
      <c r="RUX387" s="1317"/>
      <c r="RUY387" s="1317"/>
      <c r="RUZ387" s="1317"/>
      <c r="RVA387" s="1317"/>
      <c r="RVB387" s="1317"/>
      <c r="RVC387" s="1317"/>
      <c r="RVD387" s="1317"/>
      <c r="RVE387" s="1317"/>
      <c r="RVF387" s="1317"/>
      <c r="RVG387" s="1317"/>
      <c r="RVH387" s="1317"/>
      <c r="RVI387" s="1317"/>
      <c r="RVJ387" s="1317"/>
      <c r="RVK387" s="1317"/>
      <c r="RVL387" s="1317"/>
      <c r="RVM387" s="1317"/>
      <c r="RVN387" s="1317"/>
      <c r="RVO387" s="1317"/>
      <c r="RVP387" s="1317"/>
      <c r="RVQ387" s="1317"/>
      <c r="RVR387" s="1317"/>
      <c r="RVS387" s="1317"/>
      <c r="RVT387" s="1317"/>
      <c r="RVU387" s="1317"/>
      <c r="RVV387" s="1317"/>
      <c r="RVW387" s="1317"/>
      <c r="RVX387" s="1317"/>
      <c r="RVY387" s="1317"/>
      <c r="RVZ387" s="1317"/>
      <c r="RWA387" s="1317"/>
      <c r="RWB387" s="1317"/>
      <c r="RWC387" s="1317"/>
      <c r="RWD387" s="1317"/>
      <c r="RWE387" s="1317"/>
      <c r="RWF387" s="1317"/>
      <c r="RWG387" s="1317"/>
      <c r="RWH387" s="1317"/>
      <c r="RWI387" s="1317"/>
      <c r="RWJ387" s="1317"/>
      <c r="RWK387" s="1317"/>
      <c r="RWL387" s="1317"/>
      <c r="RWM387" s="1317"/>
      <c r="RWN387" s="1317"/>
      <c r="RWO387" s="1317"/>
      <c r="RWP387" s="1317"/>
      <c r="RWQ387" s="1317"/>
      <c r="RWR387" s="1317"/>
      <c r="RWS387" s="1317"/>
      <c r="RWT387" s="1317"/>
      <c r="RWU387" s="1317"/>
      <c r="RWV387" s="1317"/>
      <c r="RWW387" s="1317"/>
      <c r="RWX387" s="1317"/>
      <c r="RWY387" s="1317"/>
      <c r="RWZ387" s="1317"/>
      <c r="RXA387" s="1317"/>
      <c r="RXB387" s="1317"/>
      <c r="RXC387" s="1317"/>
      <c r="RXD387" s="1317"/>
      <c r="RXE387" s="1317"/>
      <c r="RXF387" s="1317"/>
      <c r="RXG387" s="1317"/>
      <c r="RXH387" s="1317"/>
      <c r="RXI387" s="1317"/>
      <c r="RXJ387" s="1317"/>
      <c r="RXK387" s="1317"/>
      <c r="RXL387" s="1317"/>
      <c r="RXM387" s="1317"/>
      <c r="RXN387" s="1317"/>
      <c r="RXO387" s="1317"/>
      <c r="RXP387" s="1317"/>
      <c r="RXQ387" s="1317"/>
      <c r="RXR387" s="1317"/>
      <c r="RXS387" s="1317"/>
      <c r="RXT387" s="1317"/>
      <c r="RXU387" s="1317"/>
      <c r="RXV387" s="1317"/>
      <c r="RXW387" s="1317"/>
      <c r="RXX387" s="1317"/>
      <c r="RXY387" s="1317"/>
      <c r="RXZ387" s="1317"/>
      <c r="RYA387" s="1317"/>
      <c r="RYB387" s="1317"/>
      <c r="RYC387" s="1317"/>
      <c r="RYD387" s="1317"/>
      <c r="RYE387" s="1317"/>
      <c r="RYF387" s="1317"/>
      <c r="RYG387" s="1317"/>
      <c r="RYH387" s="1317"/>
      <c r="RYI387" s="1317"/>
      <c r="RYJ387" s="1317"/>
      <c r="RYK387" s="1317"/>
      <c r="RYL387" s="1317"/>
      <c r="RYM387" s="1317"/>
      <c r="RYN387" s="1317"/>
      <c r="RYO387" s="1317"/>
      <c r="RYP387" s="1317"/>
      <c r="RYQ387" s="1317"/>
      <c r="RYR387" s="1317"/>
      <c r="RYS387" s="1317"/>
      <c r="RYT387" s="1317"/>
      <c r="RYU387" s="1317"/>
      <c r="RYV387" s="1317"/>
      <c r="RYW387" s="1317"/>
      <c r="RYX387" s="1317"/>
      <c r="RYY387" s="1317"/>
      <c r="RYZ387" s="1317"/>
      <c r="RZA387" s="1317"/>
      <c r="RZB387" s="1317"/>
      <c r="RZC387" s="1317"/>
      <c r="RZD387" s="1317"/>
      <c r="RZE387" s="1317"/>
      <c r="RZF387" s="1317"/>
      <c r="RZG387" s="1317"/>
      <c r="RZH387" s="1317"/>
      <c r="RZI387" s="1317"/>
      <c r="RZJ387" s="1317"/>
      <c r="RZK387" s="1317"/>
      <c r="RZL387" s="1317"/>
      <c r="RZM387" s="1317"/>
      <c r="RZN387" s="1317"/>
      <c r="RZO387" s="1317"/>
      <c r="RZP387" s="1317"/>
      <c r="RZQ387" s="1317"/>
      <c r="RZR387" s="1317"/>
      <c r="RZS387" s="1317"/>
      <c r="RZT387" s="1317"/>
      <c r="RZU387" s="1317"/>
      <c r="RZV387" s="1317"/>
      <c r="RZW387" s="1317"/>
      <c r="RZX387" s="1317"/>
      <c r="RZY387" s="1317"/>
      <c r="RZZ387" s="1317"/>
      <c r="SAA387" s="1317"/>
      <c r="SAB387" s="1317"/>
      <c r="SAC387" s="1317"/>
      <c r="SAD387" s="1317"/>
      <c r="SAE387" s="1317"/>
      <c r="SAF387" s="1317"/>
      <c r="SAG387" s="1317"/>
      <c r="SAH387" s="1317"/>
      <c r="SAI387" s="1317"/>
      <c r="SAJ387" s="1317"/>
      <c r="SAK387" s="1317"/>
      <c r="SAL387" s="1317"/>
      <c r="SAM387" s="1317"/>
      <c r="SAN387" s="1317"/>
      <c r="SAO387" s="1317"/>
      <c r="SAP387" s="1317"/>
      <c r="SAQ387" s="1317"/>
      <c r="SAR387" s="1317"/>
      <c r="SAS387" s="1317"/>
      <c r="SAT387" s="1317"/>
      <c r="SAU387" s="1317"/>
      <c r="SAV387" s="1317"/>
      <c r="SAW387" s="1317"/>
      <c r="SAX387" s="1317"/>
      <c r="SAY387" s="1317"/>
      <c r="SAZ387" s="1317"/>
      <c r="SBA387" s="1317"/>
      <c r="SBB387" s="1317"/>
      <c r="SBC387" s="1317"/>
      <c r="SBD387" s="1317"/>
      <c r="SBE387" s="1317"/>
      <c r="SBF387" s="1317"/>
      <c r="SBG387" s="1317"/>
      <c r="SBH387" s="1317"/>
      <c r="SBI387" s="1317"/>
      <c r="SBJ387" s="1317"/>
      <c r="SBK387" s="1317"/>
      <c r="SBL387" s="1317"/>
      <c r="SBM387" s="1317"/>
      <c r="SBN387" s="1317"/>
      <c r="SBO387" s="1317"/>
      <c r="SBP387" s="1317"/>
      <c r="SBQ387" s="1317"/>
      <c r="SBR387" s="1317"/>
      <c r="SBS387" s="1317"/>
      <c r="SBT387" s="1317"/>
      <c r="SBU387" s="1317"/>
      <c r="SBV387" s="1317"/>
      <c r="SBW387" s="1317"/>
      <c r="SBX387" s="1317"/>
      <c r="SBY387" s="1317"/>
      <c r="SBZ387" s="1317"/>
      <c r="SCA387" s="1317"/>
      <c r="SCB387" s="1317"/>
      <c r="SCC387" s="1317"/>
      <c r="SCD387" s="1317"/>
      <c r="SCE387" s="1317"/>
      <c r="SCF387" s="1317"/>
      <c r="SCG387" s="1317"/>
      <c r="SCH387" s="1317"/>
      <c r="SCI387" s="1317"/>
      <c r="SCJ387" s="1317"/>
      <c r="SCK387" s="1317"/>
      <c r="SCL387" s="1317"/>
      <c r="SCM387" s="1317"/>
      <c r="SCN387" s="1317"/>
      <c r="SCO387" s="1317"/>
      <c r="SCP387" s="1317"/>
      <c r="SCQ387" s="1317"/>
      <c r="SCR387" s="1317"/>
      <c r="SCS387" s="1317"/>
      <c r="SCT387" s="1317"/>
      <c r="SCU387" s="1317"/>
      <c r="SCV387" s="1317"/>
      <c r="SCW387" s="1317"/>
      <c r="SCX387" s="1317"/>
      <c r="SCY387" s="1317"/>
      <c r="SCZ387" s="1317"/>
      <c r="SDA387" s="1317"/>
      <c r="SDB387" s="1317"/>
      <c r="SDC387" s="1317"/>
      <c r="SDD387" s="1317"/>
      <c r="SDE387" s="1317"/>
      <c r="SDF387" s="1317"/>
      <c r="SDG387" s="1317"/>
      <c r="SDH387" s="1317"/>
      <c r="SDI387" s="1317"/>
      <c r="SDJ387" s="1317"/>
      <c r="SDK387" s="1317"/>
      <c r="SDL387" s="1317"/>
      <c r="SDM387" s="1317"/>
      <c r="SDN387" s="1317"/>
      <c r="SDO387" s="1317"/>
      <c r="SDP387" s="1317"/>
      <c r="SDQ387" s="1317"/>
      <c r="SDR387" s="1317"/>
      <c r="SDS387" s="1317"/>
      <c r="SDT387" s="1317"/>
      <c r="SDU387" s="1317"/>
      <c r="SDV387" s="1317"/>
      <c r="SDW387" s="1317"/>
      <c r="SDX387" s="1317"/>
      <c r="SDY387" s="1317"/>
      <c r="SDZ387" s="1317"/>
      <c r="SEA387" s="1317"/>
      <c r="SEB387" s="1317"/>
      <c r="SEC387" s="1317"/>
      <c r="SED387" s="1317"/>
      <c r="SEE387" s="1317"/>
      <c r="SEF387" s="1317"/>
      <c r="SEG387" s="1317"/>
      <c r="SEH387" s="1317"/>
      <c r="SEI387" s="1317"/>
      <c r="SEJ387" s="1317"/>
      <c r="SEK387" s="1317"/>
      <c r="SEL387" s="1317"/>
      <c r="SEM387" s="1317"/>
      <c r="SEN387" s="1317"/>
      <c r="SEO387" s="1317"/>
      <c r="SEP387" s="1317"/>
      <c r="SEQ387" s="1317"/>
      <c r="SER387" s="1317"/>
      <c r="SES387" s="1317"/>
      <c r="SET387" s="1317"/>
      <c r="SEU387" s="1317"/>
      <c r="SEV387" s="1317"/>
      <c r="SEW387" s="1317"/>
      <c r="SEX387" s="1317"/>
      <c r="SEY387" s="1317"/>
      <c r="SEZ387" s="1317"/>
      <c r="SFA387" s="1317"/>
      <c r="SFB387" s="1317"/>
      <c r="SFC387" s="1317"/>
      <c r="SFD387" s="1317"/>
      <c r="SFE387" s="1317"/>
      <c r="SFF387" s="1317"/>
      <c r="SFG387" s="1317"/>
      <c r="SFH387" s="1317"/>
      <c r="SFI387" s="1317"/>
      <c r="SFJ387" s="1317"/>
      <c r="SFK387" s="1317"/>
      <c r="SFL387" s="1317"/>
      <c r="SFM387" s="1317"/>
      <c r="SFN387" s="1317"/>
      <c r="SFO387" s="1317"/>
      <c r="SFP387" s="1317"/>
      <c r="SFQ387" s="1317"/>
      <c r="SFR387" s="1317"/>
      <c r="SFS387" s="1317"/>
      <c r="SFT387" s="1317"/>
      <c r="SFU387" s="1317"/>
      <c r="SFV387" s="1317"/>
      <c r="SFW387" s="1317"/>
      <c r="SFX387" s="1317"/>
      <c r="SFY387" s="1317"/>
      <c r="SFZ387" s="1317"/>
      <c r="SGA387" s="1317"/>
      <c r="SGB387" s="1317"/>
      <c r="SGC387" s="1317"/>
      <c r="SGD387" s="1317"/>
      <c r="SGE387" s="1317"/>
      <c r="SGF387" s="1317"/>
      <c r="SGG387" s="1317"/>
      <c r="SGH387" s="1317"/>
      <c r="SGI387" s="1317"/>
      <c r="SGJ387" s="1317"/>
      <c r="SGK387" s="1317"/>
      <c r="SGL387" s="1317"/>
      <c r="SGM387" s="1317"/>
      <c r="SGN387" s="1317"/>
      <c r="SGO387" s="1317"/>
      <c r="SGP387" s="1317"/>
      <c r="SGQ387" s="1317"/>
      <c r="SGR387" s="1317"/>
      <c r="SGS387" s="1317"/>
      <c r="SGT387" s="1317"/>
      <c r="SGU387" s="1317"/>
      <c r="SGV387" s="1317"/>
      <c r="SGW387" s="1317"/>
      <c r="SGX387" s="1317"/>
      <c r="SGY387" s="1317"/>
      <c r="SGZ387" s="1317"/>
      <c r="SHA387" s="1317"/>
      <c r="SHB387" s="1317"/>
      <c r="SHC387" s="1317"/>
      <c r="SHD387" s="1317"/>
      <c r="SHE387" s="1317"/>
      <c r="SHF387" s="1317"/>
      <c r="SHG387" s="1317"/>
      <c r="SHH387" s="1317"/>
      <c r="SHI387" s="1317"/>
      <c r="SHJ387" s="1317"/>
      <c r="SHK387" s="1317"/>
      <c r="SHL387" s="1317"/>
      <c r="SHM387" s="1317"/>
      <c r="SHN387" s="1317"/>
      <c r="SHO387" s="1317"/>
      <c r="SHP387" s="1317"/>
      <c r="SHQ387" s="1317"/>
      <c r="SHR387" s="1317"/>
      <c r="SHS387" s="1317"/>
      <c r="SHT387" s="1317"/>
      <c r="SHU387" s="1317"/>
      <c r="SHV387" s="1317"/>
      <c r="SHW387" s="1317"/>
      <c r="SHX387" s="1317"/>
      <c r="SHY387" s="1317"/>
      <c r="SHZ387" s="1317"/>
      <c r="SIA387" s="1317"/>
      <c r="SIB387" s="1317"/>
      <c r="SIC387" s="1317"/>
      <c r="SID387" s="1317"/>
      <c r="SIE387" s="1317"/>
      <c r="SIF387" s="1317"/>
      <c r="SIG387" s="1317"/>
      <c r="SIH387" s="1317"/>
      <c r="SII387" s="1317"/>
      <c r="SIJ387" s="1317"/>
      <c r="SIK387" s="1317"/>
      <c r="SIL387" s="1317"/>
      <c r="SIM387" s="1317"/>
      <c r="SIN387" s="1317"/>
      <c r="SIO387" s="1317"/>
      <c r="SIP387" s="1317"/>
      <c r="SIQ387" s="1317"/>
      <c r="SIR387" s="1317"/>
      <c r="SIS387" s="1317"/>
      <c r="SIT387" s="1317"/>
      <c r="SIU387" s="1317"/>
      <c r="SIV387" s="1317"/>
      <c r="SIW387" s="1317"/>
      <c r="SIX387" s="1317"/>
      <c r="SIY387" s="1317"/>
      <c r="SIZ387" s="1317"/>
      <c r="SJA387" s="1317"/>
      <c r="SJB387" s="1317"/>
      <c r="SJC387" s="1317"/>
      <c r="SJD387" s="1317"/>
      <c r="SJE387" s="1317"/>
      <c r="SJF387" s="1317"/>
      <c r="SJG387" s="1317"/>
      <c r="SJH387" s="1317"/>
      <c r="SJI387" s="1317"/>
      <c r="SJJ387" s="1317"/>
      <c r="SJK387" s="1317"/>
      <c r="SJL387" s="1317"/>
      <c r="SJM387" s="1317"/>
      <c r="SJN387" s="1317"/>
      <c r="SJO387" s="1317"/>
      <c r="SJP387" s="1317"/>
      <c r="SJQ387" s="1317"/>
      <c r="SJR387" s="1317"/>
      <c r="SJS387" s="1317"/>
      <c r="SJT387" s="1317"/>
      <c r="SJU387" s="1317"/>
      <c r="SJV387" s="1317"/>
      <c r="SJW387" s="1317"/>
      <c r="SJX387" s="1317"/>
      <c r="SJY387" s="1317"/>
      <c r="SJZ387" s="1317"/>
      <c r="SKA387" s="1317"/>
      <c r="SKB387" s="1317"/>
      <c r="SKC387" s="1317"/>
      <c r="SKD387" s="1317"/>
      <c r="SKE387" s="1317"/>
      <c r="SKF387" s="1317"/>
      <c r="SKG387" s="1317"/>
      <c r="SKH387" s="1317"/>
      <c r="SKI387" s="1317"/>
      <c r="SKJ387" s="1317"/>
      <c r="SKK387" s="1317"/>
      <c r="SKL387" s="1317"/>
      <c r="SKM387" s="1317"/>
      <c r="SKN387" s="1317"/>
      <c r="SKO387" s="1317"/>
      <c r="SKP387" s="1317"/>
      <c r="SKQ387" s="1317"/>
      <c r="SKR387" s="1317"/>
      <c r="SKS387" s="1317"/>
      <c r="SKT387" s="1317"/>
      <c r="SKU387" s="1317"/>
      <c r="SKV387" s="1317"/>
      <c r="SKW387" s="1317"/>
      <c r="SKX387" s="1317"/>
      <c r="SKY387" s="1317"/>
      <c r="SKZ387" s="1317"/>
      <c r="SLA387" s="1317"/>
      <c r="SLB387" s="1317"/>
      <c r="SLC387" s="1317"/>
      <c r="SLD387" s="1317"/>
      <c r="SLE387" s="1317"/>
      <c r="SLF387" s="1317"/>
      <c r="SLG387" s="1317"/>
      <c r="SLH387" s="1317"/>
      <c r="SLI387" s="1317"/>
      <c r="SLJ387" s="1317"/>
      <c r="SLK387" s="1317"/>
      <c r="SLL387" s="1317"/>
      <c r="SLM387" s="1317"/>
      <c r="SLN387" s="1317"/>
      <c r="SLO387" s="1317"/>
      <c r="SLP387" s="1317"/>
      <c r="SLQ387" s="1317"/>
      <c r="SLR387" s="1317"/>
      <c r="SLS387" s="1317"/>
      <c r="SLT387" s="1317"/>
      <c r="SLU387" s="1317"/>
      <c r="SLV387" s="1317"/>
      <c r="SLW387" s="1317"/>
      <c r="SLX387" s="1317"/>
      <c r="SLY387" s="1317"/>
      <c r="SLZ387" s="1317"/>
      <c r="SMA387" s="1317"/>
      <c r="SMB387" s="1317"/>
      <c r="SMC387" s="1317"/>
      <c r="SMD387" s="1317"/>
      <c r="SME387" s="1317"/>
      <c r="SMF387" s="1317"/>
      <c r="SMG387" s="1317"/>
      <c r="SMH387" s="1317"/>
      <c r="SMI387" s="1317"/>
      <c r="SMJ387" s="1317"/>
      <c r="SMK387" s="1317"/>
      <c r="SML387" s="1317"/>
      <c r="SMM387" s="1317"/>
      <c r="SMN387" s="1317"/>
      <c r="SMO387" s="1317"/>
      <c r="SMP387" s="1317"/>
      <c r="SMQ387" s="1317"/>
      <c r="SMR387" s="1317"/>
      <c r="SMS387" s="1317"/>
      <c r="SMT387" s="1317"/>
      <c r="SMU387" s="1317"/>
      <c r="SMV387" s="1317"/>
      <c r="SMW387" s="1317"/>
      <c r="SMX387" s="1317"/>
      <c r="SMY387" s="1317"/>
      <c r="SMZ387" s="1317"/>
      <c r="SNA387" s="1317"/>
      <c r="SNB387" s="1317"/>
      <c r="SNC387" s="1317"/>
      <c r="SND387" s="1317"/>
      <c r="SNE387" s="1317"/>
      <c r="SNF387" s="1317"/>
      <c r="SNG387" s="1317"/>
      <c r="SNH387" s="1317"/>
      <c r="SNI387" s="1317"/>
      <c r="SNJ387" s="1317"/>
      <c r="SNK387" s="1317"/>
      <c r="SNL387" s="1317"/>
      <c r="SNM387" s="1317"/>
      <c r="SNN387" s="1317"/>
      <c r="SNO387" s="1317"/>
      <c r="SNP387" s="1317"/>
      <c r="SNQ387" s="1317"/>
      <c r="SNR387" s="1317"/>
      <c r="SNS387" s="1317"/>
      <c r="SNT387" s="1317"/>
      <c r="SNU387" s="1317"/>
      <c r="SNV387" s="1317"/>
      <c r="SNW387" s="1317"/>
      <c r="SNX387" s="1317"/>
      <c r="SNY387" s="1317"/>
      <c r="SNZ387" s="1317"/>
      <c r="SOA387" s="1317"/>
      <c r="SOB387" s="1317"/>
      <c r="SOC387" s="1317"/>
      <c r="SOD387" s="1317"/>
      <c r="SOE387" s="1317"/>
      <c r="SOF387" s="1317"/>
      <c r="SOG387" s="1317"/>
      <c r="SOH387" s="1317"/>
      <c r="SOI387" s="1317"/>
      <c r="SOJ387" s="1317"/>
      <c r="SOK387" s="1317"/>
      <c r="SOL387" s="1317"/>
      <c r="SOM387" s="1317"/>
      <c r="SON387" s="1317"/>
      <c r="SOO387" s="1317"/>
      <c r="SOP387" s="1317"/>
      <c r="SOQ387" s="1317"/>
      <c r="SOR387" s="1317"/>
      <c r="SOS387" s="1317"/>
      <c r="SOT387" s="1317"/>
      <c r="SOU387" s="1317"/>
      <c r="SOV387" s="1317"/>
      <c r="SOW387" s="1317"/>
      <c r="SOX387" s="1317"/>
      <c r="SOY387" s="1317"/>
      <c r="SOZ387" s="1317"/>
      <c r="SPA387" s="1317"/>
      <c r="SPB387" s="1317"/>
      <c r="SPC387" s="1317"/>
      <c r="SPD387" s="1317"/>
      <c r="SPE387" s="1317"/>
      <c r="SPF387" s="1317"/>
      <c r="SPG387" s="1317"/>
      <c r="SPH387" s="1317"/>
      <c r="SPI387" s="1317"/>
      <c r="SPJ387" s="1317"/>
      <c r="SPK387" s="1317"/>
      <c r="SPL387" s="1317"/>
      <c r="SPM387" s="1317"/>
      <c r="SPN387" s="1317"/>
      <c r="SPO387" s="1317"/>
      <c r="SPP387" s="1317"/>
      <c r="SPQ387" s="1317"/>
      <c r="SPR387" s="1317"/>
      <c r="SPS387" s="1317"/>
      <c r="SPT387" s="1317"/>
      <c r="SPU387" s="1317"/>
      <c r="SPV387" s="1317"/>
      <c r="SPW387" s="1317"/>
      <c r="SPX387" s="1317"/>
      <c r="SPY387" s="1317"/>
      <c r="SPZ387" s="1317"/>
      <c r="SQA387" s="1317"/>
      <c r="SQB387" s="1317"/>
      <c r="SQC387" s="1317"/>
      <c r="SQD387" s="1317"/>
      <c r="SQE387" s="1317"/>
      <c r="SQF387" s="1317"/>
      <c r="SQG387" s="1317"/>
      <c r="SQH387" s="1317"/>
      <c r="SQI387" s="1317"/>
      <c r="SQJ387" s="1317"/>
      <c r="SQK387" s="1317"/>
      <c r="SQL387" s="1317"/>
      <c r="SQM387" s="1317"/>
      <c r="SQN387" s="1317"/>
      <c r="SQO387" s="1317"/>
      <c r="SQP387" s="1317"/>
      <c r="SQQ387" s="1317"/>
      <c r="SQR387" s="1317"/>
      <c r="SQS387" s="1317"/>
      <c r="SQT387" s="1317"/>
      <c r="SQU387" s="1317"/>
      <c r="SQV387" s="1317"/>
      <c r="SQW387" s="1317"/>
      <c r="SQX387" s="1317"/>
      <c r="SQY387" s="1317"/>
      <c r="SQZ387" s="1317"/>
      <c r="SRA387" s="1317"/>
      <c r="SRB387" s="1317"/>
      <c r="SRC387" s="1317"/>
      <c r="SRD387" s="1317"/>
      <c r="SRE387" s="1317"/>
      <c r="SRF387" s="1317"/>
      <c r="SRG387" s="1317"/>
      <c r="SRH387" s="1317"/>
      <c r="SRI387" s="1317"/>
      <c r="SRJ387" s="1317"/>
      <c r="SRK387" s="1317"/>
      <c r="SRL387" s="1317"/>
      <c r="SRM387" s="1317"/>
      <c r="SRN387" s="1317"/>
      <c r="SRO387" s="1317"/>
      <c r="SRP387" s="1317"/>
      <c r="SRQ387" s="1317"/>
      <c r="SRR387" s="1317"/>
      <c r="SRS387" s="1317"/>
      <c r="SRT387" s="1317"/>
      <c r="SRU387" s="1317"/>
      <c r="SRV387" s="1317"/>
      <c r="SRW387" s="1317"/>
      <c r="SRX387" s="1317"/>
      <c r="SRY387" s="1317"/>
      <c r="SRZ387" s="1317"/>
      <c r="SSA387" s="1317"/>
      <c r="SSB387" s="1317"/>
      <c r="SSC387" s="1317"/>
      <c r="SSD387" s="1317"/>
      <c r="SSE387" s="1317"/>
      <c r="SSF387" s="1317"/>
      <c r="SSG387" s="1317"/>
      <c r="SSH387" s="1317"/>
      <c r="SSI387" s="1317"/>
      <c r="SSJ387" s="1317"/>
      <c r="SSK387" s="1317"/>
      <c r="SSL387" s="1317"/>
      <c r="SSM387" s="1317"/>
      <c r="SSN387" s="1317"/>
      <c r="SSO387" s="1317"/>
      <c r="SSP387" s="1317"/>
      <c r="SSQ387" s="1317"/>
      <c r="SSR387" s="1317"/>
      <c r="SSS387" s="1317"/>
      <c r="SST387" s="1317"/>
      <c r="SSU387" s="1317"/>
      <c r="SSV387" s="1317"/>
      <c r="SSW387" s="1317"/>
      <c r="SSX387" s="1317"/>
      <c r="SSY387" s="1317"/>
      <c r="SSZ387" s="1317"/>
      <c r="STA387" s="1317"/>
      <c r="STB387" s="1317"/>
      <c r="STC387" s="1317"/>
      <c r="STD387" s="1317"/>
      <c r="STE387" s="1317"/>
      <c r="STF387" s="1317"/>
      <c r="STG387" s="1317"/>
      <c r="STH387" s="1317"/>
      <c r="STI387" s="1317"/>
      <c r="STJ387" s="1317"/>
      <c r="STK387" s="1317"/>
      <c r="STL387" s="1317"/>
      <c r="STM387" s="1317"/>
      <c r="STN387" s="1317"/>
      <c r="STO387" s="1317"/>
      <c r="STP387" s="1317"/>
      <c r="STQ387" s="1317"/>
      <c r="STR387" s="1317"/>
      <c r="STS387" s="1317"/>
      <c r="STT387" s="1317"/>
      <c r="STU387" s="1317"/>
      <c r="STV387" s="1317"/>
      <c r="STW387" s="1317"/>
      <c r="STX387" s="1317"/>
      <c r="STY387" s="1317"/>
      <c r="STZ387" s="1317"/>
      <c r="SUA387" s="1317"/>
      <c r="SUB387" s="1317"/>
      <c r="SUC387" s="1317"/>
      <c r="SUD387" s="1317"/>
      <c r="SUE387" s="1317"/>
      <c r="SUF387" s="1317"/>
      <c r="SUG387" s="1317"/>
      <c r="SUH387" s="1317"/>
      <c r="SUI387" s="1317"/>
      <c r="SUJ387" s="1317"/>
      <c r="SUK387" s="1317"/>
      <c r="SUL387" s="1317"/>
      <c r="SUM387" s="1317"/>
      <c r="SUN387" s="1317"/>
      <c r="SUO387" s="1317"/>
      <c r="SUP387" s="1317"/>
      <c r="SUQ387" s="1317"/>
      <c r="SUR387" s="1317"/>
      <c r="SUS387" s="1317"/>
      <c r="SUT387" s="1317"/>
      <c r="SUU387" s="1317"/>
      <c r="SUV387" s="1317"/>
      <c r="SUW387" s="1317"/>
      <c r="SUX387" s="1317"/>
      <c r="SUY387" s="1317"/>
      <c r="SUZ387" s="1317"/>
      <c r="SVA387" s="1317"/>
      <c r="SVB387" s="1317"/>
      <c r="SVC387" s="1317"/>
      <c r="SVD387" s="1317"/>
      <c r="SVE387" s="1317"/>
      <c r="SVF387" s="1317"/>
      <c r="SVG387" s="1317"/>
      <c r="SVH387" s="1317"/>
      <c r="SVI387" s="1317"/>
      <c r="SVJ387" s="1317"/>
      <c r="SVK387" s="1317"/>
      <c r="SVL387" s="1317"/>
      <c r="SVM387" s="1317"/>
      <c r="SVN387" s="1317"/>
      <c r="SVO387" s="1317"/>
      <c r="SVP387" s="1317"/>
      <c r="SVQ387" s="1317"/>
      <c r="SVR387" s="1317"/>
      <c r="SVS387" s="1317"/>
      <c r="SVT387" s="1317"/>
      <c r="SVU387" s="1317"/>
      <c r="SVV387" s="1317"/>
      <c r="SVW387" s="1317"/>
      <c r="SVX387" s="1317"/>
      <c r="SVY387" s="1317"/>
      <c r="SVZ387" s="1317"/>
      <c r="SWA387" s="1317"/>
      <c r="SWB387" s="1317"/>
      <c r="SWC387" s="1317"/>
      <c r="SWD387" s="1317"/>
      <c r="SWE387" s="1317"/>
      <c r="SWF387" s="1317"/>
      <c r="SWG387" s="1317"/>
      <c r="SWH387" s="1317"/>
      <c r="SWI387" s="1317"/>
      <c r="SWJ387" s="1317"/>
      <c r="SWK387" s="1317"/>
      <c r="SWL387" s="1317"/>
      <c r="SWM387" s="1317"/>
      <c r="SWN387" s="1317"/>
      <c r="SWO387" s="1317"/>
      <c r="SWP387" s="1317"/>
      <c r="SWQ387" s="1317"/>
      <c r="SWR387" s="1317"/>
      <c r="SWS387" s="1317"/>
      <c r="SWT387" s="1317"/>
      <c r="SWU387" s="1317"/>
      <c r="SWV387" s="1317"/>
      <c r="SWW387" s="1317"/>
      <c r="SWX387" s="1317"/>
      <c r="SWY387" s="1317"/>
      <c r="SWZ387" s="1317"/>
      <c r="SXA387" s="1317"/>
      <c r="SXB387" s="1317"/>
      <c r="SXC387" s="1317"/>
      <c r="SXD387" s="1317"/>
      <c r="SXE387" s="1317"/>
      <c r="SXF387" s="1317"/>
      <c r="SXG387" s="1317"/>
      <c r="SXH387" s="1317"/>
      <c r="SXI387" s="1317"/>
      <c r="SXJ387" s="1317"/>
      <c r="SXK387" s="1317"/>
      <c r="SXL387" s="1317"/>
      <c r="SXM387" s="1317"/>
      <c r="SXN387" s="1317"/>
      <c r="SXO387" s="1317"/>
      <c r="SXP387" s="1317"/>
      <c r="SXQ387" s="1317"/>
      <c r="SXR387" s="1317"/>
      <c r="SXS387" s="1317"/>
      <c r="SXT387" s="1317"/>
      <c r="SXU387" s="1317"/>
      <c r="SXV387" s="1317"/>
      <c r="SXW387" s="1317"/>
      <c r="SXX387" s="1317"/>
      <c r="SXY387" s="1317"/>
      <c r="SXZ387" s="1317"/>
      <c r="SYA387" s="1317"/>
      <c r="SYB387" s="1317"/>
      <c r="SYC387" s="1317"/>
      <c r="SYD387" s="1317"/>
      <c r="SYE387" s="1317"/>
      <c r="SYF387" s="1317"/>
      <c r="SYG387" s="1317"/>
      <c r="SYH387" s="1317"/>
      <c r="SYI387" s="1317"/>
      <c r="SYJ387" s="1317"/>
      <c r="SYK387" s="1317"/>
      <c r="SYL387" s="1317"/>
      <c r="SYM387" s="1317"/>
      <c r="SYN387" s="1317"/>
      <c r="SYO387" s="1317"/>
      <c r="SYP387" s="1317"/>
      <c r="SYQ387" s="1317"/>
      <c r="SYR387" s="1317"/>
      <c r="SYS387" s="1317"/>
      <c r="SYT387" s="1317"/>
      <c r="SYU387" s="1317"/>
      <c r="SYV387" s="1317"/>
      <c r="SYW387" s="1317"/>
      <c r="SYX387" s="1317"/>
      <c r="SYY387" s="1317"/>
      <c r="SYZ387" s="1317"/>
      <c r="SZA387" s="1317"/>
      <c r="SZB387" s="1317"/>
      <c r="SZC387" s="1317"/>
      <c r="SZD387" s="1317"/>
      <c r="SZE387" s="1317"/>
      <c r="SZF387" s="1317"/>
      <c r="SZG387" s="1317"/>
      <c r="SZH387" s="1317"/>
      <c r="SZI387" s="1317"/>
      <c r="SZJ387" s="1317"/>
      <c r="SZK387" s="1317"/>
      <c r="SZL387" s="1317"/>
      <c r="SZM387" s="1317"/>
      <c r="SZN387" s="1317"/>
      <c r="SZO387" s="1317"/>
      <c r="SZP387" s="1317"/>
      <c r="SZQ387" s="1317"/>
      <c r="SZR387" s="1317"/>
      <c r="SZS387" s="1317"/>
      <c r="SZT387" s="1317"/>
      <c r="SZU387" s="1317"/>
      <c r="SZV387" s="1317"/>
      <c r="SZW387" s="1317"/>
      <c r="SZX387" s="1317"/>
      <c r="SZY387" s="1317"/>
      <c r="SZZ387" s="1317"/>
      <c r="TAA387" s="1317"/>
      <c r="TAB387" s="1317"/>
      <c r="TAC387" s="1317"/>
      <c r="TAD387" s="1317"/>
      <c r="TAE387" s="1317"/>
      <c r="TAF387" s="1317"/>
      <c r="TAG387" s="1317"/>
      <c r="TAH387" s="1317"/>
      <c r="TAI387" s="1317"/>
      <c r="TAJ387" s="1317"/>
      <c r="TAK387" s="1317"/>
      <c r="TAL387" s="1317"/>
      <c r="TAM387" s="1317"/>
      <c r="TAN387" s="1317"/>
      <c r="TAO387" s="1317"/>
      <c r="TAP387" s="1317"/>
      <c r="TAQ387" s="1317"/>
      <c r="TAR387" s="1317"/>
      <c r="TAS387" s="1317"/>
      <c r="TAT387" s="1317"/>
      <c r="TAU387" s="1317"/>
      <c r="TAV387" s="1317"/>
      <c r="TAW387" s="1317"/>
      <c r="TAX387" s="1317"/>
      <c r="TAY387" s="1317"/>
      <c r="TAZ387" s="1317"/>
      <c r="TBA387" s="1317"/>
      <c r="TBB387" s="1317"/>
      <c r="TBC387" s="1317"/>
      <c r="TBD387" s="1317"/>
      <c r="TBE387" s="1317"/>
      <c r="TBF387" s="1317"/>
      <c r="TBG387" s="1317"/>
      <c r="TBH387" s="1317"/>
      <c r="TBI387" s="1317"/>
      <c r="TBJ387" s="1317"/>
      <c r="TBK387" s="1317"/>
      <c r="TBL387" s="1317"/>
      <c r="TBM387" s="1317"/>
      <c r="TBN387" s="1317"/>
      <c r="TBO387" s="1317"/>
      <c r="TBP387" s="1317"/>
      <c r="TBQ387" s="1317"/>
      <c r="TBR387" s="1317"/>
      <c r="TBS387" s="1317"/>
      <c r="TBT387" s="1317"/>
      <c r="TBU387" s="1317"/>
      <c r="TBV387" s="1317"/>
      <c r="TBW387" s="1317"/>
      <c r="TBX387" s="1317"/>
      <c r="TBY387" s="1317"/>
      <c r="TBZ387" s="1317"/>
      <c r="TCA387" s="1317"/>
      <c r="TCB387" s="1317"/>
      <c r="TCC387" s="1317"/>
      <c r="TCD387" s="1317"/>
      <c r="TCE387" s="1317"/>
      <c r="TCF387" s="1317"/>
      <c r="TCG387" s="1317"/>
      <c r="TCH387" s="1317"/>
      <c r="TCI387" s="1317"/>
      <c r="TCJ387" s="1317"/>
      <c r="TCK387" s="1317"/>
      <c r="TCL387" s="1317"/>
      <c r="TCM387" s="1317"/>
      <c r="TCN387" s="1317"/>
      <c r="TCO387" s="1317"/>
      <c r="TCP387" s="1317"/>
      <c r="TCQ387" s="1317"/>
      <c r="TCR387" s="1317"/>
      <c r="TCS387" s="1317"/>
      <c r="TCT387" s="1317"/>
      <c r="TCU387" s="1317"/>
      <c r="TCV387" s="1317"/>
      <c r="TCW387" s="1317"/>
      <c r="TCX387" s="1317"/>
      <c r="TCY387" s="1317"/>
      <c r="TCZ387" s="1317"/>
      <c r="TDA387" s="1317"/>
      <c r="TDB387" s="1317"/>
      <c r="TDC387" s="1317"/>
      <c r="TDD387" s="1317"/>
      <c r="TDE387" s="1317"/>
      <c r="TDF387" s="1317"/>
      <c r="TDG387" s="1317"/>
      <c r="TDH387" s="1317"/>
      <c r="TDI387" s="1317"/>
      <c r="TDJ387" s="1317"/>
      <c r="TDK387" s="1317"/>
      <c r="TDL387" s="1317"/>
      <c r="TDM387" s="1317"/>
      <c r="TDN387" s="1317"/>
      <c r="TDO387" s="1317"/>
      <c r="TDP387" s="1317"/>
      <c r="TDQ387" s="1317"/>
      <c r="TDR387" s="1317"/>
      <c r="TDS387" s="1317"/>
      <c r="TDT387" s="1317"/>
      <c r="TDU387" s="1317"/>
      <c r="TDV387" s="1317"/>
      <c r="TDW387" s="1317"/>
      <c r="TDX387" s="1317"/>
      <c r="TDY387" s="1317"/>
      <c r="TDZ387" s="1317"/>
      <c r="TEA387" s="1317"/>
      <c r="TEB387" s="1317"/>
      <c r="TEC387" s="1317"/>
      <c r="TED387" s="1317"/>
      <c r="TEE387" s="1317"/>
      <c r="TEF387" s="1317"/>
      <c r="TEG387" s="1317"/>
      <c r="TEH387" s="1317"/>
      <c r="TEI387" s="1317"/>
      <c r="TEJ387" s="1317"/>
      <c r="TEK387" s="1317"/>
      <c r="TEL387" s="1317"/>
      <c r="TEM387" s="1317"/>
      <c r="TEN387" s="1317"/>
      <c r="TEO387" s="1317"/>
      <c r="TEP387" s="1317"/>
      <c r="TEQ387" s="1317"/>
      <c r="TER387" s="1317"/>
      <c r="TES387" s="1317"/>
      <c r="TET387" s="1317"/>
      <c r="TEU387" s="1317"/>
      <c r="TEV387" s="1317"/>
      <c r="TEW387" s="1317"/>
      <c r="TEX387" s="1317"/>
      <c r="TEY387" s="1317"/>
      <c r="TEZ387" s="1317"/>
      <c r="TFA387" s="1317"/>
      <c r="TFB387" s="1317"/>
      <c r="TFC387" s="1317"/>
      <c r="TFD387" s="1317"/>
      <c r="TFE387" s="1317"/>
      <c r="TFF387" s="1317"/>
      <c r="TFG387" s="1317"/>
      <c r="TFH387" s="1317"/>
      <c r="TFI387" s="1317"/>
      <c r="TFJ387" s="1317"/>
      <c r="TFK387" s="1317"/>
      <c r="TFL387" s="1317"/>
      <c r="TFM387" s="1317"/>
      <c r="TFN387" s="1317"/>
      <c r="TFO387" s="1317"/>
      <c r="TFP387" s="1317"/>
      <c r="TFQ387" s="1317"/>
      <c r="TFR387" s="1317"/>
      <c r="TFS387" s="1317"/>
      <c r="TFT387" s="1317"/>
      <c r="TFU387" s="1317"/>
      <c r="TFV387" s="1317"/>
      <c r="TFW387" s="1317"/>
      <c r="TFX387" s="1317"/>
      <c r="TFY387" s="1317"/>
      <c r="TFZ387" s="1317"/>
      <c r="TGA387" s="1317"/>
      <c r="TGB387" s="1317"/>
      <c r="TGC387" s="1317"/>
      <c r="TGD387" s="1317"/>
      <c r="TGE387" s="1317"/>
      <c r="TGF387" s="1317"/>
      <c r="TGG387" s="1317"/>
      <c r="TGH387" s="1317"/>
      <c r="TGI387" s="1317"/>
      <c r="TGJ387" s="1317"/>
      <c r="TGK387" s="1317"/>
      <c r="TGL387" s="1317"/>
      <c r="TGM387" s="1317"/>
      <c r="TGN387" s="1317"/>
      <c r="TGO387" s="1317"/>
      <c r="TGP387" s="1317"/>
      <c r="TGQ387" s="1317"/>
      <c r="TGR387" s="1317"/>
      <c r="TGS387" s="1317"/>
      <c r="TGT387" s="1317"/>
      <c r="TGU387" s="1317"/>
      <c r="TGV387" s="1317"/>
      <c r="TGW387" s="1317"/>
      <c r="TGX387" s="1317"/>
      <c r="TGY387" s="1317"/>
      <c r="TGZ387" s="1317"/>
      <c r="THA387" s="1317"/>
      <c r="THB387" s="1317"/>
      <c r="THC387" s="1317"/>
      <c r="THD387" s="1317"/>
      <c r="THE387" s="1317"/>
      <c r="THF387" s="1317"/>
      <c r="THG387" s="1317"/>
      <c r="THH387" s="1317"/>
      <c r="THI387" s="1317"/>
      <c r="THJ387" s="1317"/>
      <c r="THK387" s="1317"/>
      <c r="THL387" s="1317"/>
      <c r="THM387" s="1317"/>
      <c r="THN387" s="1317"/>
      <c r="THO387" s="1317"/>
      <c r="THP387" s="1317"/>
      <c r="THQ387" s="1317"/>
      <c r="THR387" s="1317"/>
      <c r="THS387" s="1317"/>
      <c r="THT387" s="1317"/>
      <c r="THU387" s="1317"/>
      <c r="THV387" s="1317"/>
      <c r="THW387" s="1317"/>
      <c r="THX387" s="1317"/>
      <c r="THY387" s="1317"/>
      <c r="THZ387" s="1317"/>
      <c r="TIA387" s="1317"/>
      <c r="TIB387" s="1317"/>
      <c r="TIC387" s="1317"/>
      <c r="TID387" s="1317"/>
      <c r="TIE387" s="1317"/>
      <c r="TIF387" s="1317"/>
      <c r="TIG387" s="1317"/>
      <c r="TIH387" s="1317"/>
      <c r="TII387" s="1317"/>
      <c r="TIJ387" s="1317"/>
      <c r="TIK387" s="1317"/>
      <c r="TIL387" s="1317"/>
      <c r="TIM387" s="1317"/>
      <c r="TIN387" s="1317"/>
      <c r="TIO387" s="1317"/>
      <c r="TIP387" s="1317"/>
      <c r="TIQ387" s="1317"/>
      <c r="TIR387" s="1317"/>
      <c r="TIS387" s="1317"/>
      <c r="TIT387" s="1317"/>
      <c r="TIU387" s="1317"/>
      <c r="TIV387" s="1317"/>
      <c r="TIW387" s="1317"/>
      <c r="TIX387" s="1317"/>
      <c r="TIY387" s="1317"/>
      <c r="TIZ387" s="1317"/>
      <c r="TJA387" s="1317"/>
      <c r="TJB387" s="1317"/>
      <c r="TJC387" s="1317"/>
      <c r="TJD387" s="1317"/>
      <c r="TJE387" s="1317"/>
      <c r="TJF387" s="1317"/>
      <c r="TJG387" s="1317"/>
      <c r="TJH387" s="1317"/>
      <c r="TJI387" s="1317"/>
      <c r="TJJ387" s="1317"/>
      <c r="TJK387" s="1317"/>
      <c r="TJL387" s="1317"/>
      <c r="TJM387" s="1317"/>
      <c r="TJN387" s="1317"/>
      <c r="TJO387" s="1317"/>
      <c r="TJP387" s="1317"/>
      <c r="TJQ387" s="1317"/>
      <c r="TJR387" s="1317"/>
      <c r="TJS387" s="1317"/>
      <c r="TJT387" s="1317"/>
      <c r="TJU387" s="1317"/>
      <c r="TJV387" s="1317"/>
      <c r="TJW387" s="1317"/>
      <c r="TJX387" s="1317"/>
      <c r="TJY387" s="1317"/>
      <c r="TJZ387" s="1317"/>
      <c r="TKA387" s="1317"/>
      <c r="TKB387" s="1317"/>
      <c r="TKC387" s="1317"/>
      <c r="TKD387" s="1317"/>
      <c r="TKE387" s="1317"/>
      <c r="TKF387" s="1317"/>
      <c r="TKG387" s="1317"/>
      <c r="TKH387" s="1317"/>
      <c r="TKI387" s="1317"/>
      <c r="TKJ387" s="1317"/>
      <c r="TKK387" s="1317"/>
      <c r="TKL387" s="1317"/>
      <c r="TKM387" s="1317"/>
      <c r="TKN387" s="1317"/>
      <c r="TKO387" s="1317"/>
      <c r="TKP387" s="1317"/>
      <c r="TKQ387" s="1317"/>
      <c r="TKR387" s="1317"/>
      <c r="TKS387" s="1317"/>
      <c r="TKT387" s="1317"/>
      <c r="TKU387" s="1317"/>
      <c r="TKV387" s="1317"/>
      <c r="TKW387" s="1317"/>
      <c r="TKX387" s="1317"/>
      <c r="TKY387" s="1317"/>
      <c r="TKZ387" s="1317"/>
      <c r="TLA387" s="1317"/>
      <c r="TLB387" s="1317"/>
      <c r="TLC387" s="1317"/>
      <c r="TLD387" s="1317"/>
      <c r="TLE387" s="1317"/>
      <c r="TLF387" s="1317"/>
      <c r="TLG387" s="1317"/>
      <c r="TLH387" s="1317"/>
      <c r="TLI387" s="1317"/>
      <c r="TLJ387" s="1317"/>
      <c r="TLK387" s="1317"/>
      <c r="TLL387" s="1317"/>
      <c r="TLM387" s="1317"/>
      <c r="TLN387" s="1317"/>
      <c r="TLO387" s="1317"/>
      <c r="TLP387" s="1317"/>
      <c r="TLQ387" s="1317"/>
      <c r="TLR387" s="1317"/>
      <c r="TLS387" s="1317"/>
      <c r="TLT387" s="1317"/>
      <c r="TLU387" s="1317"/>
      <c r="TLV387" s="1317"/>
      <c r="TLW387" s="1317"/>
      <c r="TLX387" s="1317"/>
      <c r="TLY387" s="1317"/>
      <c r="TLZ387" s="1317"/>
      <c r="TMA387" s="1317"/>
      <c r="TMB387" s="1317"/>
      <c r="TMC387" s="1317"/>
      <c r="TMD387" s="1317"/>
      <c r="TME387" s="1317"/>
      <c r="TMF387" s="1317"/>
      <c r="TMG387" s="1317"/>
      <c r="TMH387" s="1317"/>
      <c r="TMI387" s="1317"/>
      <c r="TMJ387" s="1317"/>
      <c r="TMK387" s="1317"/>
      <c r="TML387" s="1317"/>
      <c r="TMM387" s="1317"/>
      <c r="TMN387" s="1317"/>
      <c r="TMO387" s="1317"/>
      <c r="TMP387" s="1317"/>
      <c r="TMQ387" s="1317"/>
      <c r="TMR387" s="1317"/>
      <c r="TMS387" s="1317"/>
      <c r="TMT387" s="1317"/>
      <c r="TMU387" s="1317"/>
      <c r="TMV387" s="1317"/>
      <c r="TMW387" s="1317"/>
      <c r="TMX387" s="1317"/>
      <c r="TMY387" s="1317"/>
      <c r="TMZ387" s="1317"/>
      <c r="TNA387" s="1317"/>
      <c r="TNB387" s="1317"/>
      <c r="TNC387" s="1317"/>
      <c r="TND387" s="1317"/>
      <c r="TNE387" s="1317"/>
      <c r="TNF387" s="1317"/>
      <c r="TNG387" s="1317"/>
      <c r="TNH387" s="1317"/>
      <c r="TNI387" s="1317"/>
      <c r="TNJ387" s="1317"/>
      <c r="TNK387" s="1317"/>
      <c r="TNL387" s="1317"/>
      <c r="TNM387" s="1317"/>
      <c r="TNN387" s="1317"/>
      <c r="TNO387" s="1317"/>
      <c r="TNP387" s="1317"/>
      <c r="TNQ387" s="1317"/>
      <c r="TNR387" s="1317"/>
      <c r="TNS387" s="1317"/>
      <c r="TNT387" s="1317"/>
      <c r="TNU387" s="1317"/>
      <c r="TNV387" s="1317"/>
      <c r="TNW387" s="1317"/>
      <c r="TNX387" s="1317"/>
      <c r="TNY387" s="1317"/>
      <c r="TNZ387" s="1317"/>
      <c r="TOA387" s="1317"/>
      <c r="TOB387" s="1317"/>
      <c r="TOC387" s="1317"/>
      <c r="TOD387" s="1317"/>
      <c r="TOE387" s="1317"/>
      <c r="TOF387" s="1317"/>
      <c r="TOG387" s="1317"/>
      <c r="TOH387" s="1317"/>
      <c r="TOI387" s="1317"/>
      <c r="TOJ387" s="1317"/>
      <c r="TOK387" s="1317"/>
      <c r="TOL387" s="1317"/>
      <c r="TOM387" s="1317"/>
      <c r="TON387" s="1317"/>
      <c r="TOO387" s="1317"/>
      <c r="TOP387" s="1317"/>
      <c r="TOQ387" s="1317"/>
      <c r="TOR387" s="1317"/>
      <c r="TOS387" s="1317"/>
      <c r="TOT387" s="1317"/>
      <c r="TOU387" s="1317"/>
      <c r="TOV387" s="1317"/>
      <c r="TOW387" s="1317"/>
      <c r="TOX387" s="1317"/>
      <c r="TOY387" s="1317"/>
      <c r="TOZ387" s="1317"/>
      <c r="TPA387" s="1317"/>
      <c r="TPB387" s="1317"/>
      <c r="TPC387" s="1317"/>
      <c r="TPD387" s="1317"/>
      <c r="TPE387" s="1317"/>
      <c r="TPF387" s="1317"/>
      <c r="TPG387" s="1317"/>
      <c r="TPH387" s="1317"/>
      <c r="TPI387" s="1317"/>
      <c r="TPJ387" s="1317"/>
      <c r="TPK387" s="1317"/>
      <c r="TPL387" s="1317"/>
      <c r="TPM387" s="1317"/>
      <c r="TPN387" s="1317"/>
      <c r="TPO387" s="1317"/>
      <c r="TPP387" s="1317"/>
      <c r="TPQ387" s="1317"/>
      <c r="TPR387" s="1317"/>
      <c r="TPS387" s="1317"/>
      <c r="TPT387" s="1317"/>
      <c r="TPU387" s="1317"/>
      <c r="TPV387" s="1317"/>
      <c r="TPW387" s="1317"/>
      <c r="TPX387" s="1317"/>
      <c r="TPY387" s="1317"/>
      <c r="TPZ387" s="1317"/>
      <c r="TQA387" s="1317"/>
      <c r="TQB387" s="1317"/>
      <c r="TQC387" s="1317"/>
      <c r="TQD387" s="1317"/>
      <c r="TQE387" s="1317"/>
      <c r="TQF387" s="1317"/>
      <c r="TQG387" s="1317"/>
      <c r="TQH387" s="1317"/>
      <c r="TQI387" s="1317"/>
      <c r="TQJ387" s="1317"/>
      <c r="TQK387" s="1317"/>
      <c r="TQL387" s="1317"/>
      <c r="TQM387" s="1317"/>
      <c r="TQN387" s="1317"/>
      <c r="TQO387" s="1317"/>
      <c r="TQP387" s="1317"/>
      <c r="TQQ387" s="1317"/>
      <c r="TQR387" s="1317"/>
      <c r="TQS387" s="1317"/>
      <c r="TQT387" s="1317"/>
      <c r="TQU387" s="1317"/>
      <c r="TQV387" s="1317"/>
      <c r="TQW387" s="1317"/>
      <c r="TQX387" s="1317"/>
      <c r="TQY387" s="1317"/>
      <c r="TQZ387" s="1317"/>
      <c r="TRA387" s="1317"/>
      <c r="TRB387" s="1317"/>
      <c r="TRC387" s="1317"/>
      <c r="TRD387" s="1317"/>
      <c r="TRE387" s="1317"/>
      <c r="TRF387" s="1317"/>
      <c r="TRG387" s="1317"/>
      <c r="TRH387" s="1317"/>
      <c r="TRI387" s="1317"/>
      <c r="TRJ387" s="1317"/>
      <c r="TRK387" s="1317"/>
      <c r="TRL387" s="1317"/>
      <c r="TRM387" s="1317"/>
      <c r="TRN387" s="1317"/>
      <c r="TRO387" s="1317"/>
      <c r="TRP387" s="1317"/>
      <c r="TRQ387" s="1317"/>
      <c r="TRR387" s="1317"/>
      <c r="TRS387" s="1317"/>
      <c r="TRT387" s="1317"/>
      <c r="TRU387" s="1317"/>
      <c r="TRV387" s="1317"/>
      <c r="TRW387" s="1317"/>
      <c r="TRX387" s="1317"/>
      <c r="TRY387" s="1317"/>
      <c r="TRZ387" s="1317"/>
      <c r="TSA387" s="1317"/>
      <c r="TSB387" s="1317"/>
      <c r="TSC387" s="1317"/>
      <c r="TSD387" s="1317"/>
      <c r="TSE387" s="1317"/>
      <c r="TSF387" s="1317"/>
      <c r="TSG387" s="1317"/>
      <c r="TSH387" s="1317"/>
      <c r="TSI387" s="1317"/>
      <c r="TSJ387" s="1317"/>
      <c r="TSK387" s="1317"/>
      <c r="TSL387" s="1317"/>
      <c r="TSM387" s="1317"/>
      <c r="TSN387" s="1317"/>
      <c r="TSO387" s="1317"/>
      <c r="TSP387" s="1317"/>
      <c r="TSQ387" s="1317"/>
      <c r="TSR387" s="1317"/>
      <c r="TSS387" s="1317"/>
      <c r="TST387" s="1317"/>
      <c r="TSU387" s="1317"/>
      <c r="TSV387" s="1317"/>
      <c r="TSW387" s="1317"/>
      <c r="TSX387" s="1317"/>
      <c r="TSY387" s="1317"/>
      <c r="TSZ387" s="1317"/>
      <c r="TTA387" s="1317"/>
      <c r="TTB387" s="1317"/>
      <c r="TTC387" s="1317"/>
      <c r="TTD387" s="1317"/>
      <c r="TTE387" s="1317"/>
      <c r="TTF387" s="1317"/>
      <c r="TTG387" s="1317"/>
      <c r="TTH387" s="1317"/>
      <c r="TTI387" s="1317"/>
      <c r="TTJ387" s="1317"/>
      <c r="TTK387" s="1317"/>
      <c r="TTL387" s="1317"/>
      <c r="TTM387" s="1317"/>
      <c r="TTN387" s="1317"/>
      <c r="TTO387" s="1317"/>
      <c r="TTP387" s="1317"/>
      <c r="TTQ387" s="1317"/>
      <c r="TTR387" s="1317"/>
      <c r="TTS387" s="1317"/>
      <c r="TTT387" s="1317"/>
      <c r="TTU387" s="1317"/>
      <c r="TTV387" s="1317"/>
      <c r="TTW387" s="1317"/>
      <c r="TTX387" s="1317"/>
      <c r="TTY387" s="1317"/>
      <c r="TTZ387" s="1317"/>
      <c r="TUA387" s="1317"/>
      <c r="TUB387" s="1317"/>
      <c r="TUC387" s="1317"/>
      <c r="TUD387" s="1317"/>
      <c r="TUE387" s="1317"/>
      <c r="TUF387" s="1317"/>
      <c r="TUG387" s="1317"/>
      <c r="TUH387" s="1317"/>
      <c r="TUI387" s="1317"/>
      <c r="TUJ387" s="1317"/>
      <c r="TUK387" s="1317"/>
      <c r="TUL387" s="1317"/>
      <c r="TUM387" s="1317"/>
      <c r="TUN387" s="1317"/>
      <c r="TUO387" s="1317"/>
      <c r="TUP387" s="1317"/>
      <c r="TUQ387" s="1317"/>
      <c r="TUR387" s="1317"/>
      <c r="TUS387" s="1317"/>
      <c r="TUT387" s="1317"/>
      <c r="TUU387" s="1317"/>
      <c r="TUV387" s="1317"/>
      <c r="TUW387" s="1317"/>
      <c r="TUX387" s="1317"/>
      <c r="TUY387" s="1317"/>
      <c r="TUZ387" s="1317"/>
      <c r="TVA387" s="1317"/>
      <c r="TVB387" s="1317"/>
      <c r="TVC387" s="1317"/>
      <c r="TVD387" s="1317"/>
      <c r="TVE387" s="1317"/>
      <c r="TVF387" s="1317"/>
      <c r="TVG387" s="1317"/>
      <c r="TVH387" s="1317"/>
      <c r="TVI387" s="1317"/>
      <c r="TVJ387" s="1317"/>
      <c r="TVK387" s="1317"/>
      <c r="TVL387" s="1317"/>
      <c r="TVM387" s="1317"/>
      <c r="TVN387" s="1317"/>
      <c r="TVO387" s="1317"/>
      <c r="TVP387" s="1317"/>
      <c r="TVQ387" s="1317"/>
      <c r="TVR387" s="1317"/>
      <c r="TVS387" s="1317"/>
      <c r="TVT387" s="1317"/>
      <c r="TVU387" s="1317"/>
      <c r="TVV387" s="1317"/>
      <c r="TVW387" s="1317"/>
      <c r="TVX387" s="1317"/>
      <c r="TVY387" s="1317"/>
      <c r="TVZ387" s="1317"/>
      <c r="TWA387" s="1317"/>
      <c r="TWB387" s="1317"/>
      <c r="TWC387" s="1317"/>
      <c r="TWD387" s="1317"/>
      <c r="TWE387" s="1317"/>
      <c r="TWF387" s="1317"/>
      <c r="TWG387" s="1317"/>
      <c r="TWH387" s="1317"/>
      <c r="TWI387" s="1317"/>
      <c r="TWJ387" s="1317"/>
      <c r="TWK387" s="1317"/>
      <c r="TWL387" s="1317"/>
      <c r="TWM387" s="1317"/>
      <c r="TWN387" s="1317"/>
      <c r="TWO387" s="1317"/>
      <c r="TWP387" s="1317"/>
      <c r="TWQ387" s="1317"/>
      <c r="TWR387" s="1317"/>
      <c r="TWS387" s="1317"/>
      <c r="TWT387" s="1317"/>
      <c r="TWU387" s="1317"/>
      <c r="TWV387" s="1317"/>
      <c r="TWW387" s="1317"/>
      <c r="TWX387" s="1317"/>
      <c r="TWY387" s="1317"/>
      <c r="TWZ387" s="1317"/>
      <c r="TXA387" s="1317"/>
      <c r="TXB387" s="1317"/>
      <c r="TXC387" s="1317"/>
      <c r="TXD387" s="1317"/>
      <c r="TXE387" s="1317"/>
      <c r="TXF387" s="1317"/>
      <c r="TXG387" s="1317"/>
      <c r="TXH387" s="1317"/>
      <c r="TXI387" s="1317"/>
      <c r="TXJ387" s="1317"/>
      <c r="TXK387" s="1317"/>
      <c r="TXL387" s="1317"/>
      <c r="TXM387" s="1317"/>
      <c r="TXN387" s="1317"/>
      <c r="TXO387" s="1317"/>
      <c r="TXP387" s="1317"/>
      <c r="TXQ387" s="1317"/>
      <c r="TXR387" s="1317"/>
      <c r="TXS387" s="1317"/>
      <c r="TXT387" s="1317"/>
      <c r="TXU387" s="1317"/>
      <c r="TXV387" s="1317"/>
      <c r="TXW387" s="1317"/>
      <c r="TXX387" s="1317"/>
      <c r="TXY387" s="1317"/>
      <c r="TXZ387" s="1317"/>
      <c r="TYA387" s="1317"/>
      <c r="TYB387" s="1317"/>
      <c r="TYC387" s="1317"/>
      <c r="TYD387" s="1317"/>
      <c r="TYE387" s="1317"/>
      <c r="TYF387" s="1317"/>
      <c r="TYG387" s="1317"/>
      <c r="TYH387" s="1317"/>
      <c r="TYI387" s="1317"/>
      <c r="TYJ387" s="1317"/>
      <c r="TYK387" s="1317"/>
      <c r="TYL387" s="1317"/>
      <c r="TYM387" s="1317"/>
      <c r="TYN387" s="1317"/>
      <c r="TYO387" s="1317"/>
      <c r="TYP387" s="1317"/>
      <c r="TYQ387" s="1317"/>
      <c r="TYR387" s="1317"/>
      <c r="TYS387" s="1317"/>
      <c r="TYT387" s="1317"/>
      <c r="TYU387" s="1317"/>
      <c r="TYV387" s="1317"/>
      <c r="TYW387" s="1317"/>
      <c r="TYX387" s="1317"/>
      <c r="TYY387" s="1317"/>
      <c r="TYZ387" s="1317"/>
      <c r="TZA387" s="1317"/>
      <c r="TZB387" s="1317"/>
      <c r="TZC387" s="1317"/>
      <c r="TZD387" s="1317"/>
      <c r="TZE387" s="1317"/>
      <c r="TZF387" s="1317"/>
      <c r="TZG387" s="1317"/>
      <c r="TZH387" s="1317"/>
      <c r="TZI387" s="1317"/>
      <c r="TZJ387" s="1317"/>
      <c r="TZK387" s="1317"/>
      <c r="TZL387" s="1317"/>
      <c r="TZM387" s="1317"/>
      <c r="TZN387" s="1317"/>
      <c r="TZO387" s="1317"/>
      <c r="TZP387" s="1317"/>
      <c r="TZQ387" s="1317"/>
      <c r="TZR387" s="1317"/>
      <c r="TZS387" s="1317"/>
      <c r="TZT387" s="1317"/>
      <c r="TZU387" s="1317"/>
      <c r="TZV387" s="1317"/>
      <c r="TZW387" s="1317"/>
      <c r="TZX387" s="1317"/>
      <c r="TZY387" s="1317"/>
      <c r="TZZ387" s="1317"/>
      <c r="UAA387" s="1317"/>
      <c r="UAB387" s="1317"/>
      <c r="UAC387" s="1317"/>
      <c r="UAD387" s="1317"/>
      <c r="UAE387" s="1317"/>
      <c r="UAF387" s="1317"/>
      <c r="UAG387" s="1317"/>
      <c r="UAH387" s="1317"/>
      <c r="UAI387" s="1317"/>
      <c r="UAJ387" s="1317"/>
      <c r="UAK387" s="1317"/>
      <c r="UAL387" s="1317"/>
      <c r="UAM387" s="1317"/>
      <c r="UAN387" s="1317"/>
      <c r="UAO387" s="1317"/>
      <c r="UAP387" s="1317"/>
      <c r="UAQ387" s="1317"/>
      <c r="UAR387" s="1317"/>
      <c r="UAS387" s="1317"/>
      <c r="UAT387" s="1317"/>
      <c r="UAU387" s="1317"/>
      <c r="UAV387" s="1317"/>
      <c r="UAW387" s="1317"/>
      <c r="UAX387" s="1317"/>
      <c r="UAY387" s="1317"/>
      <c r="UAZ387" s="1317"/>
      <c r="UBA387" s="1317"/>
      <c r="UBB387" s="1317"/>
      <c r="UBC387" s="1317"/>
      <c r="UBD387" s="1317"/>
      <c r="UBE387" s="1317"/>
      <c r="UBF387" s="1317"/>
      <c r="UBG387" s="1317"/>
      <c r="UBH387" s="1317"/>
      <c r="UBI387" s="1317"/>
      <c r="UBJ387" s="1317"/>
      <c r="UBK387" s="1317"/>
      <c r="UBL387" s="1317"/>
      <c r="UBM387" s="1317"/>
      <c r="UBN387" s="1317"/>
      <c r="UBO387" s="1317"/>
      <c r="UBP387" s="1317"/>
      <c r="UBQ387" s="1317"/>
      <c r="UBR387" s="1317"/>
      <c r="UBS387" s="1317"/>
      <c r="UBT387" s="1317"/>
      <c r="UBU387" s="1317"/>
      <c r="UBV387" s="1317"/>
      <c r="UBW387" s="1317"/>
      <c r="UBX387" s="1317"/>
      <c r="UBY387" s="1317"/>
      <c r="UBZ387" s="1317"/>
      <c r="UCA387" s="1317"/>
      <c r="UCB387" s="1317"/>
      <c r="UCC387" s="1317"/>
      <c r="UCD387" s="1317"/>
      <c r="UCE387" s="1317"/>
      <c r="UCF387" s="1317"/>
      <c r="UCG387" s="1317"/>
      <c r="UCH387" s="1317"/>
      <c r="UCI387" s="1317"/>
      <c r="UCJ387" s="1317"/>
      <c r="UCK387" s="1317"/>
      <c r="UCL387" s="1317"/>
      <c r="UCM387" s="1317"/>
      <c r="UCN387" s="1317"/>
      <c r="UCO387" s="1317"/>
      <c r="UCP387" s="1317"/>
      <c r="UCQ387" s="1317"/>
      <c r="UCR387" s="1317"/>
      <c r="UCS387" s="1317"/>
      <c r="UCT387" s="1317"/>
      <c r="UCU387" s="1317"/>
      <c r="UCV387" s="1317"/>
      <c r="UCW387" s="1317"/>
      <c r="UCX387" s="1317"/>
      <c r="UCY387" s="1317"/>
      <c r="UCZ387" s="1317"/>
      <c r="UDA387" s="1317"/>
      <c r="UDB387" s="1317"/>
      <c r="UDC387" s="1317"/>
      <c r="UDD387" s="1317"/>
      <c r="UDE387" s="1317"/>
      <c r="UDF387" s="1317"/>
      <c r="UDG387" s="1317"/>
      <c r="UDH387" s="1317"/>
      <c r="UDI387" s="1317"/>
      <c r="UDJ387" s="1317"/>
      <c r="UDK387" s="1317"/>
      <c r="UDL387" s="1317"/>
      <c r="UDM387" s="1317"/>
      <c r="UDN387" s="1317"/>
      <c r="UDO387" s="1317"/>
      <c r="UDP387" s="1317"/>
      <c r="UDQ387" s="1317"/>
      <c r="UDR387" s="1317"/>
      <c r="UDS387" s="1317"/>
      <c r="UDT387" s="1317"/>
      <c r="UDU387" s="1317"/>
      <c r="UDV387" s="1317"/>
      <c r="UDW387" s="1317"/>
      <c r="UDX387" s="1317"/>
      <c r="UDY387" s="1317"/>
      <c r="UDZ387" s="1317"/>
      <c r="UEA387" s="1317"/>
      <c r="UEB387" s="1317"/>
      <c r="UEC387" s="1317"/>
      <c r="UED387" s="1317"/>
      <c r="UEE387" s="1317"/>
      <c r="UEF387" s="1317"/>
      <c r="UEG387" s="1317"/>
      <c r="UEH387" s="1317"/>
      <c r="UEI387" s="1317"/>
      <c r="UEJ387" s="1317"/>
      <c r="UEK387" s="1317"/>
      <c r="UEL387" s="1317"/>
      <c r="UEM387" s="1317"/>
      <c r="UEN387" s="1317"/>
      <c r="UEO387" s="1317"/>
      <c r="UEP387" s="1317"/>
      <c r="UEQ387" s="1317"/>
      <c r="UER387" s="1317"/>
      <c r="UES387" s="1317"/>
      <c r="UET387" s="1317"/>
      <c r="UEU387" s="1317"/>
      <c r="UEV387" s="1317"/>
      <c r="UEW387" s="1317"/>
      <c r="UEX387" s="1317"/>
      <c r="UEY387" s="1317"/>
      <c r="UEZ387" s="1317"/>
      <c r="UFA387" s="1317"/>
      <c r="UFB387" s="1317"/>
      <c r="UFC387" s="1317"/>
      <c r="UFD387" s="1317"/>
      <c r="UFE387" s="1317"/>
      <c r="UFF387" s="1317"/>
      <c r="UFG387" s="1317"/>
      <c r="UFH387" s="1317"/>
      <c r="UFI387" s="1317"/>
      <c r="UFJ387" s="1317"/>
      <c r="UFK387" s="1317"/>
      <c r="UFL387" s="1317"/>
      <c r="UFM387" s="1317"/>
      <c r="UFN387" s="1317"/>
      <c r="UFO387" s="1317"/>
      <c r="UFP387" s="1317"/>
      <c r="UFQ387" s="1317"/>
      <c r="UFR387" s="1317"/>
      <c r="UFS387" s="1317"/>
      <c r="UFT387" s="1317"/>
      <c r="UFU387" s="1317"/>
      <c r="UFV387" s="1317"/>
      <c r="UFW387" s="1317"/>
      <c r="UFX387" s="1317"/>
      <c r="UFY387" s="1317"/>
      <c r="UFZ387" s="1317"/>
      <c r="UGA387" s="1317"/>
      <c r="UGB387" s="1317"/>
      <c r="UGC387" s="1317"/>
      <c r="UGD387" s="1317"/>
      <c r="UGE387" s="1317"/>
      <c r="UGF387" s="1317"/>
      <c r="UGG387" s="1317"/>
      <c r="UGH387" s="1317"/>
      <c r="UGI387" s="1317"/>
      <c r="UGJ387" s="1317"/>
      <c r="UGK387" s="1317"/>
      <c r="UGL387" s="1317"/>
      <c r="UGM387" s="1317"/>
      <c r="UGN387" s="1317"/>
      <c r="UGO387" s="1317"/>
      <c r="UGP387" s="1317"/>
      <c r="UGQ387" s="1317"/>
      <c r="UGR387" s="1317"/>
      <c r="UGS387" s="1317"/>
      <c r="UGT387" s="1317"/>
      <c r="UGU387" s="1317"/>
      <c r="UGV387" s="1317"/>
      <c r="UGW387" s="1317"/>
      <c r="UGX387" s="1317"/>
      <c r="UGY387" s="1317"/>
      <c r="UGZ387" s="1317"/>
      <c r="UHA387" s="1317"/>
      <c r="UHB387" s="1317"/>
      <c r="UHC387" s="1317"/>
      <c r="UHD387" s="1317"/>
      <c r="UHE387" s="1317"/>
      <c r="UHF387" s="1317"/>
      <c r="UHG387" s="1317"/>
      <c r="UHH387" s="1317"/>
      <c r="UHI387" s="1317"/>
      <c r="UHJ387" s="1317"/>
      <c r="UHK387" s="1317"/>
      <c r="UHL387" s="1317"/>
      <c r="UHM387" s="1317"/>
      <c r="UHN387" s="1317"/>
      <c r="UHO387" s="1317"/>
      <c r="UHP387" s="1317"/>
      <c r="UHQ387" s="1317"/>
      <c r="UHR387" s="1317"/>
      <c r="UHS387" s="1317"/>
      <c r="UHT387" s="1317"/>
      <c r="UHU387" s="1317"/>
      <c r="UHV387" s="1317"/>
      <c r="UHW387" s="1317"/>
      <c r="UHX387" s="1317"/>
      <c r="UHY387" s="1317"/>
      <c r="UHZ387" s="1317"/>
      <c r="UIA387" s="1317"/>
      <c r="UIB387" s="1317"/>
      <c r="UIC387" s="1317"/>
      <c r="UID387" s="1317"/>
      <c r="UIE387" s="1317"/>
      <c r="UIF387" s="1317"/>
      <c r="UIG387" s="1317"/>
      <c r="UIH387" s="1317"/>
      <c r="UII387" s="1317"/>
      <c r="UIJ387" s="1317"/>
      <c r="UIK387" s="1317"/>
      <c r="UIL387" s="1317"/>
      <c r="UIM387" s="1317"/>
      <c r="UIN387" s="1317"/>
      <c r="UIO387" s="1317"/>
      <c r="UIP387" s="1317"/>
      <c r="UIQ387" s="1317"/>
      <c r="UIR387" s="1317"/>
      <c r="UIS387" s="1317"/>
      <c r="UIT387" s="1317"/>
      <c r="UIU387" s="1317"/>
      <c r="UIV387" s="1317"/>
      <c r="UIW387" s="1317"/>
      <c r="UIX387" s="1317"/>
      <c r="UIY387" s="1317"/>
      <c r="UIZ387" s="1317"/>
      <c r="UJA387" s="1317"/>
      <c r="UJB387" s="1317"/>
      <c r="UJC387" s="1317"/>
      <c r="UJD387" s="1317"/>
      <c r="UJE387" s="1317"/>
      <c r="UJF387" s="1317"/>
      <c r="UJG387" s="1317"/>
      <c r="UJH387" s="1317"/>
      <c r="UJI387" s="1317"/>
      <c r="UJJ387" s="1317"/>
      <c r="UJK387" s="1317"/>
      <c r="UJL387" s="1317"/>
      <c r="UJM387" s="1317"/>
      <c r="UJN387" s="1317"/>
      <c r="UJO387" s="1317"/>
      <c r="UJP387" s="1317"/>
      <c r="UJQ387" s="1317"/>
      <c r="UJR387" s="1317"/>
      <c r="UJS387" s="1317"/>
      <c r="UJT387" s="1317"/>
      <c r="UJU387" s="1317"/>
      <c r="UJV387" s="1317"/>
      <c r="UJW387" s="1317"/>
      <c r="UJX387" s="1317"/>
      <c r="UJY387" s="1317"/>
      <c r="UJZ387" s="1317"/>
      <c r="UKA387" s="1317"/>
      <c r="UKB387" s="1317"/>
      <c r="UKC387" s="1317"/>
      <c r="UKD387" s="1317"/>
      <c r="UKE387" s="1317"/>
      <c r="UKF387" s="1317"/>
      <c r="UKG387" s="1317"/>
      <c r="UKH387" s="1317"/>
      <c r="UKI387" s="1317"/>
      <c r="UKJ387" s="1317"/>
      <c r="UKK387" s="1317"/>
      <c r="UKL387" s="1317"/>
      <c r="UKM387" s="1317"/>
      <c r="UKN387" s="1317"/>
      <c r="UKO387" s="1317"/>
      <c r="UKP387" s="1317"/>
      <c r="UKQ387" s="1317"/>
      <c r="UKR387" s="1317"/>
      <c r="UKS387" s="1317"/>
      <c r="UKT387" s="1317"/>
      <c r="UKU387" s="1317"/>
      <c r="UKV387" s="1317"/>
      <c r="UKW387" s="1317"/>
      <c r="UKX387" s="1317"/>
      <c r="UKY387" s="1317"/>
      <c r="UKZ387" s="1317"/>
      <c r="ULA387" s="1317"/>
      <c r="ULB387" s="1317"/>
      <c r="ULC387" s="1317"/>
      <c r="ULD387" s="1317"/>
      <c r="ULE387" s="1317"/>
      <c r="ULF387" s="1317"/>
      <c r="ULG387" s="1317"/>
      <c r="ULH387" s="1317"/>
      <c r="ULI387" s="1317"/>
      <c r="ULJ387" s="1317"/>
      <c r="ULK387" s="1317"/>
      <c r="ULL387" s="1317"/>
      <c r="ULM387" s="1317"/>
      <c r="ULN387" s="1317"/>
      <c r="ULO387" s="1317"/>
      <c r="ULP387" s="1317"/>
      <c r="ULQ387" s="1317"/>
      <c r="ULR387" s="1317"/>
      <c r="ULS387" s="1317"/>
      <c r="ULT387" s="1317"/>
      <c r="ULU387" s="1317"/>
      <c r="ULV387" s="1317"/>
      <c r="ULW387" s="1317"/>
      <c r="ULX387" s="1317"/>
      <c r="ULY387" s="1317"/>
      <c r="ULZ387" s="1317"/>
      <c r="UMA387" s="1317"/>
      <c r="UMB387" s="1317"/>
      <c r="UMC387" s="1317"/>
      <c r="UMD387" s="1317"/>
      <c r="UME387" s="1317"/>
      <c r="UMF387" s="1317"/>
      <c r="UMG387" s="1317"/>
      <c r="UMH387" s="1317"/>
      <c r="UMI387" s="1317"/>
      <c r="UMJ387" s="1317"/>
      <c r="UMK387" s="1317"/>
      <c r="UML387" s="1317"/>
      <c r="UMM387" s="1317"/>
      <c r="UMN387" s="1317"/>
      <c r="UMO387" s="1317"/>
      <c r="UMP387" s="1317"/>
      <c r="UMQ387" s="1317"/>
      <c r="UMR387" s="1317"/>
      <c r="UMS387" s="1317"/>
      <c r="UMT387" s="1317"/>
      <c r="UMU387" s="1317"/>
      <c r="UMV387" s="1317"/>
      <c r="UMW387" s="1317"/>
      <c r="UMX387" s="1317"/>
      <c r="UMY387" s="1317"/>
      <c r="UMZ387" s="1317"/>
      <c r="UNA387" s="1317"/>
      <c r="UNB387" s="1317"/>
      <c r="UNC387" s="1317"/>
      <c r="UND387" s="1317"/>
      <c r="UNE387" s="1317"/>
      <c r="UNF387" s="1317"/>
      <c r="UNG387" s="1317"/>
      <c r="UNH387" s="1317"/>
      <c r="UNI387" s="1317"/>
      <c r="UNJ387" s="1317"/>
      <c r="UNK387" s="1317"/>
      <c r="UNL387" s="1317"/>
      <c r="UNM387" s="1317"/>
      <c r="UNN387" s="1317"/>
      <c r="UNO387" s="1317"/>
      <c r="UNP387" s="1317"/>
      <c r="UNQ387" s="1317"/>
      <c r="UNR387" s="1317"/>
      <c r="UNS387" s="1317"/>
      <c r="UNT387" s="1317"/>
      <c r="UNU387" s="1317"/>
      <c r="UNV387" s="1317"/>
      <c r="UNW387" s="1317"/>
      <c r="UNX387" s="1317"/>
      <c r="UNY387" s="1317"/>
      <c r="UNZ387" s="1317"/>
      <c r="UOA387" s="1317"/>
      <c r="UOB387" s="1317"/>
      <c r="UOC387" s="1317"/>
      <c r="UOD387" s="1317"/>
      <c r="UOE387" s="1317"/>
      <c r="UOF387" s="1317"/>
      <c r="UOG387" s="1317"/>
      <c r="UOH387" s="1317"/>
      <c r="UOI387" s="1317"/>
      <c r="UOJ387" s="1317"/>
      <c r="UOK387" s="1317"/>
      <c r="UOL387" s="1317"/>
      <c r="UOM387" s="1317"/>
      <c r="UON387" s="1317"/>
      <c r="UOO387" s="1317"/>
      <c r="UOP387" s="1317"/>
      <c r="UOQ387" s="1317"/>
      <c r="UOR387" s="1317"/>
      <c r="UOS387" s="1317"/>
      <c r="UOT387" s="1317"/>
      <c r="UOU387" s="1317"/>
      <c r="UOV387" s="1317"/>
      <c r="UOW387" s="1317"/>
      <c r="UOX387" s="1317"/>
      <c r="UOY387" s="1317"/>
      <c r="UOZ387" s="1317"/>
      <c r="UPA387" s="1317"/>
      <c r="UPB387" s="1317"/>
      <c r="UPC387" s="1317"/>
      <c r="UPD387" s="1317"/>
      <c r="UPE387" s="1317"/>
      <c r="UPF387" s="1317"/>
      <c r="UPG387" s="1317"/>
      <c r="UPH387" s="1317"/>
      <c r="UPI387" s="1317"/>
      <c r="UPJ387" s="1317"/>
      <c r="UPK387" s="1317"/>
      <c r="UPL387" s="1317"/>
      <c r="UPM387" s="1317"/>
      <c r="UPN387" s="1317"/>
      <c r="UPO387" s="1317"/>
      <c r="UPP387" s="1317"/>
      <c r="UPQ387" s="1317"/>
      <c r="UPR387" s="1317"/>
      <c r="UPS387" s="1317"/>
      <c r="UPT387" s="1317"/>
      <c r="UPU387" s="1317"/>
      <c r="UPV387" s="1317"/>
      <c r="UPW387" s="1317"/>
      <c r="UPX387" s="1317"/>
      <c r="UPY387" s="1317"/>
      <c r="UPZ387" s="1317"/>
      <c r="UQA387" s="1317"/>
      <c r="UQB387" s="1317"/>
      <c r="UQC387" s="1317"/>
      <c r="UQD387" s="1317"/>
      <c r="UQE387" s="1317"/>
      <c r="UQF387" s="1317"/>
      <c r="UQG387" s="1317"/>
      <c r="UQH387" s="1317"/>
      <c r="UQI387" s="1317"/>
      <c r="UQJ387" s="1317"/>
      <c r="UQK387" s="1317"/>
      <c r="UQL387" s="1317"/>
      <c r="UQM387" s="1317"/>
      <c r="UQN387" s="1317"/>
      <c r="UQO387" s="1317"/>
      <c r="UQP387" s="1317"/>
      <c r="UQQ387" s="1317"/>
      <c r="UQR387" s="1317"/>
      <c r="UQS387" s="1317"/>
      <c r="UQT387" s="1317"/>
      <c r="UQU387" s="1317"/>
      <c r="UQV387" s="1317"/>
      <c r="UQW387" s="1317"/>
      <c r="UQX387" s="1317"/>
      <c r="UQY387" s="1317"/>
      <c r="UQZ387" s="1317"/>
      <c r="URA387" s="1317"/>
      <c r="URB387" s="1317"/>
      <c r="URC387" s="1317"/>
      <c r="URD387" s="1317"/>
      <c r="URE387" s="1317"/>
      <c r="URF387" s="1317"/>
      <c r="URG387" s="1317"/>
      <c r="URH387" s="1317"/>
      <c r="URI387" s="1317"/>
      <c r="URJ387" s="1317"/>
      <c r="URK387" s="1317"/>
      <c r="URL387" s="1317"/>
      <c r="URM387" s="1317"/>
      <c r="URN387" s="1317"/>
      <c r="URO387" s="1317"/>
      <c r="URP387" s="1317"/>
      <c r="URQ387" s="1317"/>
      <c r="URR387" s="1317"/>
      <c r="URS387" s="1317"/>
      <c r="URT387" s="1317"/>
      <c r="URU387" s="1317"/>
      <c r="URV387" s="1317"/>
      <c r="URW387" s="1317"/>
      <c r="URX387" s="1317"/>
      <c r="URY387" s="1317"/>
      <c r="URZ387" s="1317"/>
      <c r="USA387" s="1317"/>
      <c r="USB387" s="1317"/>
      <c r="USC387" s="1317"/>
      <c r="USD387" s="1317"/>
      <c r="USE387" s="1317"/>
      <c r="USF387" s="1317"/>
      <c r="USG387" s="1317"/>
      <c r="USH387" s="1317"/>
      <c r="USI387" s="1317"/>
      <c r="USJ387" s="1317"/>
      <c r="USK387" s="1317"/>
      <c r="USL387" s="1317"/>
      <c r="USM387" s="1317"/>
      <c r="USN387" s="1317"/>
      <c r="USO387" s="1317"/>
      <c r="USP387" s="1317"/>
      <c r="USQ387" s="1317"/>
      <c r="USR387" s="1317"/>
      <c r="USS387" s="1317"/>
      <c r="UST387" s="1317"/>
      <c r="USU387" s="1317"/>
      <c r="USV387" s="1317"/>
      <c r="USW387" s="1317"/>
      <c r="USX387" s="1317"/>
      <c r="USY387" s="1317"/>
      <c r="USZ387" s="1317"/>
      <c r="UTA387" s="1317"/>
      <c r="UTB387" s="1317"/>
      <c r="UTC387" s="1317"/>
      <c r="UTD387" s="1317"/>
      <c r="UTE387" s="1317"/>
      <c r="UTF387" s="1317"/>
      <c r="UTG387" s="1317"/>
      <c r="UTH387" s="1317"/>
      <c r="UTI387" s="1317"/>
      <c r="UTJ387" s="1317"/>
      <c r="UTK387" s="1317"/>
      <c r="UTL387" s="1317"/>
      <c r="UTM387" s="1317"/>
      <c r="UTN387" s="1317"/>
      <c r="UTO387" s="1317"/>
      <c r="UTP387" s="1317"/>
      <c r="UTQ387" s="1317"/>
      <c r="UTR387" s="1317"/>
      <c r="UTS387" s="1317"/>
      <c r="UTT387" s="1317"/>
      <c r="UTU387" s="1317"/>
      <c r="UTV387" s="1317"/>
      <c r="UTW387" s="1317"/>
      <c r="UTX387" s="1317"/>
      <c r="UTY387" s="1317"/>
      <c r="UTZ387" s="1317"/>
      <c r="UUA387" s="1317"/>
      <c r="UUB387" s="1317"/>
      <c r="UUC387" s="1317"/>
      <c r="UUD387" s="1317"/>
      <c r="UUE387" s="1317"/>
      <c r="UUF387" s="1317"/>
      <c r="UUG387" s="1317"/>
      <c r="UUH387" s="1317"/>
      <c r="UUI387" s="1317"/>
      <c r="UUJ387" s="1317"/>
      <c r="UUK387" s="1317"/>
      <c r="UUL387" s="1317"/>
      <c r="UUM387" s="1317"/>
      <c r="UUN387" s="1317"/>
      <c r="UUO387" s="1317"/>
      <c r="UUP387" s="1317"/>
      <c r="UUQ387" s="1317"/>
      <c r="UUR387" s="1317"/>
      <c r="UUS387" s="1317"/>
      <c r="UUT387" s="1317"/>
      <c r="UUU387" s="1317"/>
      <c r="UUV387" s="1317"/>
      <c r="UUW387" s="1317"/>
      <c r="UUX387" s="1317"/>
      <c r="UUY387" s="1317"/>
      <c r="UUZ387" s="1317"/>
      <c r="UVA387" s="1317"/>
      <c r="UVB387" s="1317"/>
      <c r="UVC387" s="1317"/>
      <c r="UVD387" s="1317"/>
      <c r="UVE387" s="1317"/>
      <c r="UVF387" s="1317"/>
      <c r="UVG387" s="1317"/>
      <c r="UVH387" s="1317"/>
      <c r="UVI387" s="1317"/>
      <c r="UVJ387" s="1317"/>
      <c r="UVK387" s="1317"/>
      <c r="UVL387" s="1317"/>
      <c r="UVM387" s="1317"/>
      <c r="UVN387" s="1317"/>
      <c r="UVO387" s="1317"/>
      <c r="UVP387" s="1317"/>
      <c r="UVQ387" s="1317"/>
      <c r="UVR387" s="1317"/>
      <c r="UVS387" s="1317"/>
      <c r="UVT387" s="1317"/>
      <c r="UVU387" s="1317"/>
      <c r="UVV387" s="1317"/>
      <c r="UVW387" s="1317"/>
      <c r="UVX387" s="1317"/>
      <c r="UVY387" s="1317"/>
      <c r="UVZ387" s="1317"/>
      <c r="UWA387" s="1317"/>
      <c r="UWB387" s="1317"/>
      <c r="UWC387" s="1317"/>
      <c r="UWD387" s="1317"/>
      <c r="UWE387" s="1317"/>
      <c r="UWF387" s="1317"/>
      <c r="UWG387" s="1317"/>
      <c r="UWH387" s="1317"/>
      <c r="UWI387" s="1317"/>
      <c r="UWJ387" s="1317"/>
      <c r="UWK387" s="1317"/>
      <c r="UWL387" s="1317"/>
      <c r="UWM387" s="1317"/>
      <c r="UWN387" s="1317"/>
      <c r="UWO387" s="1317"/>
      <c r="UWP387" s="1317"/>
      <c r="UWQ387" s="1317"/>
      <c r="UWR387" s="1317"/>
      <c r="UWS387" s="1317"/>
      <c r="UWT387" s="1317"/>
      <c r="UWU387" s="1317"/>
      <c r="UWV387" s="1317"/>
      <c r="UWW387" s="1317"/>
      <c r="UWX387" s="1317"/>
      <c r="UWY387" s="1317"/>
      <c r="UWZ387" s="1317"/>
      <c r="UXA387" s="1317"/>
      <c r="UXB387" s="1317"/>
      <c r="UXC387" s="1317"/>
      <c r="UXD387" s="1317"/>
      <c r="UXE387" s="1317"/>
      <c r="UXF387" s="1317"/>
      <c r="UXG387" s="1317"/>
      <c r="UXH387" s="1317"/>
      <c r="UXI387" s="1317"/>
      <c r="UXJ387" s="1317"/>
      <c r="UXK387" s="1317"/>
      <c r="UXL387" s="1317"/>
      <c r="UXM387" s="1317"/>
      <c r="UXN387" s="1317"/>
      <c r="UXO387" s="1317"/>
      <c r="UXP387" s="1317"/>
      <c r="UXQ387" s="1317"/>
      <c r="UXR387" s="1317"/>
      <c r="UXS387" s="1317"/>
      <c r="UXT387" s="1317"/>
      <c r="UXU387" s="1317"/>
      <c r="UXV387" s="1317"/>
      <c r="UXW387" s="1317"/>
      <c r="UXX387" s="1317"/>
      <c r="UXY387" s="1317"/>
      <c r="UXZ387" s="1317"/>
      <c r="UYA387" s="1317"/>
      <c r="UYB387" s="1317"/>
      <c r="UYC387" s="1317"/>
      <c r="UYD387" s="1317"/>
      <c r="UYE387" s="1317"/>
      <c r="UYF387" s="1317"/>
      <c r="UYG387" s="1317"/>
      <c r="UYH387" s="1317"/>
      <c r="UYI387" s="1317"/>
      <c r="UYJ387" s="1317"/>
      <c r="UYK387" s="1317"/>
      <c r="UYL387" s="1317"/>
      <c r="UYM387" s="1317"/>
      <c r="UYN387" s="1317"/>
      <c r="UYO387" s="1317"/>
      <c r="UYP387" s="1317"/>
      <c r="UYQ387" s="1317"/>
      <c r="UYR387" s="1317"/>
      <c r="UYS387" s="1317"/>
      <c r="UYT387" s="1317"/>
      <c r="UYU387" s="1317"/>
      <c r="UYV387" s="1317"/>
      <c r="UYW387" s="1317"/>
      <c r="UYX387" s="1317"/>
      <c r="UYY387" s="1317"/>
      <c r="UYZ387" s="1317"/>
      <c r="UZA387" s="1317"/>
      <c r="UZB387" s="1317"/>
      <c r="UZC387" s="1317"/>
      <c r="UZD387" s="1317"/>
      <c r="UZE387" s="1317"/>
      <c r="UZF387" s="1317"/>
      <c r="UZG387" s="1317"/>
      <c r="UZH387" s="1317"/>
      <c r="UZI387" s="1317"/>
      <c r="UZJ387" s="1317"/>
      <c r="UZK387" s="1317"/>
      <c r="UZL387" s="1317"/>
      <c r="UZM387" s="1317"/>
      <c r="UZN387" s="1317"/>
      <c r="UZO387" s="1317"/>
      <c r="UZP387" s="1317"/>
      <c r="UZQ387" s="1317"/>
      <c r="UZR387" s="1317"/>
      <c r="UZS387" s="1317"/>
      <c r="UZT387" s="1317"/>
      <c r="UZU387" s="1317"/>
      <c r="UZV387" s="1317"/>
      <c r="UZW387" s="1317"/>
      <c r="UZX387" s="1317"/>
      <c r="UZY387" s="1317"/>
      <c r="UZZ387" s="1317"/>
      <c r="VAA387" s="1317"/>
      <c r="VAB387" s="1317"/>
      <c r="VAC387" s="1317"/>
      <c r="VAD387" s="1317"/>
      <c r="VAE387" s="1317"/>
      <c r="VAF387" s="1317"/>
      <c r="VAG387" s="1317"/>
      <c r="VAH387" s="1317"/>
      <c r="VAI387" s="1317"/>
      <c r="VAJ387" s="1317"/>
      <c r="VAK387" s="1317"/>
      <c r="VAL387" s="1317"/>
      <c r="VAM387" s="1317"/>
      <c r="VAN387" s="1317"/>
      <c r="VAO387" s="1317"/>
      <c r="VAP387" s="1317"/>
      <c r="VAQ387" s="1317"/>
      <c r="VAR387" s="1317"/>
      <c r="VAS387" s="1317"/>
      <c r="VAT387" s="1317"/>
      <c r="VAU387" s="1317"/>
      <c r="VAV387" s="1317"/>
      <c r="VAW387" s="1317"/>
      <c r="VAX387" s="1317"/>
      <c r="VAY387" s="1317"/>
      <c r="VAZ387" s="1317"/>
      <c r="VBA387" s="1317"/>
      <c r="VBB387" s="1317"/>
      <c r="VBC387" s="1317"/>
      <c r="VBD387" s="1317"/>
      <c r="VBE387" s="1317"/>
      <c r="VBF387" s="1317"/>
      <c r="VBG387" s="1317"/>
      <c r="VBH387" s="1317"/>
      <c r="VBI387" s="1317"/>
      <c r="VBJ387" s="1317"/>
      <c r="VBK387" s="1317"/>
      <c r="VBL387" s="1317"/>
      <c r="VBM387" s="1317"/>
      <c r="VBN387" s="1317"/>
      <c r="VBO387" s="1317"/>
      <c r="VBP387" s="1317"/>
      <c r="VBQ387" s="1317"/>
      <c r="VBR387" s="1317"/>
      <c r="VBS387" s="1317"/>
      <c r="VBT387" s="1317"/>
      <c r="VBU387" s="1317"/>
      <c r="VBV387" s="1317"/>
      <c r="VBW387" s="1317"/>
      <c r="VBX387" s="1317"/>
      <c r="VBY387" s="1317"/>
      <c r="VBZ387" s="1317"/>
      <c r="VCA387" s="1317"/>
      <c r="VCB387" s="1317"/>
      <c r="VCC387" s="1317"/>
      <c r="VCD387" s="1317"/>
      <c r="VCE387" s="1317"/>
      <c r="VCF387" s="1317"/>
      <c r="VCG387" s="1317"/>
      <c r="VCH387" s="1317"/>
      <c r="VCI387" s="1317"/>
      <c r="VCJ387" s="1317"/>
      <c r="VCK387" s="1317"/>
      <c r="VCL387" s="1317"/>
      <c r="VCM387" s="1317"/>
      <c r="VCN387" s="1317"/>
      <c r="VCO387" s="1317"/>
      <c r="VCP387" s="1317"/>
      <c r="VCQ387" s="1317"/>
      <c r="VCR387" s="1317"/>
      <c r="VCS387" s="1317"/>
      <c r="VCT387" s="1317"/>
      <c r="VCU387" s="1317"/>
      <c r="VCV387" s="1317"/>
      <c r="VCW387" s="1317"/>
      <c r="VCX387" s="1317"/>
      <c r="VCY387" s="1317"/>
      <c r="VCZ387" s="1317"/>
      <c r="VDA387" s="1317"/>
      <c r="VDB387" s="1317"/>
      <c r="VDC387" s="1317"/>
      <c r="VDD387" s="1317"/>
      <c r="VDE387" s="1317"/>
      <c r="VDF387" s="1317"/>
      <c r="VDG387" s="1317"/>
      <c r="VDH387" s="1317"/>
      <c r="VDI387" s="1317"/>
      <c r="VDJ387" s="1317"/>
      <c r="VDK387" s="1317"/>
      <c r="VDL387" s="1317"/>
      <c r="VDM387" s="1317"/>
      <c r="VDN387" s="1317"/>
      <c r="VDO387" s="1317"/>
      <c r="VDP387" s="1317"/>
      <c r="VDQ387" s="1317"/>
      <c r="VDR387" s="1317"/>
      <c r="VDS387" s="1317"/>
      <c r="VDT387" s="1317"/>
      <c r="VDU387" s="1317"/>
      <c r="VDV387" s="1317"/>
      <c r="VDW387" s="1317"/>
      <c r="VDX387" s="1317"/>
      <c r="VDY387" s="1317"/>
      <c r="VDZ387" s="1317"/>
      <c r="VEA387" s="1317"/>
      <c r="VEB387" s="1317"/>
      <c r="VEC387" s="1317"/>
      <c r="VED387" s="1317"/>
      <c r="VEE387" s="1317"/>
      <c r="VEF387" s="1317"/>
      <c r="VEG387" s="1317"/>
      <c r="VEH387" s="1317"/>
      <c r="VEI387" s="1317"/>
      <c r="VEJ387" s="1317"/>
      <c r="VEK387" s="1317"/>
      <c r="VEL387" s="1317"/>
      <c r="VEM387" s="1317"/>
      <c r="VEN387" s="1317"/>
      <c r="VEO387" s="1317"/>
      <c r="VEP387" s="1317"/>
      <c r="VEQ387" s="1317"/>
      <c r="VER387" s="1317"/>
      <c r="VES387" s="1317"/>
      <c r="VET387" s="1317"/>
      <c r="VEU387" s="1317"/>
      <c r="VEV387" s="1317"/>
      <c r="VEW387" s="1317"/>
      <c r="VEX387" s="1317"/>
      <c r="VEY387" s="1317"/>
      <c r="VEZ387" s="1317"/>
      <c r="VFA387" s="1317"/>
      <c r="VFB387" s="1317"/>
      <c r="VFC387" s="1317"/>
      <c r="VFD387" s="1317"/>
      <c r="VFE387" s="1317"/>
      <c r="VFF387" s="1317"/>
      <c r="VFG387" s="1317"/>
      <c r="VFH387" s="1317"/>
      <c r="VFI387" s="1317"/>
      <c r="VFJ387" s="1317"/>
      <c r="VFK387" s="1317"/>
      <c r="VFL387" s="1317"/>
      <c r="VFM387" s="1317"/>
      <c r="VFN387" s="1317"/>
      <c r="VFO387" s="1317"/>
      <c r="VFP387" s="1317"/>
      <c r="VFQ387" s="1317"/>
      <c r="VFR387" s="1317"/>
      <c r="VFS387" s="1317"/>
      <c r="VFT387" s="1317"/>
      <c r="VFU387" s="1317"/>
      <c r="VFV387" s="1317"/>
      <c r="VFW387" s="1317"/>
      <c r="VFX387" s="1317"/>
      <c r="VFY387" s="1317"/>
      <c r="VFZ387" s="1317"/>
      <c r="VGA387" s="1317"/>
      <c r="VGB387" s="1317"/>
      <c r="VGC387" s="1317"/>
      <c r="VGD387" s="1317"/>
      <c r="VGE387" s="1317"/>
      <c r="VGF387" s="1317"/>
      <c r="VGG387" s="1317"/>
      <c r="VGH387" s="1317"/>
      <c r="VGI387" s="1317"/>
      <c r="VGJ387" s="1317"/>
      <c r="VGK387" s="1317"/>
      <c r="VGL387" s="1317"/>
      <c r="VGM387" s="1317"/>
      <c r="VGN387" s="1317"/>
      <c r="VGO387" s="1317"/>
      <c r="VGP387" s="1317"/>
      <c r="VGQ387" s="1317"/>
      <c r="VGR387" s="1317"/>
      <c r="VGS387" s="1317"/>
      <c r="VGT387" s="1317"/>
      <c r="VGU387" s="1317"/>
      <c r="VGV387" s="1317"/>
      <c r="VGW387" s="1317"/>
      <c r="VGX387" s="1317"/>
      <c r="VGY387" s="1317"/>
      <c r="VGZ387" s="1317"/>
      <c r="VHA387" s="1317"/>
      <c r="VHB387" s="1317"/>
      <c r="VHC387" s="1317"/>
      <c r="VHD387" s="1317"/>
      <c r="VHE387" s="1317"/>
      <c r="VHF387" s="1317"/>
      <c r="VHG387" s="1317"/>
      <c r="VHH387" s="1317"/>
      <c r="VHI387" s="1317"/>
      <c r="VHJ387" s="1317"/>
      <c r="VHK387" s="1317"/>
      <c r="VHL387" s="1317"/>
      <c r="VHM387" s="1317"/>
      <c r="VHN387" s="1317"/>
      <c r="VHO387" s="1317"/>
      <c r="VHP387" s="1317"/>
      <c r="VHQ387" s="1317"/>
      <c r="VHR387" s="1317"/>
      <c r="VHS387" s="1317"/>
      <c r="VHT387" s="1317"/>
      <c r="VHU387" s="1317"/>
      <c r="VHV387" s="1317"/>
      <c r="VHW387" s="1317"/>
      <c r="VHX387" s="1317"/>
      <c r="VHY387" s="1317"/>
      <c r="VHZ387" s="1317"/>
      <c r="VIA387" s="1317"/>
      <c r="VIB387" s="1317"/>
      <c r="VIC387" s="1317"/>
      <c r="VID387" s="1317"/>
      <c r="VIE387" s="1317"/>
      <c r="VIF387" s="1317"/>
      <c r="VIG387" s="1317"/>
      <c r="VIH387" s="1317"/>
      <c r="VII387" s="1317"/>
      <c r="VIJ387" s="1317"/>
      <c r="VIK387" s="1317"/>
      <c r="VIL387" s="1317"/>
      <c r="VIM387" s="1317"/>
      <c r="VIN387" s="1317"/>
      <c r="VIO387" s="1317"/>
      <c r="VIP387" s="1317"/>
      <c r="VIQ387" s="1317"/>
      <c r="VIR387" s="1317"/>
      <c r="VIS387" s="1317"/>
      <c r="VIT387" s="1317"/>
      <c r="VIU387" s="1317"/>
      <c r="VIV387" s="1317"/>
      <c r="VIW387" s="1317"/>
      <c r="VIX387" s="1317"/>
      <c r="VIY387" s="1317"/>
      <c r="VIZ387" s="1317"/>
      <c r="VJA387" s="1317"/>
      <c r="VJB387" s="1317"/>
      <c r="VJC387" s="1317"/>
      <c r="VJD387" s="1317"/>
      <c r="VJE387" s="1317"/>
      <c r="VJF387" s="1317"/>
      <c r="VJG387" s="1317"/>
      <c r="VJH387" s="1317"/>
      <c r="VJI387" s="1317"/>
      <c r="VJJ387" s="1317"/>
      <c r="VJK387" s="1317"/>
      <c r="VJL387" s="1317"/>
      <c r="VJM387" s="1317"/>
      <c r="VJN387" s="1317"/>
      <c r="VJO387" s="1317"/>
      <c r="VJP387" s="1317"/>
      <c r="VJQ387" s="1317"/>
      <c r="VJR387" s="1317"/>
      <c r="VJS387" s="1317"/>
      <c r="VJT387" s="1317"/>
      <c r="VJU387" s="1317"/>
      <c r="VJV387" s="1317"/>
      <c r="VJW387" s="1317"/>
      <c r="VJX387" s="1317"/>
      <c r="VJY387" s="1317"/>
      <c r="VJZ387" s="1317"/>
      <c r="VKA387" s="1317"/>
      <c r="VKB387" s="1317"/>
      <c r="VKC387" s="1317"/>
      <c r="VKD387" s="1317"/>
      <c r="VKE387" s="1317"/>
      <c r="VKF387" s="1317"/>
      <c r="VKG387" s="1317"/>
      <c r="VKH387" s="1317"/>
      <c r="VKI387" s="1317"/>
      <c r="VKJ387" s="1317"/>
      <c r="VKK387" s="1317"/>
      <c r="VKL387" s="1317"/>
      <c r="VKM387" s="1317"/>
      <c r="VKN387" s="1317"/>
      <c r="VKO387" s="1317"/>
      <c r="VKP387" s="1317"/>
      <c r="VKQ387" s="1317"/>
      <c r="VKR387" s="1317"/>
      <c r="VKS387" s="1317"/>
      <c r="VKT387" s="1317"/>
      <c r="VKU387" s="1317"/>
      <c r="VKV387" s="1317"/>
      <c r="VKW387" s="1317"/>
      <c r="VKX387" s="1317"/>
      <c r="VKY387" s="1317"/>
      <c r="VKZ387" s="1317"/>
      <c r="VLA387" s="1317"/>
      <c r="VLB387" s="1317"/>
      <c r="VLC387" s="1317"/>
      <c r="VLD387" s="1317"/>
      <c r="VLE387" s="1317"/>
      <c r="VLF387" s="1317"/>
      <c r="VLG387" s="1317"/>
      <c r="VLH387" s="1317"/>
      <c r="VLI387" s="1317"/>
      <c r="VLJ387" s="1317"/>
      <c r="VLK387" s="1317"/>
      <c r="VLL387" s="1317"/>
      <c r="VLM387" s="1317"/>
      <c r="VLN387" s="1317"/>
      <c r="VLO387" s="1317"/>
      <c r="VLP387" s="1317"/>
      <c r="VLQ387" s="1317"/>
      <c r="VLR387" s="1317"/>
      <c r="VLS387" s="1317"/>
      <c r="VLT387" s="1317"/>
      <c r="VLU387" s="1317"/>
      <c r="VLV387" s="1317"/>
      <c r="VLW387" s="1317"/>
      <c r="VLX387" s="1317"/>
      <c r="VLY387" s="1317"/>
      <c r="VLZ387" s="1317"/>
      <c r="VMA387" s="1317"/>
      <c r="VMB387" s="1317"/>
      <c r="VMC387" s="1317"/>
      <c r="VMD387" s="1317"/>
      <c r="VME387" s="1317"/>
      <c r="VMF387" s="1317"/>
      <c r="VMG387" s="1317"/>
      <c r="VMH387" s="1317"/>
      <c r="VMI387" s="1317"/>
      <c r="VMJ387" s="1317"/>
      <c r="VMK387" s="1317"/>
      <c r="VML387" s="1317"/>
      <c r="VMM387" s="1317"/>
      <c r="VMN387" s="1317"/>
      <c r="VMO387" s="1317"/>
      <c r="VMP387" s="1317"/>
      <c r="VMQ387" s="1317"/>
      <c r="VMR387" s="1317"/>
      <c r="VMS387" s="1317"/>
      <c r="VMT387" s="1317"/>
      <c r="VMU387" s="1317"/>
      <c r="VMV387" s="1317"/>
      <c r="VMW387" s="1317"/>
      <c r="VMX387" s="1317"/>
      <c r="VMY387" s="1317"/>
      <c r="VMZ387" s="1317"/>
      <c r="VNA387" s="1317"/>
      <c r="VNB387" s="1317"/>
      <c r="VNC387" s="1317"/>
      <c r="VND387" s="1317"/>
      <c r="VNE387" s="1317"/>
      <c r="VNF387" s="1317"/>
      <c r="VNG387" s="1317"/>
      <c r="VNH387" s="1317"/>
      <c r="VNI387" s="1317"/>
      <c r="VNJ387" s="1317"/>
      <c r="VNK387" s="1317"/>
      <c r="VNL387" s="1317"/>
      <c r="VNM387" s="1317"/>
      <c r="VNN387" s="1317"/>
      <c r="VNO387" s="1317"/>
      <c r="VNP387" s="1317"/>
      <c r="VNQ387" s="1317"/>
      <c r="VNR387" s="1317"/>
      <c r="VNS387" s="1317"/>
      <c r="VNT387" s="1317"/>
      <c r="VNU387" s="1317"/>
      <c r="VNV387" s="1317"/>
      <c r="VNW387" s="1317"/>
      <c r="VNX387" s="1317"/>
      <c r="VNY387" s="1317"/>
      <c r="VNZ387" s="1317"/>
      <c r="VOA387" s="1317"/>
      <c r="VOB387" s="1317"/>
      <c r="VOC387" s="1317"/>
      <c r="VOD387" s="1317"/>
      <c r="VOE387" s="1317"/>
      <c r="VOF387" s="1317"/>
      <c r="VOG387" s="1317"/>
      <c r="VOH387" s="1317"/>
      <c r="VOI387" s="1317"/>
      <c r="VOJ387" s="1317"/>
      <c r="VOK387" s="1317"/>
      <c r="VOL387" s="1317"/>
      <c r="VOM387" s="1317"/>
      <c r="VON387" s="1317"/>
      <c r="VOO387" s="1317"/>
      <c r="VOP387" s="1317"/>
      <c r="VOQ387" s="1317"/>
      <c r="VOR387" s="1317"/>
      <c r="VOS387" s="1317"/>
      <c r="VOT387" s="1317"/>
      <c r="VOU387" s="1317"/>
      <c r="VOV387" s="1317"/>
      <c r="VOW387" s="1317"/>
      <c r="VOX387" s="1317"/>
      <c r="VOY387" s="1317"/>
      <c r="VOZ387" s="1317"/>
      <c r="VPA387" s="1317"/>
      <c r="VPB387" s="1317"/>
      <c r="VPC387" s="1317"/>
      <c r="VPD387" s="1317"/>
      <c r="VPE387" s="1317"/>
      <c r="VPF387" s="1317"/>
      <c r="VPG387" s="1317"/>
      <c r="VPH387" s="1317"/>
      <c r="VPI387" s="1317"/>
      <c r="VPJ387" s="1317"/>
      <c r="VPK387" s="1317"/>
      <c r="VPL387" s="1317"/>
      <c r="VPM387" s="1317"/>
      <c r="VPN387" s="1317"/>
      <c r="VPO387" s="1317"/>
      <c r="VPP387" s="1317"/>
      <c r="VPQ387" s="1317"/>
      <c r="VPR387" s="1317"/>
      <c r="VPS387" s="1317"/>
      <c r="VPT387" s="1317"/>
      <c r="VPU387" s="1317"/>
      <c r="VPV387" s="1317"/>
      <c r="VPW387" s="1317"/>
      <c r="VPX387" s="1317"/>
      <c r="VPY387" s="1317"/>
      <c r="VPZ387" s="1317"/>
      <c r="VQA387" s="1317"/>
      <c r="VQB387" s="1317"/>
      <c r="VQC387" s="1317"/>
      <c r="VQD387" s="1317"/>
      <c r="VQE387" s="1317"/>
      <c r="VQF387" s="1317"/>
      <c r="VQG387" s="1317"/>
      <c r="VQH387" s="1317"/>
      <c r="VQI387" s="1317"/>
      <c r="VQJ387" s="1317"/>
      <c r="VQK387" s="1317"/>
      <c r="VQL387" s="1317"/>
      <c r="VQM387" s="1317"/>
      <c r="VQN387" s="1317"/>
      <c r="VQO387" s="1317"/>
      <c r="VQP387" s="1317"/>
      <c r="VQQ387" s="1317"/>
      <c r="VQR387" s="1317"/>
      <c r="VQS387" s="1317"/>
      <c r="VQT387" s="1317"/>
      <c r="VQU387" s="1317"/>
      <c r="VQV387" s="1317"/>
      <c r="VQW387" s="1317"/>
      <c r="VQX387" s="1317"/>
      <c r="VQY387" s="1317"/>
      <c r="VQZ387" s="1317"/>
      <c r="VRA387" s="1317"/>
      <c r="VRB387" s="1317"/>
      <c r="VRC387" s="1317"/>
      <c r="VRD387" s="1317"/>
      <c r="VRE387" s="1317"/>
      <c r="VRF387" s="1317"/>
      <c r="VRG387" s="1317"/>
      <c r="VRH387" s="1317"/>
      <c r="VRI387" s="1317"/>
      <c r="VRJ387" s="1317"/>
      <c r="VRK387" s="1317"/>
      <c r="VRL387" s="1317"/>
      <c r="VRM387" s="1317"/>
      <c r="VRN387" s="1317"/>
      <c r="VRO387" s="1317"/>
      <c r="VRP387" s="1317"/>
      <c r="VRQ387" s="1317"/>
      <c r="VRR387" s="1317"/>
      <c r="VRS387" s="1317"/>
      <c r="VRT387" s="1317"/>
      <c r="VRU387" s="1317"/>
      <c r="VRV387" s="1317"/>
      <c r="VRW387" s="1317"/>
      <c r="VRX387" s="1317"/>
      <c r="VRY387" s="1317"/>
      <c r="VRZ387" s="1317"/>
      <c r="VSA387" s="1317"/>
      <c r="VSB387" s="1317"/>
      <c r="VSC387" s="1317"/>
      <c r="VSD387" s="1317"/>
      <c r="VSE387" s="1317"/>
      <c r="VSF387" s="1317"/>
      <c r="VSG387" s="1317"/>
      <c r="VSH387" s="1317"/>
      <c r="VSI387" s="1317"/>
      <c r="VSJ387" s="1317"/>
      <c r="VSK387" s="1317"/>
      <c r="VSL387" s="1317"/>
      <c r="VSM387" s="1317"/>
      <c r="VSN387" s="1317"/>
      <c r="VSO387" s="1317"/>
      <c r="VSP387" s="1317"/>
      <c r="VSQ387" s="1317"/>
      <c r="VSR387" s="1317"/>
      <c r="VSS387" s="1317"/>
      <c r="VST387" s="1317"/>
      <c r="VSU387" s="1317"/>
      <c r="VSV387" s="1317"/>
      <c r="VSW387" s="1317"/>
      <c r="VSX387" s="1317"/>
      <c r="VSY387" s="1317"/>
      <c r="VSZ387" s="1317"/>
      <c r="VTA387" s="1317"/>
      <c r="VTB387" s="1317"/>
      <c r="VTC387" s="1317"/>
      <c r="VTD387" s="1317"/>
      <c r="VTE387" s="1317"/>
      <c r="VTF387" s="1317"/>
      <c r="VTG387" s="1317"/>
      <c r="VTH387" s="1317"/>
      <c r="VTI387" s="1317"/>
      <c r="VTJ387" s="1317"/>
      <c r="VTK387" s="1317"/>
      <c r="VTL387" s="1317"/>
      <c r="VTM387" s="1317"/>
      <c r="VTN387" s="1317"/>
      <c r="VTO387" s="1317"/>
      <c r="VTP387" s="1317"/>
      <c r="VTQ387" s="1317"/>
      <c r="VTR387" s="1317"/>
      <c r="VTS387" s="1317"/>
      <c r="VTT387" s="1317"/>
      <c r="VTU387" s="1317"/>
      <c r="VTV387" s="1317"/>
      <c r="VTW387" s="1317"/>
      <c r="VTX387" s="1317"/>
      <c r="VTY387" s="1317"/>
      <c r="VTZ387" s="1317"/>
      <c r="VUA387" s="1317"/>
      <c r="VUB387" s="1317"/>
      <c r="VUC387" s="1317"/>
      <c r="VUD387" s="1317"/>
      <c r="VUE387" s="1317"/>
      <c r="VUF387" s="1317"/>
      <c r="VUG387" s="1317"/>
      <c r="VUH387" s="1317"/>
      <c r="VUI387" s="1317"/>
      <c r="VUJ387" s="1317"/>
      <c r="VUK387" s="1317"/>
      <c r="VUL387" s="1317"/>
      <c r="VUM387" s="1317"/>
      <c r="VUN387" s="1317"/>
      <c r="VUO387" s="1317"/>
      <c r="VUP387" s="1317"/>
      <c r="VUQ387" s="1317"/>
      <c r="VUR387" s="1317"/>
      <c r="VUS387" s="1317"/>
      <c r="VUT387" s="1317"/>
      <c r="VUU387" s="1317"/>
      <c r="VUV387" s="1317"/>
      <c r="VUW387" s="1317"/>
      <c r="VUX387" s="1317"/>
      <c r="VUY387" s="1317"/>
      <c r="VUZ387" s="1317"/>
      <c r="VVA387" s="1317"/>
      <c r="VVB387" s="1317"/>
      <c r="VVC387" s="1317"/>
      <c r="VVD387" s="1317"/>
      <c r="VVE387" s="1317"/>
      <c r="VVF387" s="1317"/>
      <c r="VVG387" s="1317"/>
      <c r="VVH387" s="1317"/>
      <c r="VVI387" s="1317"/>
      <c r="VVJ387" s="1317"/>
      <c r="VVK387" s="1317"/>
      <c r="VVL387" s="1317"/>
      <c r="VVM387" s="1317"/>
      <c r="VVN387" s="1317"/>
      <c r="VVO387" s="1317"/>
      <c r="VVP387" s="1317"/>
      <c r="VVQ387" s="1317"/>
      <c r="VVR387" s="1317"/>
      <c r="VVS387" s="1317"/>
      <c r="VVT387" s="1317"/>
      <c r="VVU387" s="1317"/>
      <c r="VVV387" s="1317"/>
      <c r="VVW387" s="1317"/>
      <c r="VVX387" s="1317"/>
      <c r="VVY387" s="1317"/>
      <c r="VVZ387" s="1317"/>
      <c r="VWA387" s="1317"/>
      <c r="VWB387" s="1317"/>
      <c r="VWC387" s="1317"/>
      <c r="VWD387" s="1317"/>
      <c r="VWE387" s="1317"/>
      <c r="VWF387" s="1317"/>
      <c r="VWG387" s="1317"/>
      <c r="VWH387" s="1317"/>
      <c r="VWI387" s="1317"/>
      <c r="VWJ387" s="1317"/>
      <c r="VWK387" s="1317"/>
      <c r="VWL387" s="1317"/>
      <c r="VWM387" s="1317"/>
      <c r="VWN387" s="1317"/>
      <c r="VWO387" s="1317"/>
      <c r="VWP387" s="1317"/>
      <c r="VWQ387" s="1317"/>
      <c r="VWR387" s="1317"/>
      <c r="VWS387" s="1317"/>
      <c r="VWT387" s="1317"/>
      <c r="VWU387" s="1317"/>
      <c r="VWV387" s="1317"/>
      <c r="VWW387" s="1317"/>
      <c r="VWX387" s="1317"/>
      <c r="VWY387" s="1317"/>
      <c r="VWZ387" s="1317"/>
      <c r="VXA387" s="1317"/>
      <c r="VXB387" s="1317"/>
      <c r="VXC387" s="1317"/>
      <c r="VXD387" s="1317"/>
      <c r="VXE387" s="1317"/>
      <c r="VXF387" s="1317"/>
      <c r="VXG387" s="1317"/>
      <c r="VXH387" s="1317"/>
      <c r="VXI387" s="1317"/>
      <c r="VXJ387" s="1317"/>
      <c r="VXK387" s="1317"/>
      <c r="VXL387" s="1317"/>
      <c r="VXM387" s="1317"/>
      <c r="VXN387" s="1317"/>
      <c r="VXO387" s="1317"/>
      <c r="VXP387" s="1317"/>
      <c r="VXQ387" s="1317"/>
      <c r="VXR387" s="1317"/>
      <c r="VXS387" s="1317"/>
      <c r="VXT387" s="1317"/>
      <c r="VXU387" s="1317"/>
      <c r="VXV387" s="1317"/>
      <c r="VXW387" s="1317"/>
      <c r="VXX387" s="1317"/>
      <c r="VXY387" s="1317"/>
      <c r="VXZ387" s="1317"/>
      <c r="VYA387" s="1317"/>
      <c r="VYB387" s="1317"/>
      <c r="VYC387" s="1317"/>
      <c r="VYD387" s="1317"/>
      <c r="VYE387" s="1317"/>
      <c r="VYF387" s="1317"/>
      <c r="VYG387" s="1317"/>
      <c r="VYH387" s="1317"/>
      <c r="VYI387" s="1317"/>
      <c r="VYJ387" s="1317"/>
      <c r="VYK387" s="1317"/>
      <c r="VYL387" s="1317"/>
      <c r="VYM387" s="1317"/>
      <c r="VYN387" s="1317"/>
      <c r="VYO387" s="1317"/>
      <c r="VYP387" s="1317"/>
      <c r="VYQ387" s="1317"/>
      <c r="VYR387" s="1317"/>
      <c r="VYS387" s="1317"/>
      <c r="VYT387" s="1317"/>
      <c r="VYU387" s="1317"/>
      <c r="VYV387" s="1317"/>
      <c r="VYW387" s="1317"/>
      <c r="VYX387" s="1317"/>
      <c r="VYY387" s="1317"/>
      <c r="VYZ387" s="1317"/>
      <c r="VZA387" s="1317"/>
      <c r="VZB387" s="1317"/>
      <c r="VZC387" s="1317"/>
      <c r="VZD387" s="1317"/>
      <c r="VZE387" s="1317"/>
      <c r="VZF387" s="1317"/>
      <c r="VZG387" s="1317"/>
      <c r="VZH387" s="1317"/>
      <c r="VZI387" s="1317"/>
      <c r="VZJ387" s="1317"/>
      <c r="VZK387" s="1317"/>
      <c r="VZL387" s="1317"/>
      <c r="VZM387" s="1317"/>
      <c r="VZN387" s="1317"/>
      <c r="VZO387" s="1317"/>
      <c r="VZP387" s="1317"/>
      <c r="VZQ387" s="1317"/>
      <c r="VZR387" s="1317"/>
      <c r="VZS387" s="1317"/>
      <c r="VZT387" s="1317"/>
      <c r="VZU387" s="1317"/>
      <c r="VZV387" s="1317"/>
      <c r="VZW387" s="1317"/>
      <c r="VZX387" s="1317"/>
      <c r="VZY387" s="1317"/>
      <c r="VZZ387" s="1317"/>
      <c r="WAA387" s="1317"/>
      <c r="WAB387" s="1317"/>
      <c r="WAC387" s="1317"/>
      <c r="WAD387" s="1317"/>
      <c r="WAE387" s="1317"/>
      <c r="WAF387" s="1317"/>
      <c r="WAG387" s="1317"/>
      <c r="WAH387" s="1317"/>
      <c r="WAI387" s="1317"/>
      <c r="WAJ387" s="1317"/>
      <c r="WAK387" s="1317"/>
      <c r="WAL387" s="1317"/>
      <c r="WAM387" s="1317"/>
      <c r="WAN387" s="1317"/>
      <c r="WAO387" s="1317"/>
      <c r="WAP387" s="1317"/>
      <c r="WAQ387" s="1317"/>
      <c r="WAR387" s="1317"/>
      <c r="WAS387" s="1317"/>
      <c r="WAT387" s="1317"/>
      <c r="WAU387" s="1317"/>
      <c r="WAV387" s="1317"/>
      <c r="WAW387" s="1317"/>
      <c r="WAX387" s="1317"/>
      <c r="WAY387" s="1317"/>
      <c r="WAZ387" s="1317"/>
      <c r="WBA387" s="1317"/>
      <c r="WBB387" s="1317"/>
      <c r="WBC387" s="1317"/>
      <c r="WBD387" s="1317"/>
      <c r="WBE387" s="1317"/>
      <c r="WBF387" s="1317"/>
      <c r="WBG387" s="1317"/>
      <c r="WBH387" s="1317"/>
      <c r="WBI387" s="1317"/>
      <c r="WBJ387" s="1317"/>
      <c r="WBK387" s="1317"/>
      <c r="WBL387" s="1317"/>
      <c r="WBM387" s="1317"/>
      <c r="WBN387" s="1317"/>
      <c r="WBO387" s="1317"/>
      <c r="WBP387" s="1317"/>
      <c r="WBQ387" s="1317"/>
      <c r="WBR387" s="1317"/>
      <c r="WBS387" s="1317"/>
      <c r="WBT387" s="1317"/>
      <c r="WBU387" s="1317"/>
      <c r="WBV387" s="1317"/>
      <c r="WBW387" s="1317"/>
      <c r="WBX387" s="1317"/>
      <c r="WBY387" s="1317"/>
      <c r="WBZ387" s="1317"/>
      <c r="WCA387" s="1317"/>
      <c r="WCB387" s="1317"/>
      <c r="WCC387" s="1317"/>
      <c r="WCD387" s="1317"/>
      <c r="WCE387" s="1317"/>
      <c r="WCF387" s="1317"/>
      <c r="WCG387" s="1317"/>
      <c r="WCH387" s="1317"/>
      <c r="WCI387" s="1317"/>
      <c r="WCJ387" s="1317"/>
      <c r="WCK387" s="1317"/>
      <c r="WCL387" s="1317"/>
      <c r="WCM387" s="1317"/>
      <c r="WCN387" s="1317"/>
      <c r="WCO387" s="1317"/>
      <c r="WCP387" s="1317"/>
      <c r="WCQ387" s="1317"/>
      <c r="WCR387" s="1317"/>
      <c r="WCS387" s="1317"/>
      <c r="WCT387" s="1317"/>
      <c r="WCU387" s="1317"/>
      <c r="WCV387" s="1317"/>
      <c r="WCW387" s="1317"/>
      <c r="WCX387" s="1317"/>
      <c r="WCY387" s="1317"/>
      <c r="WCZ387" s="1317"/>
      <c r="WDA387" s="1317"/>
      <c r="WDB387" s="1317"/>
      <c r="WDC387" s="1317"/>
      <c r="WDD387" s="1317"/>
      <c r="WDE387" s="1317"/>
      <c r="WDF387" s="1317"/>
      <c r="WDG387" s="1317"/>
      <c r="WDH387" s="1317"/>
      <c r="WDI387" s="1317"/>
      <c r="WDJ387" s="1317"/>
      <c r="WDK387" s="1317"/>
      <c r="WDL387" s="1317"/>
      <c r="WDM387" s="1317"/>
      <c r="WDN387" s="1317"/>
      <c r="WDO387" s="1317"/>
      <c r="WDP387" s="1317"/>
      <c r="WDQ387" s="1317"/>
      <c r="WDR387" s="1317"/>
      <c r="WDS387" s="1317"/>
      <c r="WDT387" s="1317"/>
      <c r="WDU387" s="1317"/>
      <c r="WDV387" s="1317"/>
      <c r="WDW387" s="1317"/>
      <c r="WDX387" s="1317"/>
      <c r="WDY387" s="1317"/>
      <c r="WDZ387" s="1317"/>
      <c r="WEA387" s="1317"/>
      <c r="WEB387" s="1317"/>
      <c r="WEC387" s="1317"/>
      <c r="WED387" s="1317"/>
      <c r="WEE387" s="1317"/>
      <c r="WEF387" s="1317"/>
      <c r="WEG387" s="1317"/>
      <c r="WEH387" s="1317"/>
      <c r="WEI387" s="1317"/>
      <c r="WEJ387" s="1317"/>
      <c r="WEK387" s="1317"/>
      <c r="WEL387" s="1317"/>
      <c r="WEM387" s="1317"/>
      <c r="WEN387" s="1317"/>
      <c r="WEO387" s="1317"/>
      <c r="WEP387" s="1317"/>
      <c r="WEQ387" s="1317"/>
      <c r="WER387" s="1317"/>
      <c r="WES387" s="1317"/>
      <c r="WET387" s="1317"/>
      <c r="WEU387" s="1317"/>
      <c r="WEV387" s="1317"/>
      <c r="WEW387" s="1317"/>
      <c r="WEX387" s="1317"/>
      <c r="WEY387" s="1317"/>
      <c r="WEZ387" s="1317"/>
      <c r="WFA387" s="1317"/>
      <c r="WFB387" s="1317"/>
      <c r="WFC387" s="1317"/>
      <c r="WFD387" s="1317"/>
      <c r="WFE387" s="1317"/>
      <c r="WFF387" s="1317"/>
      <c r="WFG387" s="1317"/>
      <c r="WFH387" s="1317"/>
      <c r="WFI387" s="1317"/>
      <c r="WFJ387" s="1317"/>
      <c r="WFK387" s="1317"/>
      <c r="WFL387" s="1317"/>
      <c r="WFM387" s="1317"/>
      <c r="WFN387" s="1317"/>
      <c r="WFO387" s="1317"/>
      <c r="WFP387" s="1317"/>
      <c r="WFQ387" s="1317"/>
      <c r="WFR387" s="1317"/>
      <c r="WFS387" s="1317"/>
      <c r="WFT387" s="1317"/>
      <c r="WFU387" s="1317"/>
      <c r="WFV387" s="1317"/>
      <c r="WFW387" s="1317"/>
      <c r="WFX387" s="1317"/>
      <c r="WFY387" s="1317"/>
      <c r="WFZ387" s="1317"/>
      <c r="WGA387" s="1317"/>
      <c r="WGB387" s="1317"/>
      <c r="WGC387" s="1317"/>
      <c r="WGD387" s="1317"/>
      <c r="WGE387" s="1317"/>
      <c r="WGF387" s="1317"/>
      <c r="WGG387" s="1317"/>
      <c r="WGH387" s="1317"/>
      <c r="WGI387" s="1317"/>
      <c r="WGJ387" s="1317"/>
      <c r="WGK387" s="1317"/>
      <c r="WGL387" s="1317"/>
      <c r="WGM387" s="1317"/>
      <c r="WGN387" s="1317"/>
      <c r="WGO387" s="1317"/>
      <c r="WGP387" s="1317"/>
      <c r="WGQ387" s="1317"/>
      <c r="WGR387" s="1317"/>
      <c r="WGS387" s="1317"/>
      <c r="WGT387" s="1317"/>
      <c r="WGU387" s="1317"/>
      <c r="WGV387" s="1317"/>
      <c r="WGW387" s="1317"/>
      <c r="WGX387" s="1317"/>
      <c r="WGY387" s="1317"/>
      <c r="WGZ387" s="1317"/>
      <c r="WHA387" s="1317"/>
      <c r="WHB387" s="1317"/>
      <c r="WHC387" s="1317"/>
      <c r="WHD387" s="1317"/>
      <c r="WHE387" s="1317"/>
      <c r="WHF387" s="1317"/>
      <c r="WHG387" s="1317"/>
      <c r="WHH387" s="1317"/>
      <c r="WHI387" s="1317"/>
      <c r="WHJ387" s="1317"/>
      <c r="WHK387" s="1317"/>
      <c r="WHL387" s="1317"/>
      <c r="WHM387" s="1317"/>
      <c r="WHN387" s="1317"/>
      <c r="WHO387" s="1317"/>
      <c r="WHP387" s="1317"/>
      <c r="WHQ387" s="1317"/>
      <c r="WHR387" s="1317"/>
      <c r="WHS387" s="1317"/>
      <c r="WHT387" s="1317"/>
      <c r="WHU387" s="1317"/>
      <c r="WHV387" s="1317"/>
      <c r="WHW387" s="1317"/>
      <c r="WHX387" s="1317"/>
      <c r="WHY387" s="1317"/>
      <c r="WHZ387" s="1317"/>
      <c r="WIA387" s="1317"/>
      <c r="WIB387" s="1317"/>
      <c r="WIC387" s="1317"/>
      <c r="WID387" s="1317"/>
      <c r="WIE387" s="1317"/>
      <c r="WIF387" s="1317"/>
      <c r="WIG387" s="1317"/>
      <c r="WIH387" s="1317"/>
      <c r="WII387" s="1317"/>
      <c r="WIJ387" s="1317"/>
      <c r="WIK387" s="1317"/>
      <c r="WIL387" s="1317"/>
      <c r="WIM387" s="1317"/>
      <c r="WIN387" s="1317"/>
      <c r="WIO387" s="1317"/>
      <c r="WIP387" s="1317"/>
      <c r="WIQ387" s="1317"/>
      <c r="WIR387" s="1317"/>
      <c r="WIS387" s="1317"/>
      <c r="WIT387" s="1317"/>
      <c r="WIU387" s="1317"/>
      <c r="WIV387" s="1317"/>
      <c r="WIW387" s="1317"/>
      <c r="WIX387" s="1317"/>
      <c r="WIY387" s="1317"/>
      <c r="WIZ387" s="1317"/>
      <c r="WJA387" s="1317"/>
      <c r="WJB387" s="1317"/>
      <c r="WJC387" s="1317"/>
      <c r="WJD387" s="1317"/>
      <c r="WJE387" s="1317"/>
      <c r="WJF387" s="1317"/>
      <c r="WJG387" s="1317"/>
      <c r="WJH387" s="1317"/>
      <c r="WJI387" s="1317"/>
      <c r="WJJ387" s="1317"/>
      <c r="WJK387" s="1317"/>
      <c r="WJL387" s="1317"/>
      <c r="WJM387" s="1317"/>
      <c r="WJN387" s="1317"/>
      <c r="WJO387" s="1317"/>
      <c r="WJP387" s="1317"/>
      <c r="WJQ387" s="1317"/>
      <c r="WJR387" s="1317"/>
      <c r="WJS387" s="1317"/>
      <c r="WJT387" s="1317"/>
      <c r="WJU387" s="1317"/>
      <c r="WJV387" s="1317"/>
      <c r="WJW387" s="1317"/>
      <c r="WJX387" s="1317"/>
      <c r="WJY387" s="1317"/>
      <c r="WJZ387" s="1317"/>
      <c r="WKA387" s="1317"/>
      <c r="WKB387" s="1317"/>
      <c r="WKC387" s="1317"/>
      <c r="WKD387" s="1317"/>
      <c r="WKE387" s="1317"/>
      <c r="WKF387" s="1317"/>
      <c r="WKG387" s="1317"/>
      <c r="WKH387" s="1317"/>
      <c r="WKI387" s="1317"/>
      <c r="WKJ387" s="1317"/>
      <c r="WKK387" s="1317"/>
      <c r="WKL387" s="1317"/>
      <c r="WKM387" s="1317"/>
      <c r="WKN387" s="1317"/>
      <c r="WKO387" s="1317"/>
      <c r="WKP387" s="1317"/>
      <c r="WKQ387" s="1317"/>
      <c r="WKR387" s="1317"/>
      <c r="WKS387" s="1317"/>
      <c r="WKT387" s="1317"/>
      <c r="WKU387" s="1317"/>
      <c r="WKV387" s="1317"/>
      <c r="WKW387" s="1317"/>
      <c r="WKX387" s="1317"/>
      <c r="WKY387" s="1317"/>
      <c r="WKZ387" s="1317"/>
      <c r="WLA387" s="1317"/>
      <c r="WLB387" s="1317"/>
      <c r="WLC387" s="1317"/>
      <c r="WLD387" s="1317"/>
      <c r="WLE387" s="1317"/>
      <c r="WLF387" s="1317"/>
      <c r="WLG387" s="1317"/>
      <c r="WLH387" s="1317"/>
      <c r="WLI387" s="1317"/>
      <c r="WLJ387" s="1317"/>
      <c r="WLK387" s="1317"/>
      <c r="WLL387" s="1317"/>
      <c r="WLM387" s="1317"/>
      <c r="WLN387" s="1317"/>
      <c r="WLO387" s="1317"/>
      <c r="WLP387" s="1317"/>
      <c r="WLQ387" s="1317"/>
      <c r="WLR387" s="1317"/>
      <c r="WLS387" s="1317"/>
      <c r="WLT387" s="1317"/>
      <c r="WLU387" s="1317"/>
      <c r="WLV387" s="1317"/>
      <c r="WLW387" s="1317"/>
      <c r="WLX387" s="1317"/>
      <c r="WLY387" s="1317"/>
      <c r="WLZ387" s="1317"/>
      <c r="WMA387" s="1317"/>
      <c r="WMB387" s="1317"/>
      <c r="WMC387" s="1317"/>
      <c r="WMD387" s="1317"/>
      <c r="WME387" s="1317"/>
      <c r="WMF387" s="1317"/>
      <c r="WMG387" s="1317"/>
      <c r="WMH387" s="1317"/>
      <c r="WMI387" s="1317"/>
      <c r="WMJ387" s="1317"/>
      <c r="WMK387" s="1317"/>
      <c r="WML387" s="1317"/>
      <c r="WMM387" s="1317"/>
      <c r="WMN387" s="1317"/>
      <c r="WMO387" s="1317"/>
      <c r="WMP387" s="1317"/>
      <c r="WMQ387" s="1317"/>
      <c r="WMR387" s="1317"/>
      <c r="WMS387" s="1317"/>
      <c r="WMT387" s="1317"/>
      <c r="WMU387" s="1317"/>
      <c r="WMV387" s="1317"/>
      <c r="WMW387" s="1317"/>
      <c r="WMX387" s="1317"/>
      <c r="WMY387" s="1317"/>
      <c r="WMZ387" s="1317"/>
      <c r="WNA387" s="1317"/>
      <c r="WNB387" s="1317"/>
      <c r="WNC387" s="1317"/>
      <c r="WND387" s="1317"/>
      <c r="WNE387" s="1317"/>
      <c r="WNF387" s="1317"/>
      <c r="WNG387" s="1317"/>
      <c r="WNH387" s="1317"/>
      <c r="WNI387" s="1317"/>
      <c r="WNJ387" s="1317"/>
      <c r="WNK387" s="1317"/>
      <c r="WNL387" s="1317"/>
      <c r="WNM387" s="1317"/>
      <c r="WNN387" s="1317"/>
      <c r="WNO387" s="1317"/>
      <c r="WNP387" s="1317"/>
      <c r="WNQ387" s="1317"/>
      <c r="WNR387" s="1317"/>
      <c r="WNS387" s="1317"/>
      <c r="WNT387" s="1317"/>
      <c r="WNU387" s="1317"/>
      <c r="WNV387" s="1317"/>
      <c r="WNW387" s="1317"/>
      <c r="WNX387" s="1317"/>
      <c r="WNY387" s="1317"/>
      <c r="WNZ387" s="1317"/>
      <c r="WOA387" s="1317"/>
      <c r="WOB387" s="1317"/>
      <c r="WOC387" s="1317"/>
      <c r="WOD387" s="1317"/>
      <c r="WOE387" s="1317"/>
      <c r="WOF387" s="1317"/>
      <c r="WOG387" s="1317"/>
      <c r="WOH387" s="1317"/>
      <c r="WOI387" s="1317"/>
      <c r="WOJ387" s="1317"/>
      <c r="WOK387" s="1317"/>
      <c r="WOL387" s="1317"/>
      <c r="WOM387" s="1317"/>
      <c r="WON387" s="1317"/>
      <c r="WOO387" s="1317"/>
      <c r="WOP387" s="1317"/>
      <c r="WOQ387" s="1317"/>
      <c r="WOR387" s="1317"/>
      <c r="WOS387" s="1317"/>
      <c r="WOT387" s="1317"/>
      <c r="WOU387" s="1317"/>
      <c r="WOV387" s="1317"/>
      <c r="WOW387" s="1317"/>
      <c r="WOX387" s="1317"/>
      <c r="WOY387" s="1317"/>
      <c r="WOZ387" s="1317"/>
      <c r="WPA387" s="1317"/>
      <c r="WPB387" s="1317"/>
      <c r="WPC387" s="1317"/>
      <c r="WPD387" s="1317"/>
      <c r="WPE387" s="1317"/>
      <c r="WPF387" s="1317"/>
      <c r="WPG387" s="1317"/>
      <c r="WPH387" s="1317"/>
      <c r="WPI387" s="1317"/>
      <c r="WPJ387" s="1317"/>
      <c r="WPK387" s="1317"/>
      <c r="WPL387" s="1317"/>
      <c r="WPM387" s="1317"/>
      <c r="WPN387" s="1317"/>
      <c r="WPO387" s="1317"/>
      <c r="WPP387" s="1317"/>
      <c r="WPQ387" s="1317"/>
      <c r="WPR387" s="1317"/>
      <c r="WPS387" s="1317"/>
      <c r="WPT387" s="1317"/>
      <c r="WPU387" s="1317"/>
      <c r="WPV387" s="1317"/>
      <c r="WPW387" s="1317"/>
      <c r="WPX387" s="1317"/>
      <c r="WPY387" s="1317"/>
      <c r="WPZ387" s="1317"/>
      <c r="WQA387" s="1317"/>
      <c r="WQB387" s="1317"/>
      <c r="WQC387" s="1317"/>
      <c r="WQD387" s="1317"/>
      <c r="WQE387" s="1317"/>
      <c r="WQF387" s="1317"/>
      <c r="WQG387" s="1317"/>
      <c r="WQH387" s="1317"/>
      <c r="WQI387" s="1317"/>
      <c r="WQJ387" s="1317"/>
      <c r="WQK387" s="1317"/>
      <c r="WQL387" s="1317"/>
      <c r="WQM387" s="1317"/>
      <c r="WQN387" s="1317"/>
      <c r="WQO387" s="1317"/>
      <c r="WQP387" s="1317"/>
      <c r="WQQ387" s="1317"/>
      <c r="WQR387" s="1317"/>
      <c r="WQS387" s="1317"/>
      <c r="WQT387" s="1317"/>
      <c r="WQU387" s="1317"/>
      <c r="WQV387" s="1317"/>
      <c r="WQW387" s="1317"/>
      <c r="WQX387" s="1317"/>
      <c r="WQY387" s="1317"/>
      <c r="WQZ387" s="1317"/>
      <c r="WRA387" s="1317"/>
      <c r="WRB387" s="1317"/>
      <c r="WRC387" s="1317"/>
      <c r="WRD387" s="1317"/>
      <c r="WRE387" s="1317"/>
      <c r="WRF387" s="1317"/>
      <c r="WRG387" s="1317"/>
      <c r="WRH387" s="1317"/>
      <c r="WRI387" s="1317"/>
      <c r="WRJ387" s="1317"/>
      <c r="WRK387" s="1317"/>
      <c r="WRL387" s="1317"/>
      <c r="WRM387" s="1317"/>
      <c r="WRN387" s="1317"/>
      <c r="WRO387" s="1317"/>
      <c r="WRP387" s="1317"/>
      <c r="WRQ387" s="1317"/>
      <c r="WRR387" s="1317"/>
      <c r="WRS387" s="1317"/>
      <c r="WRT387" s="1317"/>
      <c r="WRU387" s="1317"/>
      <c r="WRV387" s="1317"/>
      <c r="WRW387" s="1317"/>
      <c r="WRX387" s="1317"/>
      <c r="WRY387" s="1317"/>
      <c r="WRZ387" s="1317"/>
      <c r="WSA387" s="1317"/>
      <c r="WSB387" s="1317"/>
      <c r="WSC387" s="1317"/>
      <c r="WSD387" s="1317"/>
      <c r="WSE387" s="1317"/>
      <c r="WSF387" s="1317"/>
      <c r="WSG387" s="1317"/>
      <c r="WSH387" s="1317"/>
      <c r="WSI387" s="1317"/>
      <c r="WSJ387" s="1317"/>
      <c r="WSK387" s="1317"/>
      <c r="WSL387" s="1317"/>
      <c r="WSM387" s="1317"/>
      <c r="WSN387" s="1317"/>
      <c r="WSO387" s="1317"/>
      <c r="WSP387" s="1317"/>
      <c r="WSQ387" s="1317"/>
      <c r="WSR387" s="1317"/>
      <c r="WSS387" s="1317"/>
      <c r="WST387" s="1317"/>
      <c r="WSU387" s="1317"/>
      <c r="WSV387" s="1317"/>
      <c r="WSW387" s="1317"/>
      <c r="WSX387" s="1317"/>
      <c r="WSY387" s="1317"/>
      <c r="WSZ387" s="1317"/>
      <c r="WTA387" s="1317"/>
      <c r="WTB387" s="1317"/>
      <c r="WTC387" s="1317"/>
      <c r="WTD387" s="1317"/>
      <c r="WTE387" s="1317"/>
      <c r="WTF387" s="1317"/>
      <c r="WTG387" s="1317"/>
      <c r="WTH387" s="1317"/>
      <c r="WTI387" s="1317"/>
      <c r="WTJ387" s="1317"/>
      <c r="WTK387" s="1317"/>
      <c r="WTL387" s="1317"/>
      <c r="WTM387" s="1317"/>
      <c r="WTN387" s="1317"/>
      <c r="WTO387" s="1317"/>
      <c r="WTP387" s="1317"/>
      <c r="WTQ387" s="1317"/>
      <c r="WTR387" s="1317"/>
      <c r="WTS387" s="1317"/>
      <c r="WTT387" s="1317"/>
      <c r="WTU387" s="1317"/>
      <c r="WTV387" s="1317"/>
      <c r="WTW387" s="1317"/>
      <c r="WTX387" s="1317"/>
      <c r="WTY387" s="1317"/>
      <c r="WTZ387" s="1317"/>
      <c r="WUA387" s="1317"/>
      <c r="WUB387" s="1317"/>
      <c r="WUC387" s="1317"/>
      <c r="WUD387" s="1317"/>
      <c r="WUE387" s="1317"/>
      <c r="WUF387" s="1317"/>
      <c r="WUG387" s="1317"/>
      <c r="WUH387" s="1317"/>
      <c r="WUI387" s="1317"/>
      <c r="WUJ387" s="1317"/>
      <c r="WUK387" s="1317"/>
      <c r="WUL387" s="1317"/>
      <c r="WUM387" s="1317"/>
      <c r="WUN387" s="1317"/>
      <c r="WUO387" s="1317"/>
      <c r="WUP387" s="1317"/>
      <c r="WUQ387" s="1317"/>
      <c r="WUR387" s="1317"/>
      <c r="WUS387" s="1317"/>
      <c r="WUT387" s="1317"/>
      <c r="WUU387" s="1317"/>
      <c r="WUV387" s="1317"/>
      <c r="WUW387" s="1317"/>
      <c r="WUX387" s="1317"/>
      <c r="WUY387" s="1317"/>
      <c r="WUZ387" s="1317"/>
      <c r="WVA387" s="1317"/>
      <c r="WVB387" s="1317"/>
      <c r="WVC387" s="1317"/>
      <c r="WVD387" s="1317"/>
      <c r="WVE387" s="1317"/>
      <c r="WVF387" s="1317"/>
      <c r="WVG387" s="1317"/>
      <c r="WVH387" s="1317"/>
      <c r="WVI387" s="1317"/>
      <c r="WVJ387" s="1317"/>
      <c r="WVK387" s="1317"/>
      <c r="WVL387" s="1317"/>
      <c r="WVM387" s="1317"/>
      <c r="WVN387" s="1317"/>
      <c r="WVO387" s="1317"/>
      <c r="WVP387" s="1317"/>
      <c r="WVQ387" s="1317"/>
      <c r="WVR387" s="1317"/>
      <c r="WVS387" s="1317"/>
      <c r="WVT387" s="1317"/>
      <c r="WVU387" s="1317"/>
      <c r="WVV387" s="1317"/>
      <c r="WVW387" s="1317"/>
      <c r="WVX387" s="1317"/>
      <c r="WVY387" s="1317"/>
      <c r="WVZ387" s="1317"/>
      <c r="WWA387" s="1317"/>
      <c r="WWB387" s="1317"/>
      <c r="WWC387" s="1317"/>
      <c r="WWD387" s="1317"/>
      <c r="WWE387" s="1317"/>
      <c r="WWF387" s="1317"/>
      <c r="WWG387" s="1317"/>
      <c r="WWH387" s="1317"/>
      <c r="WWI387" s="1317"/>
      <c r="WWJ387" s="1317"/>
      <c r="WWK387" s="1317"/>
      <c r="WWL387" s="1317"/>
      <c r="WWM387" s="1317"/>
      <c r="WWN387" s="1317"/>
      <c r="WWO387" s="1317"/>
      <c r="WWP387" s="1317"/>
      <c r="WWQ387" s="1317"/>
      <c r="WWR387" s="1317"/>
      <c r="WWS387" s="1317"/>
      <c r="WWT387" s="1317"/>
      <c r="WWU387" s="1317"/>
      <c r="WWV387" s="1317"/>
      <c r="WWW387" s="1317"/>
      <c r="WWX387" s="1317"/>
      <c r="WWY387" s="1317"/>
      <c r="WWZ387" s="1317"/>
      <c r="WXA387" s="1317"/>
      <c r="WXB387" s="1317"/>
      <c r="WXC387" s="1317"/>
      <c r="WXD387" s="1317"/>
      <c r="WXE387" s="1317"/>
      <c r="WXF387" s="1317"/>
      <c r="WXG387" s="1317"/>
      <c r="WXH387" s="1317"/>
      <c r="WXI387" s="1317"/>
      <c r="WXJ387" s="1317"/>
      <c r="WXK387" s="1317"/>
      <c r="WXL387" s="1317"/>
      <c r="WXM387" s="1317"/>
      <c r="WXN387" s="1317"/>
      <c r="WXO387" s="1317"/>
      <c r="WXP387" s="1317"/>
      <c r="WXQ387" s="1317"/>
      <c r="WXR387" s="1317"/>
      <c r="WXS387" s="1317"/>
      <c r="WXT387" s="1317"/>
      <c r="WXU387" s="1317"/>
      <c r="WXV387" s="1317"/>
      <c r="WXW387" s="1317"/>
      <c r="WXX387" s="1317"/>
      <c r="WXY387" s="1317"/>
      <c r="WXZ387" s="1317"/>
      <c r="WYA387" s="1317"/>
      <c r="WYB387" s="1317"/>
      <c r="WYC387" s="1317"/>
      <c r="WYD387" s="1317"/>
      <c r="WYE387" s="1317"/>
      <c r="WYF387" s="1317"/>
      <c r="WYG387" s="1317"/>
      <c r="WYH387" s="1317"/>
      <c r="WYI387" s="1317"/>
      <c r="WYJ387" s="1317"/>
      <c r="WYK387" s="1317"/>
      <c r="WYL387" s="1317"/>
      <c r="WYM387" s="1317"/>
      <c r="WYN387" s="1317"/>
      <c r="WYO387" s="1317"/>
      <c r="WYP387" s="1317"/>
      <c r="WYQ387" s="1317"/>
      <c r="WYR387" s="1317"/>
      <c r="WYS387" s="1317"/>
      <c r="WYT387" s="1317"/>
      <c r="WYU387" s="1317"/>
      <c r="WYV387" s="1317"/>
      <c r="WYW387" s="1317"/>
      <c r="WYX387" s="1317"/>
      <c r="WYY387" s="1317"/>
      <c r="WYZ387" s="1317"/>
      <c r="WZA387" s="1317"/>
      <c r="WZB387" s="1317"/>
      <c r="WZC387" s="1317"/>
      <c r="WZD387" s="1317"/>
      <c r="WZE387" s="1317"/>
      <c r="WZF387" s="1317"/>
      <c r="WZG387" s="1317"/>
      <c r="WZH387" s="1317"/>
      <c r="WZI387" s="1317"/>
      <c r="WZJ387" s="1317"/>
      <c r="WZK387" s="1317"/>
      <c r="WZL387" s="1317"/>
      <c r="WZM387" s="1317"/>
      <c r="WZN387" s="1317"/>
      <c r="WZO387" s="1317"/>
      <c r="WZP387" s="1317"/>
      <c r="WZQ387" s="1317"/>
      <c r="WZR387" s="1317"/>
      <c r="WZS387" s="1317"/>
      <c r="WZT387" s="1317"/>
      <c r="WZU387" s="1317"/>
      <c r="WZV387" s="1317"/>
      <c r="WZW387" s="1317"/>
      <c r="WZX387" s="1317"/>
      <c r="WZY387" s="1317"/>
      <c r="WZZ387" s="1317"/>
      <c r="XAA387" s="1317"/>
      <c r="XAB387" s="1317"/>
      <c r="XAC387" s="1317"/>
      <c r="XAD387" s="1317"/>
      <c r="XAE387" s="1317"/>
      <c r="XAF387" s="1317"/>
      <c r="XAG387" s="1317"/>
      <c r="XAH387" s="1317"/>
      <c r="XAI387" s="1317"/>
      <c r="XAJ387" s="1317"/>
      <c r="XAK387" s="1317"/>
      <c r="XAL387" s="1317"/>
      <c r="XAM387" s="1317"/>
      <c r="XAN387" s="1317"/>
      <c r="XAO387" s="1317"/>
      <c r="XAP387" s="1317"/>
      <c r="XAQ387" s="1317"/>
      <c r="XAR387" s="1317"/>
      <c r="XAS387" s="1317"/>
      <c r="XAT387" s="1317"/>
      <c r="XAU387" s="1317"/>
      <c r="XAV387" s="1317"/>
      <c r="XAW387" s="1317"/>
      <c r="XAX387" s="1317"/>
      <c r="XAY387" s="1317"/>
      <c r="XAZ387" s="1317"/>
      <c r="XBA387" s="1317"/>
      <c r="XBB387" s="1317"/>
      <c r="XBC387" s="1317"/>
      <c r="XBD387" s="1317"/>
      <c r="XBE387" s="1317"/>
      <c r="XBF387" s="1317"/>
      <c r="XBG387" s="1317"/>
      <c r="XBH387" s="1317"/>
      <c r="XBI387" s="1317"/>
      <c r="XBJ387" s="1317"/>
      <c r="XBK387" s="1317"/>
      <c r="XBL387" s="1317"/>
      <c r="XBM387" s="1317"/>
      <c r="XBN387" s="1317"/>
      <c r="XBO387" s="1317"/>
      <c r="XBP387" s="1317"/>
      <c r="XBQ387" s="1317"/>
      <c r="XBR387" s="1317"/>
      <c r="XBS387" s="1317"/>
      <c r="XBT387" s="1317"/>
      <c r="XBU387" s="1317"/>
      <c r="XBV387" s="1317"/>
      <c r="XBW387" s="1317"/>
      <c r="XBX387" s="1317"/>
      <c r="XBY387" s="1317"/>
      <c r="XBZ387" s="1317"/>
      <c r="XCA387" s="1317"/>
      <c r="XCB387" s="1317"/>
      <c r="XCC387" s="1317"/>
      <c r="XCD387" s="1317"/>
      <c r="XCE387" s="1317"/>
      <c r="XCF387" s="1317"/>
      <c r="XCG387" s="1317"/>
      <c r="XCH387" s="1317"/>
      <c r="XCI387" s="1317"/>
      <c r="XCJ387" s="1317"/>
      <c r="XCK387" s="1317"/>
      <c r="XCL387" s="1317"/>
      <c r="XCM387" s="1317"/>
      <c r="XCN387" s="1317"/>
      <c r="XCO387" s="1317"/>
      <c r="XCP387" s="1317"/>
      <c r="XCQ387" s="1317"/>
      <c r="XCR387" s="1317"/>
      <c r="XCS387" s="1317"/>
      <c r="XCT387" s="1317"/>
      <c r="XCU387" s="1317"/>
      <c r="XCV387" s="1317"/>
      <c r="XCW387" s="1317"/>
      <c r="XCX387" s="1317"/>
      <c r="XCY387" s="1317"/>
      <c r="XCZ387" s="1317"/>
      <c r="XDA387" s="1317"/>
      <c r="XDB387" s="1317"/>
      <c r="XDC387" s="1317"/>
      <c r="XDD387" s="1317"/>
      <c r="XDE387" s="1317"/>
      <c r="XDF387" s="1317"/>
      <c r="XDG387" s="1317"/>
      <c r="XDH387" s="1317"/>
      <c r="XDI387" s="1317"/>
      <c r="XDJ387" s="1317"/>
      <c r="XDK387" s="1317"/>
      <c r="XDL387" s="1317"/>
      <c r="XDM387" s="1317"/>
      <c r="XDN387" s="1317"/>
      <c r="XDO387" s="1317"/>
      <c r="XDP387" s="1317"/>
      <c r="XDQ387" s="1317"/>
      <c r="XDR387" s="1317"/>
      <c r="XDS387" s="1317"/>
      <c r="XDT387" s="1317"/>
      <c r="XDU387" s="1317"/>
      <c r="XDV387" s="1317"/>
      <c r="XDW387" s="1317"/>
      <c r="XDX387" s="1317"/>
      <c r="XDY387" s="1317"/>
      <c r="XDZ387" s="1317"/>
      <c r="XEA387" s="1317"/>
      <c r="XEB387" s="1317"/>
      <c r="XEC387" s="1317"/>
      <c r="XED387" s="1317"/>
      <c r="XEE387" s="1317"/>
      <c r="XEF387" s="1317"/>
      <c r="XEG387" s="1317"/>
      <c r="XEH387" s="1317"/>
      <c r="XEI387" s="1317"/>
      <c r="XEJ387" s="1317"/>
      <c r="XEK387" s="1317"/>
      <c r="XEL387" s="1317"/>
      <c r="XEM387" s="1317"/>
      <c r="XEN387" s="1317"/>
      <c r="XEO387" s="1317"/>
      <c r="XEP387" s="1317"/>
      <c r="XEQ387" s="1317"/>
      <c r="XER387" s="1317"/>
      <c r="XES387" s="1317"/>
      <c r="XET387" s="1317"/>
      <c r="XEU387" s="1317"/>
      <c r="XEV387" s="1317"/>
      <c r="XEW387" s="1317"/>
      <c r="XEX387" s="1317"/>
    </row>
    <row r="388" spans="1:16378" ht="45" hidden="1" customHeight="1" x14ac:dyDescent="0.3">
      <c r="A388" s="1355">
        <v>2022400</v>
      </c>
      <c r="B388" s="1172">
        <v>7658</v>
      </c>
      <c r="C388" s="1356" t="s">
        <v>679</v>
      </c>
      <c r="D388" s="1190" t="s">
        <v>692</v>
      </c>
      <c r="E388" s="1174" t="s">
        <v>1067</v>
      </c>
      <c r="F388" s="1379" t="s">
        <v>1068</v>
      </c>
      <c r="G388" s="1377">
        <v>44663</v>
      </c>
      <c r="H388" s="1377">
        <v>44713</v>
      </c>
      <c r="I388" s="1176">
        <v>4</v>
      </c>
      <c r="J388" s="1176" t="s">
        <v>699</v>
      </c>
      <c r="K388" s="1177" t="s">
        <v>674</v>
      </c>
      <c r="L388" s="1178" t="s">
        <v>675</v>
      </c>
      <c r="M388" s="1179">
        <f>50000000-8854126+126</f>
        <v>41146000</v>
      </c>
      <c r="N388" s="1376" t="s">
        <v>768</v>
      </c>
      <c r="O388" s="1174" t="s">
        <v>767</v>
      </c>
      <c r="P388" s="1207" t="s">
        <v>678</v>
      </c>
      <c r="Q388" s="1163"/>
      <c r="R388" s="1357">
        <v>41146000</v>
      </c>
      <c r="S388" s="1357">
        <v>41146000</v>
      </c>
      <c r="T388" s="1357">
        <f>+Tabla16[[#This Row],[CDPS A 31 JULIO 2022]]-Tabla16[[#This Row],[CDP]]</f>
        <v>0</v>
      </c>
      <c r="U388" s="1357"/>
      <c r="V388" s="1357"/>
      <c r="W388" s="1357"/>
      <c r="X388" s="1207"/>
      <c r="Y388" s="1207"/>
      <c r="Z388" s="1207"/>
      <c r="AA388" s="1207"/>
      <c r="AB388" s="1207"/>
      <c r="AC388" s="1207"/>
      <c r="AD388" s="1207"/>
      <c r="AE388" s="1207"/>
      <c r="AF388" s="1207"/>
      <c r="AG388" s="1207"/>
      <c r="AH388" s="1207"/>
      <c r="AI388" s="1207"/>
      <c r="AJ388" s="1207"/>
      <c r="AK388" s="1207"/>
      <c r="AL388" s="1207"/>
      <c r="AM388" s="1207"/>
      <c r="AN388" s="1207"/>
      <c r="AO388" s="1207"/>
      <c r="AP388" s="1207"/>
      <c r="AQ388" s="1207"/>
      <c r="AR388" s="1207"/>
      <c r="AS388" s="1207"/>
      <c r="AT388" s="1207"/>
      <c r="AU388" s="1207"/>
      <c r="AV388" s="1207"/>
      <c r="AW388" s="1207"/>
      <c r="AX388" s="1207"/>
      <c r="AY388" s="1207"/>
      <c r="AZ388" s="1207"/>
      <c r="BA388" s="1207"/>
      <c r="BB388" s="1207"/>
      <c r="BC388" s="1207"/>
      <c r="BD388" s="1207"/>
      <c r="BE388" s="1207"/>
      <c r="BF388" s="1207"/>
      <c r="BG388" s="1207"/>
      <c r="BH388" s="1207"/>
      <c r="BI388" s="1207"/>
      <c r="BJ388" s="1207"/>
      <c r="BK388" s="1207"/>
      <c r="BL388" s="1207"/>
      <c r="BM388" s="1207"/>
      <c r="BN388" s="1207"/>
      <c r="BO388" s="1207"/>
      <c r="BP388" s="1207"/>
      <c r="BQ388" s="1207"/>
      <c r="BR388" s="1207"/>
      <c r="BS388" s="1207"/>
      <c r="BT388" s="1207"/>
      <c r="BU388" s="1207"/>
      <c r="BV388" s="1207"/>
      <c r="BW388" s="1207"/>
      <c r="BX388" s="1207"/>
      <c r="BY388" s="1207"/>
      <c r="BZ388" s="1207"/>
      <c r="CA388" s="1207"/>
      <c r="CB388" s="1207"/>
      <c r="CC388" s="1207"/>
      <c r="CD388" s="1207"/>
      <c r="CE388" s="1207"/>
      <c r="CF388" s="1207"/>
    </row>
    <row r="389" spans="1:16378" ht="45" hidden="1" customHeight="1" x14ac:dyDescent="0.3">
      <c r="A389" s="1355">
        <v>2022404</v>
      </c>
      <c r="B389" s="1172">
        <v>7658</v>
      </c>
      <c r="C389" s="1356" t="s">
        <v>679</v>
      </c>
      <c r="D389" s="1190" t="s">
        <v>692</v>
      </c>
      <c r="E389" s="1174">
        <v>80111600</v>
      </c>
      <c r="F389" s="1379" t="s">
        <v>1069</v>
      </c>
      <c r="G389" s="1380">
        <v>44562</v>
      </c>
      <c r="H389" s="1380">
        <v>44592</v>
      </c>
      <c r="I389" s="1176">
        <v>7</v>
      </c>
      <c r="J389" s="1176" t="s">
        <v>673</v>
      </c>
      <c r="K389" s="1177" t="s">
        <v>674</v>
      </c>
      <c r="L389" s="1178" t="s">
        <v>675</v>
      </c>
      <c r="M389" s="1179">
        <v>26950000</v>
      </c>
      <c r="N389" s="1376" t="s">
        <v>768</v>
      </c>
      <c r="O389" s="1174" t="s">
        <v>767</v>
      </c>
      <c r="P389" s="1207" t="s">
        <v>678</v>
      </c>
      <c r="Q389" s="1163"/>
      <c r="R389" s="1357">
        <v>26950000</v>
      </c>
      <c r="S389" s="1357">
        <v>26950000</v>
      </c>
      <c r="T389" s="1357">
        <f>+Tabla16[[#This Row],[CDPS A 31 JULIO 2022]]-Tabla16[[#This Row],[CDP]]</f>
        <v>0</v>
      </c>
      <c r="U389" s="1357">
        <v>26950000</v>
      </c>
      <c r="V389" s="1357">
        <v>17196667</v>
      </c>
      <c r="W389" s="1357"/>
      <c r="X389" s="1207"/>
      <c r="Y389" s="1207"/>
      <c r="Z389" s="1207"/>
      <c r="AA389" s="1207"/>
      <c r="AB389" s="1207"/>
      <c r="AC389" s="1207"/>
      <c r="AD389" s="1207"/>
      <c r="AE389" s="1207"/>
      <c r="AF389" s="1207"/>
      <c r="AG389" s="1207"/>
      <c r="AH389" s="1207"/>
      <c r="AI389" s="1207"/>
      <c r="AJ389" s="1207"/>
      <c r="AK389" s="1207"/>
      <c r="AL389" s="1207"/>
      <c r="AM389" s="1207"/>
      <c r="AN389" s="1207"/>
      <c r="AO389" s="1207"/>
      <c r="AP389" s="1207"/>
      <c r="AQ389" s="1207"/>
      <c r="AR389" s="1207"/>
      <c r="AS389" s="1207"/>
      <c r="AT389" s="1207"/>
      <c r="AU389" s="1207"/>
      <c r="AV389" s="1207"/>
      <c r="AW389" s="1207"/>
      <c r="AX389" s="1207"/>
      <c r="AY389" s="1207"/>
      <c r="AZ389" s="1207"/>
      <c r="BA389" s="1207"/>
      <c r="BB389" s="1207"/>
      <c r="BC389" s="1207"/>
      <c r="BD389" s="1207"/>
      <c r="BE389" s="1207"/>
      <c r="BF389" s="1207"/>
      <c r="BG389" s="1207"/>
      <c r="BH389" s="1207"/>
      <c r="BI389" s="1207"/>
      <c r="BJ389" s="1207"/>
      <c r="BK389" s="1207"/>
      <c r="BL389" s="1207"/>
      <c r="BM389" s="1207"/>
      <c r="BN389" s="1207"/>
      <c r="BO389" s="1207"/>
      <c r="BP389" s="1207"/>
      <c r="BQ389" s="1207"/>
      <c r="BR389" s="1207"/>
      <c r="BS389" s="1207"/>
      <c r="BT389" s="1207"/>
      <c r="BU389" s="1207"/>
      <c r="BV389" s="1207"/>
      <c r="BW389" s="1207"/>
      <c r="BX389" s="1207"/>
      <c r="BY389" s="1207"/>
      <c r="BZ389" s="1207"/>
      <c r="CA389" s="1207"/>
      <c r="CB389" s="1207"/>
      <c r="CC389" s="1207"/>
      <c r="CD389" s="1207"/>
      <c r="CE389" s="1207"/>
      <c r="CF389" s="1207"/>
    </row>
    <row r="390" spans="1:16378" ht="45" hidden="1" customHeight="1" x14ac:dyDescent="0.3">
      <c r="A390" s="1355">
        <v>2022405</v>
      </c>
      <c r="B390" s="1172">
        <v>7658</v>
      </c>
      <c r="C390" s="1356" t="s">
        <v>679</v>
      </c>
      <c r="D390" s="1190" t="s">
        <v>692</v>
      </c>
      <c r="E390" s="1174">
        <v>80111600</v>
      </c>
      <c r="F390" s="1379" t="s">
        <v>1069</v>
      </c>
      <c r="G390" s="1380">
        <v>44562</v>
      </c>
      <c r="H390" s="1380">
        <v>44592</v>
      </c>
      <c r="I390" s="1176">
        <v>3</v>
      </c>
      <c r="J390" s="1176" t="s">
        <v>673</v>
      </c>
      <c r="K390" s="1177" t="s">
        <v>674</v>
      </c>
      <c r="L390" s="1178" t="s">
        <v>675</v>
      </c>
      <c r="M390" s="1179">
        <v>13500000</v>
      </c>
      <c r="N390" s="1376" t="s">
        <v>768</v>
      </c>
      <c r="O390" s="1174" t="s">
        <v>767</v>
      </c>
      <c r="P390" s="1207" t="s">
        <v>678</v>
      </c>
      <c r="Q390" s="1163"/>
      <c r="R390" s="1269">
        <v>0</v>
      </c>
      <c r="S390" s="1357"/>
      <c r="T390" s="1357">
        <f>+Tabla16[[#This Row],[CDPS A 31 JULIO 2022]]-Tabla16[[#This Row],[CDP]]</f>
        <v>0</v>
      </c>
      <c r="U390" s="1357"/>
      <c r="V390" s="1357"/>
      <c r="W390" s="1357"/>
      <c r="X390" s="1207"/>
      <c r="Y390" s="1207"/>
      <c r="Z390" s="1207"/>
      <c r="AA390" s="1207"/>
      <c r="AB390" s="1207"/>
      <c r="AC390" s="1207"/>
      <c r="AD390" s="1207"/>
      <c r="AE390" s="1207"/>
      <c r="AF390" s="1207"/>
      <c r="AG390" s="1207"/>
      <c r="AH390" s="1207"/>
      <c r="AI390" s="1207"/>
      <c r="AJ390" s="1207"/>
      <c r="AK390" s="1207"/>
      <c r="AL390" s="1207"/>
      <c r="AM390" s="1207"/>
      <c r="AN390" s="1207"/>
      <c r="AO390" s="1207"/>
      <c r="AP390" s="1207"/>
      <c r="AQ390" s="1207"/>
      <c r="AR390" s="1207"/>
      <c r="AS390" s="1207"/>
      <c r="AT390" s="1207"/>
      <c r="AU390" s="1207"/>
      <c r="AV390" s="1207"/>
      <c r="AW390" s="1207"/>
      <c r="AX390" s="1207"/>
      <c r="AY390" s="1207"/>
      <c r="AZ390" s="1207"/>
      <c r="BA390" s="1207"/>
      <c r="BB390" s="1207"/>
      <c r="BC390" s="1207"/>
      <c r="BD390" s="1207"/>
      <c r="BE390" s="1207"/>
      <c r="BF390" s="1207"/>
      <c r="BG390" s="1207"/>
      <c r="BH390" s="1207"/>
      <c r="BI390" s="1207"/>
      <c r="BJ390" s="1207"/>
      <c r="BK390" s="1207"/>
      <c r="BL390" s="1207"/>
      <c r="BM390" s="1207"/>
      <c r="BN390" s="1207"/>
      <c r="BO390" s="1207"/>
      <c r="BP390" s="1207"/>
      <c r="BQ390" s="1207"/>
      <c r="BR390" s="1207"/>
      <c r="BS390" s="1207"/>
      <c r="BT390" s="1207"/>
      <c r="BU390" s="1207"/>
      <c r="BV390" s="1207"/>
      <c r="BW390" s="1207"/>
      <c r="BX390" s="1207"/>
      <c r="BY390" s="1207"/>
      <c r="BZ390" s="1207"/>
      <c r="CA390" s="1207"/>
      <c r="CB390" s="1207"/>
      <c r="CC390" s="1207"/>
      <c r="CD390" s="1207"/>
      <c r="CE390" s="1207"/>
      <c r="CF390" s="1207"/>
    </row>
    <row r="391" spans="1:16378" ht="45" hidden="1" customHeight="1" x14ac:dyDescent="0.3">
      <c r="A391" s="1355">
        <v>2022406</v>
      </c>
      <c r="B391" s="1172">
        <v>7658</v>
      </c>
      <c r="C391" s="1356" t="s">
        <v>679</v>
      </c>
      <c r="D391" s="1190" t="s">
        <v>692</v>
      </c>
      <c r="E391" s="1174">
        <v>80111600</v>
      </c>
      <c r="F391" s="1379" t="s">
        <v>1070</v>
      </c>
      <c r="G391" s="1380">
        <v>44562</v>
      </c>
      <c r="H391" s="1380">
        <v>44592</v>
      </c>
      <c r="I391" s="1176">
        <v>10</v>
      </c>
      <c r="J391" s="1176" t="s">
        <v>673</v>
      </c>
      <c r="K391" s="1177" t="s">
        <v>674</v>
      </c>
      <c r="L391" s="1178" t="s">
        <v>675</v>
      </c>
      <c r="M391" s="1179">
        <v>82400000</v>
      </c>
      <c r="N391" s="1376" t="s">
        <v>768</v>
      </c>
      <c r="O391" s="1174" t="s">
        <v>767</v>
      </c>
      <c r="P391" s="1207" t="s">
        <v>678</v>
      </c>
      <c r="Q391" s="1163"/>
      <c r="R391" s="1357">
        <v>82400000</v>
      </c>
      <c r="S391" s="1357">
        <v>82400000</v>
      </c>
      <c r="T391" s="1357">
        <f>+Tabla16[[#This Row],[CDPS A 31 JULIO 2022]]-Tabla16[[#This Row],[CDP]]</f>
        <v>0</v>
      </c>
      <c r="U391" s="1357">
        <v>82400000</v>
      </c>
      <c r="V391" s="1357">
        <v>35706667</v>
      </c>
      <c r="W391" s="1357"/>
      <c r="X391" s="1207"/>
      <c r="Y391" s="1207"/>
      <c r="Z391" s="1207"/>
      <c r="AA391" s="1207"/>
      <c r="AB391" s="1207"/>
      <c r="AC391" s="1207"/>
      <c r="AD391" s="1207"/>
      <c r="AE391" s="1207"/>
      <c r="AF391" s="1207"/>
      <c r="AG391" s="1207"/>
      <c r="AH391" s="1207"/>
      <c r="AI391" s="1207"/>
      <c r="AJ391" s="1207"/>
      <c r="AK391" s="1207"/>
      <c r="AL391" s="1207"/>
      <c r="AM391" s="1207"/>
      <c r="AN391" s="1207"/>
      <c r="AO391" s="1207"/>
      <c r="AP391" s="1207"/>
      <c r="AQ391" s="1207"/>
      <c r="AR391" s="1207"/>
      <c r="AS391" s="1207"/>
      <c r="AT391" s="1207"/>
      <c r="AU391" s="1207"/>
      <c r="AV391" s="1207"/>
      <c r="AW391" s="1207"/>
      <c r="AX391" s="1207"/>
      <c r="AY391" s="1207"/>
      <c r="AZ391" s="1207"/>
      <c r="BA391" s="1207"/>
      <c r="BB391" s="1207"/>
      <c r="BC391" s="1207"/>
      <c r="BD391" s="1207"/>
      <c r="BE391" s="1207"/>
      <c r="BF391" s="1207"/>
      <c r="BG391" s="1207"/>
      <c r="BH391" s="1207"/>
      <c r="BI391" s="1207"/>
      <c r="BJ391" s="1207"/>
      <c r="BK391" s="1207"/>
      <c r="BL391" s="1207"/>
      <c r="BM391" s="1207"/>
      <c r="BN391" s="1207"/>
      <c r="BO391" s="1207"/>
      <c r="BP391" s="1207"/>
      <c r="BQ391" s="1207"/>
      <c r="BR391" s="1207"/>
      <c r="BS391" s="1207"/>
      <c r="BT391" s="1207"/>
      <c r="BU391" s="1207"/>
      <c r="BV391" s="1207"/>
      <c r="BW391" s="1207"/>
      <c r="BX391" s="1207"/>
      <c r="BY391" s="1207"/>
      <c r="BZ391" s="1207"/>
      <c r="CA391" s="1207"/>
      <c r="CB391" s="1207"/>
      <c r="CC391" s="1207"/>
      <c r="CD391" s="1207"/>
      <c r="CE391" s="1207"/>
      <c r="CF391" s="1207"/>
    </row>
    <row r="392" spans="1:16378" ht="45" hidden="1" customHeight="1" x14ac:dyDescent="0.3">
      <c r="A392" s="1355">
        <v>2022407</v>
      </c>
      <c r="B392" s="1172">
        <v>7658</v>
      </c>
      <c r="C392" s="1356" t="s">
        <v>679</v>
      </c>
      <c r="D392" s="1190" t="s">
        <v>692</v>
      </c>
      <c r="E392" s="1174">
        <v>80111600</v>
      </c>
      <c r="F392" s="1379" t="s">
        <v>1071</v>
      </c>
      <c r="G392" s="1380">
        <v>44562</v>
      </c>
      <c r="H392" s="1380">
        <v>44592</v>
      </c>
      <c r="I392" s="1176">
        <v>6</v>
      </c>
      <c r="J392" s="1176" t="s">
        <v>673</v>
      </c>
      <c r="K392" s="1177" t="s">
        <v>674</v>
      </c>
      <c r="L392" s="1178" t="s">
        <v>675</v>
      </c>
      <c r="M392" s="1179">
        <v>49440000</v>
      </c>
      <c r="N392" s="1376" t="s">
        <v>768</v>
      </c>
      <c r="O392" s="1174" t="s">
        <v>767</v>
      </c>
      <c r="P392" s="1207" t="s">
        <v>678</v>
      </c>
      <c r="Q392" s="1163"/>
      <c r="R392" s="1357">
        <v>49440000</v>
      </c>
      <c r="S392" s="1357">
        <v>49440000</v>
      </c>
      <c r="T392" s="1357">
        <f>+Tabla16[[#This Row],[CDPS A 31 JULIO 2022]]-Tabla16[[#This Row],[CDP]]</f>
        <v>0</v>
      </c>
      <c r="U392" s="1357">
        <v>49440000</v>
      </c>
      <c r="V392" s="1357">
        <v>34882667</v>
      </c>
      <c r="W392" s="1357"/>
      <c r="X392" s="1207"/>
      <c r="Y392" s="1207"/>
      <c r="Z392" s="1207"/>
      <c r="AA392" s="1207"/>
      <c r="AB392" s="1207"/>
      <c r="AC392" s="1207"/>
      <c r="AD392" s="1207"/>
      <c r="AE392" s="1207"/>
      <c r="AF392" s="1207"/>
      <c r="AG392" s="1207"/>
      <c r="AH392" s="1207"/>
      <c r="AI392" s="1207"/>
      <c r="AJ392" s="1207"/>
      <c r="AK392" s="1207"/>
      <c r="AL392" s="1207"/>
      <c r="AM392" s="1207"/>
      <c r="AN392" s="1207"/>
      <c r="AO392" s="1207"/>
      <c r="AP392" s="1207"/>
      <c r="AQ392" s="1207"/>
      <c r="AR392" s="1207"/>
      <c r="AS392" s="1207"/>
      <c r="AT392" s="1207"/>
      <c r="AU392" s="1207"/>
      <c r="AV392" s="1207"/>
      <c r="AW392" s="1207"/>
      <c r="AX392" s="1207"/>
      <c r="AY392" s="1207"/>
      <c r="AZ392" s="1207"/>
      <c r="BA392" s="1207"/>
      <c r="BB392" s="1207"/>
      <c r="BC392" s="1207"/>
      <c r="BD392" s="1207"/>
      <c r="BE392" s="1207"/>
      <c r="BF392" s="1207"/>
      <c r="BG392" s="1207"/>
      <c r="BH392" s="1207"/>
      <c r="BI392" s="1207"/>
      <c r="BJ392" s="1207"/>
      <c r="BK392" s="1207"/>
      <c r="BL392" s="1207"/>
      <c r="BM392" s="1207"/>
      <c r="BN392" s="1207"/>
      <c r="BO392" s="1207"/>
      <c r="BP392" s="1207"/>
      <c r="BQ392" s="1207"/>
      <c r="BR392" s="1207"/>
      <c r="BS392" s="1207"/>
      <c r="BT392" s="1207"/>
      <c r="BU392" s="1207"/>
      <c r="BV392" s="1207"/>
      <c r="BW392" s="1207"/>
      <c r="BX392" s="1207"/>
      <c r="BY392" s="1207"/>
      <c r="BZ392" s="1207"/>
      <c r="CA392" s="1207"/>
      <c r="CB392" s="1207"/>
      <c r="CC392" s="1207"/>
      <c r="CD392" s="1207"/>
      <c r="CE392" s="1207"/>
      <c r="CF392" s="1207"/>
    </row>
    <row r="393" spans="1:16378" ht="45" hidden="1" customHeight="1" x14ac:dyDescent="0.3">
      <c r="A393" s="1355">
        <v>2022408</v>
      </c>
      <c r="B393" s="1172">
        <v>7658</v>
      </c>
      <c r="C393" s="1356" t="s">
        <v>679</v>
      </c>
      <c r="D393" s="1190" t="s">
        <v>692</v>
      </c>
      <c r="E393" s="1174">
        <v>80111600</v>
      </c>
      <c r="F393" s="1379" t="s">
        <v>1071</v>
      </c>
      <c r="G393" s="1380">
        <v>44562</v>
      </c>
      <c r="H393" s="1380">
        <v>44592</v>
      </c>
      <c r="I393" s="1176">
        <v>4</v>
      </c>
      <c r="J393" s="1176" t="s">
        <v>673</v>
      </c>
      <c r="K393" s="1177" t="s">
        <v>674</v>
      </c>
      <c r="L393" s="1178" t="s">
        <v>675</v>
      </c>
      <c r="M393" s="1179">
        <v>32960000</v>
      </c>
      <c r="N393" s="1376" t="s">
        <v>768</v>
      </c>
      <c r="O393" s="1174" t="s">
        <v>767</v>
      </c>
      <c r="P393" s="1207" t="s">
        <v>678</v>
      </c>
      <c r="Q393" s="1163"/>
      <c r="R393" s="1357">
        <v>42000000</v>
      </c>
      <c r="S393" s="1357">
        <v>42000000</v>
      </c>
      <c r="T393" s="1357">
        <f>+Tabla16[[#This Row],[CDPS A 31 JULIO 2022]]-Tabla16[[#This Row],[CDP]]</f>
        <v>0</v>
      </c>
      <c r="U393" s="1357">
        <v>42000000</v>
      </c>
      <c r="V393" s="1357">
        <v>31266667</v>
      </c>
      <c r="W393" s="1357"/>
      <c r="X393" s="1207"/>
      <c r="Y393" s="1207"/>
      <c r="Z393" s="1207"/>
      <c r="AA393" s="1207"/>
      <c r="AB393" s="1207"/>
      <c r="AC393" s="1207"/>
      <c r="AD393" s="1207"/>
      <c r="AE393" s="1207"/>
      <c r="AF393" s="1207"/>
      <c r="AG393" s="1207"/>
      <c r="AH393" s="1207"/>
      <c r="AI393" s="1207"/>
      <c r="AJ393" s="1207"/>
      <c r="AK393" s="1207"/>
      <c r="AL393" s="1207"/>
      <c r="AM393" s="1207"/>
      <c r="AN393" s="1207"/>
      <c r="AO393" s="1207"/>
      <c r="AP393" s="1207"/>
      <c r="AQ393" s="1207"/>
      <c r="AR393" s="1207"/>
      <c r="AS393" s="1207"/>
      <c r="AT393" s="1207"/>
      <c r="AU393" s="1207"/>
      <c r="AV393" s="1207"/>
      <c r="AW393" s="1207"/>
      <c r="AX393" s="1207"/>
      <c r="AY393" s="1207"/>
      <c r="AZ393" s="1207"/>
      <c r="BA393" s="1207"/>
      <c r="BB393" s="1207"/>
      <c r="BC393" s="1207"/>
      <c r="BD393" s="1207"/>
      <c r="BE393" s="1207"/>
      <c r="BF393" s="1207"/>
      <c r="BG393" s="1207"/>
      <c r="BH393" s="1207"/>
      <c r="BI393" s="1207"/>
      <c r="BJ393" s="1207"/>
      <c r="BK393" s="1207"/>
      <c r="BL393" s="1207"/>
      <c r="BM393" s="1207"/>
      <c r="BN393" s="1207"/>
      <c r="BO393" s="1207"/>
      <c r="BP393" s="1207"/>
      <c r="BQ393" s="1207"/>
      <c r="BR393" s="1207"/>
      <c r="BS393" s="1207"/>
      <c r="BT393" s="1207"/>
      <c r="BU393" s="1207"/>
      <c r="BV393" s="1207"/>
      <c r="BW393" s="1207"/>
      <c r="BX393" s="1207"/>
      <c r="BY393" s="1207"/>
      <c r="BZ393" s="1207"/>
      <c r="CA393" s="1207"/>
      <c r="CB393" s="1207"/>
      <c r="CC393" s="1207"/>
      <c r="CD393" s="1207"/>
      <c r="CE393" s="1207"/>
      <c r="CF393" s="1207"/>
    </row>
    <row r="394" spans="1:16378" ht="45" hidden="1" customHeight="1" x14ac:dyDescent="0.3">
      <c r="A394" s="1355">
        <v>2022409</v>
      </c>
      <c r="B394" s="1172">
        <v>7658</v>
      </c>
      <c r="C394" s="1356" t="s">
        <v>679</v>
      </c>
      <c r="D394" s="1190" t="s">
        <v>692</v>
      </c>
      <c r="E394" s="1174">
        <v>80111601</v>
      </c>
      <c r="F394" s="1379" t="s">
        <v>1072</v>
      </c>
      <c r="G394" s="1380">
        <v>44562</v>
      </c>
      <c r="H394" s="1380">
        <v>44592</v>
      </c>
      <c r="I394" s="1176">
        <v>6</v>
      </c>
      <c r="J394" s="1176" t="s">
        <v>673</v>
      </c>
      <c r="K394" s="1177" t="s">
        <v>674</v>
      </c>
      <c r="L394" s="1178" t="s">
        <v>675</v>
      </c>
      <c r="M394" s="1179">
        <v>42000000</v>
      </c>
      <c r="N394" s="1376" t="s">
        <v>768</v>
      </c>
      <c r="O394" s="1174" t="s">
        <v>767</v>
      </c>
      <c r="P394" s="1207" t="s">
        <v>678</v>
      </c>
      <c r="Q394" s="1163"/>
      <c r="R394" s="1269">
        <v>0</v>
      </c>
      <c r="S394" s="1357"/>
      <c r="T394" s="1357">
        <f>+Tabla16[[#This Row],[CDPS A 31 JULIO 2022]]-Tabla16[[#This Row],[CDP]]</f>
        <v>0</v>
      </c>
      <c r="U394" s="1357"/>
      <c r="V394" s="1357"/>
      <c r="W394" s="1357"/>
      <c r="X394" s="1207"/>
      <c r="Y394" s="1207"/>
      <c r="Z394" s="1207"/>
      <c r="AA394" s="1207"/>
      <c r="AB394" s="1207"/>
      <c r="AC394" s="1207"/>
      <c r="AD394" s="1207"/>
      <c r="AE394" s="1207"/>
      <c r="AF394" s="1207"/>
      <c r="AG394" s="1207"/>
      <c r="AH394" s="1207"/>
      <c r="AI394" s="1207"/>
      <c r="AJ394" s="1207"/>
      <c r="AK394" s="1207"/>
      <c r="AL394" s="1207"/>
      <c r="AM394" s="1207"/>
      <c r="AN394" s="1207"/>
      <c r="AO394" s="1207"/>
      <c r="AP394" s="1207"/>
      <c r="AQ394" s="1207"/>
      <c r="AR394" s="1207"/>
      <c r="AS394" s="1207"/>
      <c r="AT394" s="1207"/>
      <c r="AU394" s="1207"/>
      <c r="AV394" s="1207"/>
      <c r="AW394" s="1207"/>
      <c r="AX394" s="1207"/>
      <c r="AY394" s="1207"/>
      <c r="AZ394" s="1207"/>
      <c r="BA394" s="1207"/>
      <c r="BB394" s="1207"/>
      <c r="BC394" s="1207"/>
      <c r="BD394" s="1207"/>
      <c r="BE394" s="1207"/>
      <c r="BF394" s="1207"/>
      <c r="BG394" s="1207"/>
      <c r="BH394" s="1207"/>
      <c r="BI394" s="1207"/>
      <c r="BJ394" s="1207"/>
      <c r="BK394" s="1207"/>
      <c r="BL394" s="1207"/>
      <c r="BM394" s="1207"/>
      <c r="BN394" s="1207"/>
      <c r="BO394" s="1207"/>
      <c r="BP394" s="1207"/>
      <c r="BQ394" s="1207"/>
      <c r="BR394" s="1207"/>
      <c r="BS394" s="1207"/>
      <c r="BT394" s="1207"/>
      <c r="BU394" s="1207"/>
      <c r="BV394" s="1207"/>
      <c r="BW394" s="1207"/>
      <c r="BX394" s="1207"/>
      <c r="BY394" s="1207"/>
      <c r="BZ394" s="1207"/>
      <c r="CA394" s="1207"/>
      <c r="CB394" s="1207"/>
      <c r="CC394" s="1207"/>
      <c r="CD394" s="1207"/>
      <c r="CE394" s="1207"/>
      <c r="CF394" s="1207"/>
    </row>
    <row r="395" spans="1:16378" ht="45" hidden="1" customHeight="1" x14ac:dyDescent="0.3">
      <c r="A395" s="1355">
        <v>2022410</v>
      </c>
      <c r="B395" s="1172">
        <v>7658</v>
      </c>
      <c r="C395" s="1356" t="s">
        <v>679</v>
      </c>
      <c r="D395" s="1190" t="s">
        <v>692</v>
      </c>
      <c r="E395" s="1174">
        <v>80111601</v>
      </c>
      <c r="F395" s="1379" t="s">
        <v>1072</v>
      </c>
      <c r="G395" s="1380">
        <v>44562</v>
      </c>
      <c r="H395" s="1380">
        <v>44592</v>
      </c>
      <c r="I395" s="1176">
        <v>4</v>
      </c>
      <c r="J395" s="1176" t="s">
        <v>673</v>
      </c>
      <c r="K395" s="1177" t="s">
        <v>674</v>
      </c>
      <c r="L395" s="1178" t="s">
        <v>675</v>
      </c>
      <c r="M395" s="1179">
        <v>28000000</v>
      </c>
      <c r="N395" s="1376" t="s">
        <v>768</v>
      </c>
      <c r="O395" s="1174" t="s">
        <v>767</v>
      </c>
      <c r="P395" s="1207" t="s">
        <v>678</v>
      </c>
      <c r="Q395" s="1163"/>
      <c r="R395" s="1357">
        <v>28000000</v>
      </c>
      <c r="S395" s="1357"/>
      <c r="T395" s="1357">
        <f>+Tabla16[[#This Row],[CDPS A 31 JULIO 2022]]-Tabla16[[#This Row],[CDP]]</f>
        <v>28000000</v>
      </c>
      <c r="U395" s="1357"/>
      <c r="V395" s="1357"/>
      <c r="W395" s="1357" t="s">
        <v>1073</v>
      </c>
      <c r="X395" s="1207"/>
      <c r="Y395" s="1207"/>
      <c r="Z395" s="1207"/>
      <c r="AA395" s="1207"/>
      <c r="AB395" s="1207"/>
      <c r="AC395" s="1207"/>
      <c r="AD395" s="1207"/>
      <c r="AE395" s="1207"/>
      <c r="AF395" s="1207"/>
      <c r="AG395" s="1207"/>
      <c r="AH395" s="1207"/>
      <c r="AI395" s="1207"/>
      <c r="AJ395" s="1207"/>
      <c r="AK395" s="1207"/>
      <c r="AL395" s="1207"/>
      <c r="AM395" s="1207"/>
      <c r="AN395" s="1207"/>
      <c r="AO395" s="1207"/>
      <c r="AP395" s="1207"/>
      <c r="AQ395" s="1207"/>
      <c r="AR395" s="1207"/>
      <c r="AS395" s="1207"/>
      <c r="AT395" s="1207"/>
      <c r="AU395" s="1207"/>
      <c r="AV395" s="1207"/>
      <c r="AW395" s="1207"/>
      <c r="AX395" s="1207"/>
      <c r="AY395" s="1207"/>
      <c r="AZ395" s="1207"/>
      <c r="BA395" s="1207"/>
      <c r="BB395" s="1207"/>
      <c r="BC395" s="1207"/>
      <c r="BD395" s="1207"/>
      <c r="BE395" s="1207"/>
      <c r="BF395" s="1207"/>
      <c r="BG395" s="1207"/>
      <c r="BH395" s="1207"/>
      <c r="BI395" s="1207"/>
      <c r="BJ395" s="1207"/>
      <c r="BK395" s="1207"/>
      <c r="BL395" s="1207"/>
      <c r="BM395" s="1207"/>
      <c r="BN395" s="1207"/>
      <c r="BO395" s="1207"/>
      <c r="BP395" s="1207"/>
      <c r="BQ395" s="1207"/>
      <c r="BR395" s="1207"/>
      <c r="BS395" s="1207"/>
      <c r="BT395" s="1207"/>
      <c r="BU395" s="1207"/>
      <c r="BV395" s="1207"/>
      <c r="BW395" s="1207"/>
      <c r="BX395" s="1207"/>
      <c r="BY395" s="1207"/>
      <c r="BZ395" s="1207"/>
      <c r="CA395" s="1207"/>
      <c r="CB395" s="1207"/>
      <c r="CC395" s="1207"/>
      <c r="CD395" s="1207"/>
      <c r="CE395" s="1207"/>
      <c r="CF395" s="1207"/>
    </row>
    <row r="396" spans="1:16378" ht="45" hidden="1" customHeight="1" x14ac:dyDescent="0.3">
      <c r="A396" s="1355">
        <v>2022411</v>
      </c>
      <c r="B396" s="1172">
        <v>7658</v>
      </c>
      <c r="C396" s="1356" t="s">
        <v>679</v>
      </c>
      <c r="D396" s="1190" t="s">
        <v>692</v>
      </c>
      <c r="E396" s="1174">
        <v>80111601</v>
      </c>
      <c r="F396" s="1379" t="s">
        <v>1074</v>
      </c>
      <c r="G396" s="1380">
        <v>44562</v>
      </c>
      <c r="H396" s="1380">
        <v>44592</v>
      </c>
      <c r="I396" s="1176">
        <v>10</v>
      </c>
      <c r="J396" s="1176" t="s">
        <v>673</v>
      </c>
      <c r="K396" s="1177" t="s">
        <v>674</v>
      </c>
      <c r="L396" s="1178" t="s">
        <v>675</v>
      </c>
      <c r="M396" s="1179">
        <v>60000000</v>
      </c>
      <c r="N396" s="1376" t="s">
        <v>768</v>
      </c>
      <c r="O396" s="1174" t="s">
        <v>767</v>
      </c>
      <c r="P396" s="1207" t="s">
        <v>678</v>
      </c>
      <c r="Q396" s="1163"/>
      <c r="R396" s="1357">
        <v>60000000</v>
      </c>
      <c r="S396" s="1357">
        <v>60000000</v>
      </c>
      <c r="T396" s="1357">
        <f>+Tabla16[[#This Row],[CDPS A 31 JULIO 2022]]-Tabla16[[#This Row],[CDP]]</f>
        <v>0</v>
      </c>
      <c r="U396" s="1357">
        <v>60000000</v>
      </c>
      <c r="V396" s="1357">
        <v>32750000</v>
      </c>
      <c r="W396" s="1357"/>
      <c r="X396" s="1207"/>
      <c r="Y396" s="1207"/>
      <c r="Z396" s="1207"/>
      <c r="AA396" s="1207"/>
      <c r="AB396" s="1207"/>
      <c r="AC396" s="1207"/>
      <c r="AD396" s="1207"/>
      <c r="AE396" s="1207"/>
      <c r="AF396" s="1207"/>
      <c r="AG396" s="1207"/>
      <c r="AH396" s="1207"/>
      <c r="AI396" s="1207"/>
      <c r="AJ396" s="1207"/>
      <c r="AK396" s="1207"/>
      <c r="AL396" s="1207"/>
      <c r="AM396" s="1207"/>
      <c r="AN396" s="1207"/>
      <c r="AO396" s="1207"/>
      <c r="AP396" s="1207"/>
      <c r="AQ396" s="1207"/>
      <c r="AR396" s="1207"/>
      <c r="AS396" s="1207"/>
      <c r="AT396" s="1207"/>
      <c r="AU396" s="1207"/>
      <c r="AV396" s="1207"/>
      <c r="AW396" s="1207"/>
      <c r="AX396" s="1207"/>
      <c r="AY396" s="1207"/>
      <c r="AZ396" s="1207"/>
      <c r="BA396" s="1207"/>
      <c r="BB396" s="1207"/>
      <c r="BC396" s="1207"/>
      <c r="BD396" s="1207"/>
      <c r="BE396" s="1207"/>
      <c r="BF396" s="1207"/>
      <c r="BG396" s="1207"/>
      <c r="BH396" s="1207"/>
      <c r="BI396" s="1207"/>
      <c r="BJ396" s="1207"/>
      <c r="BK396" s="1207"/>
      <c r="BL396" s="1207"/>
      <c r="BM396" s="1207"/>
      <c r="BN396" s="1207"/>
      <c r="BO396" s="1207"/>
      <c r="BP396" s="1207"/>
      <c r="BQ396" s="1207"/>
      <c r="BR396" s="1207"/>
      <c r="BS396" s="1207"/>
      <c r="BT396" s="1207"/>
      <c r="BU396" s="1207"/>
      <c r="BV396" s="1207"/>
      <c r="BW396" s="1207"/>
      <c r="BX396" s="1207"/>
      <c r="BY396" s="1207"/>
      <c r="BZ396" s="1207"/>
      <c r="CA396" s="1207"/>
      <c r="CB396" s="1207"/>
      <c r="CC396" s="1207"/>
      <c r="CD396" s="1207"/>
      <c r="CE396" s="1207"/>
      <c r="CF396" s="1207"/>
    </row>
    <row r="397" spans="1:16378" ht="45" hidden="1" customHeight="1" x14ac:dyDescent="0.3">
      <c r="A397" s="1355">
        <v>2022412</v>
      </c>
      <c r="B397" s="1172">
        <v>7658</v>
      </c>
      <c r="C397" s="1356" t="s">
        <v>679</v>
      </c>
      <c r="D397" s="1190" t="s">
        <v>692</v>
      </c>
      <c r="E397" s="1174">
        <v>80111600</v>
      </c>
      <c r="F397" s="1379" t="s">
        <v>1075</v>
      </c>
      <c r="G397" s="1380">
        <v>44562</v>
      </c>
      <c r="H397" s="1380">
        <v>44592</v>
      </c>
      <c r="I397" s="1176">
        <v>10</v>
      </c>
      <c r="J397" s="1176" t="s">
        <v>673</v>
      </c>
      <c r="K397" s="1177" t="s">
        <v>674</v>
      </c>
      <c r="L397" s="1178" t="s">
        <v>675</v>
      </c>
      <c r="M397" s="1179">
        <v>42000000</v>
      </c>
      <c r="N397" s="1376" t="s">
        <v>768</v>
      </c>
      <c r="O397" s="1174" t="s">
        <v>767</v>
      </c>
      <c r="P397" s="1207" t="s">
        <v>678</v>
      </c>
      <c r="Q397" s="1163"/>
      <c r="R397" s="1357">
        <v>42000000</v>
      </c>
      <c r="S397" s="1357">
        <v>42000000</v>
      </c>
      <c r="T397" s="1357">
        <f>+Tabla16[[#This Row],[CDPS A 31 JULIO 2022]]-Tabla16[[#This Row],[CDP]]</f>
        <v>0</v>
      </c>
      <c r="U397" s="1357">
        <v>42000000</v>
      </c>
      <c r="V397" s="1357">
        <v>18620000</v>
      </c>
      <c r="W397" s="1357"/>
      <c r="X397" s="1207"/>
      <c r="Y397" s="1207"/>
      <c r="Z397" s="1207"/>
      <c r="AA397" s="1207"/>
      <c r="AB397" s="1207"/>
      <c r="AC397" s="1207"/>
      <c r="AD397" s="1207"/>
      <c r="AE397" s="1207"/>
      <c r="AF397" s="1207"/>
      <c r="AG397" s="1207"/>
      <c r="AH397" s="1207"/>
      <c r="AI397" s="1207"/>
      <c r="AJ397" s="1207"/>
      <c r="AK397" s="1207"/>
      <c r="AL397" s="1207"/>
      <c r="AM397" s="1207"/>
      <c r="AN397" s="1207"/>
      <c r="AO397" s="1207"/>
      <c r="AP397" s="1207"/>
      <c r="AQ397" s="1207"/>
      <c r="AR397" s="1207"/>
      <c r="AS397" s="1207"/>
      <c r="AT397" s="1207"/>
      <c r="AU397" s="1207"/>
      <c r="AV397" s="1207"/>
      <c r="AW397" s="1207"/>
      <c r="AX397" s="1207"/>
      <c r="AY397" s="1207"/>
      <c r="AZ397" s="1207"/>
      <c r="BA397" s="1207"/>
      <c r="BB397" s="1207"/>
      <c r="BC397" s="1207"/>
      <c r="BD397" s="1207"/>
      <c r="BE397" s="1207"/>
      <c r="BF397" s="1207"/>
      <c r="BG397" s="1207"/>
      <c r="BH397" s="1207"/>
      <c r="BI397" s="1207"/>
      <c r="BJ397" s="1207"/>
      <c r="BK397" s="1207"/>
      <c r="BL397" s="1207"/>
      <c r="BM397" s="1207"/>
      <c r="BN397" s="1207"/>
      <c r="BO397" s="1207"/>
      <c r="BP397" s="1207"/>
      <c r="BQ397" s="1207"/>
      <c r="BR397" s="1207"/>
      <c r="BS397" s="1207"/>
      <c r="BT397" s="1207"/>
      <c r="BU397" s="1207"/>
      <c r="BV397" s="1207"/>
      <c r="BW397" s="1207"/>
      <c r="BX397" s="1207"/>
      <c r="BY397" s="1207"/>
      <c r="BZ397" s="1207"/>
      <c r="CA397" s="1207"/>
      <c r="CB397" s="1207"/>
      <c r="CC397" s="1207"/>
      <c r="CD397" s="1207"/>
      <c r="CE397" s="1207"/>
      <c r="CF397" s="1207"/>
    </row>
    <row r="398" spans="1:16378" ht="45" hidden="1" customHeight="1" x14ac:dyDescent="0.3">
      <c r="A398" s="1355">
        <v>2022413</v>
      </c>
      <c r="B398" s="1172">
        <v>7658</v>
      </c>
      <c r="C398" s="1356" t="s">
        <v>679</v>
      </c>
      <c r="D398" s="1190" t="s">
        <v>692</v>
      </c>
      <c r="E398" s="1174">
        <v>80111600</v>
      </c>
      <c r="F398" s="1379" t="s">
        <v>1076</v>
      </c>
      <c r="G398" s="1380">
        <v>44562</v>
      </c>
      <c r="H398" s="1380">
        <v>44592</v>
      </c>
      <c r="I398" s="1176">
        <v>10</v>
      </c>
      <c r="J398" s="1176" t="s">
        <v>673</v>
      </c>
      <c r="K398" s="1177" t="s">
        <v>674</v>
      </c>
      <c r="L398" s="1178" t="s">
        <v>675</v>
      </c>
      <c r="M398" s="1179">
        <v>82400000</v>
      </c>
      <c r="N398" s="1376" t="s">
        <v>768</v>
      </c>
      <c r="O398" s="1174" t="s">
        <v>767</v>
      </c>
      <c r="P398" s="1207" t="s">
        <v>678</v>
      </c>
      <c r="Q398" s="1163"/>
      <c r="R398" s="1357">
        <v>82400000</v>
      </c>
      <c r="S398" s="1357">
        <v>82400000</v>
      </c>
      <c r="T398" s="1357">
        <f>+Tabla16[[#This Row],[CDPS A 31 JULIO 2022]]-Tabla16[[#This Row],[CDP]]</f>
        <v>0</v>
      </c>
      <c r="U398" s="1357">
        <v>82400000</v>
      </c>
      <c r="V398" s="1357">
        <v>34882667</v>
      </c>
      <c r="W398" s="1357"/>
      <c r="X398" s="1207"/>
      <c r="Y398" s="1207"/>
      <c r="Z398" s="1207"/>
      <c r="AA398" s="1207"/>
      <c r="AB398" s="1207"/>
      <c r="AC398" s="1207"/>
      <c r="AD398" s="1207"/>
      <c r="AE398" s="1207"/>
      <c r="AF398" s="1207"/>
      <c r="AG398" s="1207"/>
      <c r="AH398" s="1207"/>
      <c r="AI398" s="1207"/>
      <c r="AJ398" s="1207"/>
      <c r="AK398" s="1207"/>
      <c r="AL398" s="1207"/>
      <c r="AM398" s="1207"/>
      <c r="AN398" s="1207"/>
      <c r="AO398" s="1207"/>
      <c r="AP398" s="1207"/>
      <c r="AQ398" s="1207"/>
      <c r="AR398" s="1207"/>
      <c r="AS398" s="1207"/>
      <c r="AT398" s="1207"/>
      <c r="AU398" s="1207"/>
      <c r="AV398" s="1207"/>
      <c r="AW398" s="1207"/>
      <c r="AX398" s="1207"/>
      <c r="AY398" s="1207"/>
      <c r="AZ398" s="1207"/>
      <c r="BA398" s="1207"/>
      <c r="BB398" s="1207"/>
      <c r="BC398" s="1207"/>
      <c r="BD398" s="1207"/>
      <c r="BE398" s="1207"/>
      <c r="BF398" s="1207"/>
      <c r="BG398" s="1207"/>
      <c r="BH398" s="1207"/>
      <c r="BI398" s="1207"/>
      <c r="BJ398" s="1207"/>
      <c r="BK398" s="1207"/>
      <c r="BL398" s="1207"/>
      <c r="BM398" s="1207"/>
      <c r="BN398" s="1207"/>
      <c r="BO398" s="1207"/>
      <c r="BP398" s="1207"/>
      <c r="BQ398" s="1207"/>
      <c r="BR398" s="1207"/>
      <c r="BS398" s="1207"/>
      <c r="BT398" s="1207"/>
      <c r="BU398" s="1207"/>
      <c r="BV398" s="1207"/>
      <c r="BW398" s="1207"/>
      <c r="BX398" s="1207"/>
      <c r="BY398" s="1207"/>
      <c r="BZ398" s="1207"/>
      <c r="CA398" s="1207"/>
      <c r="CB398" s="1207"/>
      <c r="CC398" s="1207"/>
      <c r="CD398" s="1207"/>
      <c r="CE398" s="1207"/>
      <c r="CF398" s="1207"/>
    </row>
    <row r="399" spans="1:16378" ht="45" hidden="1" customHeight="1" x14ac:dyDescent="0.3">
      <c r="A399" s="1355">
        <v>2022414</v>
      </c>
      <c r="B399" s="1172">
        <v>7658</v>
      </c>
      <c r="C399" s="1356" t="s">
        <v>679</v>
      </c>
      <c r="D399" s="1190" t="s">
        <v>692</v>
      </c>
      <c r="E399" s="1174">
        <v>80111600</v>
      </c>
      <c r="F399" s="1379" t="s">
        <v>1077</v>
      </c>
      <c r="G399" s="1380">
        <v>44562</v>
      </c>
      <c r="H399" s="1380">
        <v>44592</v>
      </c>
      <c r="I399" s="1176">
        <v>10</v>
      </c>
      <c r="J399" s="1176" t="s">
        <v>673</v>
      </c>
      <c r="K399" s="1177" t="s">
        <v>674</v>
      </c>
      <c r="L399" s="1178" t="s">
        <v>675</v>
      </c>
      <c r="M399" s="1179">
        <v>42000000</v>
      </c>
      <c r="N399" s="1376" t="s">
        <v>768</v>
      </c>
      <c r="O399" s="1174" t="s">
        <v>767</v>
      </c>
      <c r="P399" s="1207" t="s">
        <v>678</v>
      </c>
      <c r="Q399" s="1163"/>
      <c r="R399" s="1357">
        <v>42000000</v>
      </c>
      <c r="S399" s="1357">
        <v>42000000</v>
      </c>
      <c r="T399" s="1357">
        <f>+Tabla16[[#This Row],[CDPS A 31 JULIO 2022]]-Tabla16[[#This Row],[CDP]]</f>
        <v>0</v>
      </c>
      <c r="U399" s="1357">
        <v>42000000</v>
      </c>
      <c r="V399" s="1357">
        <v>18620000</v>
      </c>
      <c r="W399" s="1357"/>
      <c r="X399" s="1207"/>
      <c r="Y399" s="1207"/>
      <c r="Z399" s="1207"/>
      <c r="AA399" s="1207"/>
      <c r="AB399" s="1207"/>
      <c r="AC399" s="1207"/>
      <c r="AD399" s="1207"/>
      <c r="AE399" s="1207"/>
      <c r="AF399" s="1207"/>
      <c r="AG399" s="1207"/>
      <c r="AH399" s="1207"/>
      <c r="AI399" s="1207"/>
      <c r="AJ399" s="1207"/>
      <c r="AK399" s="1207"/>
      <c r="AL399" s="1207"/>
      <c r="AM399" s="1207"/>
      <c r="AN399" s="1207"/>
      <c r="AO399" s="1207"/>
      <c r="AP399" s="1207"/>
      <c r="AQ399" s="1207"/>
      <c r="AR399" s="1207"/>
      <c r="AS399" s="1207"/>
      <c r="AT399" s="1207"/>
      <c r="AU399" s="1207"/>
      <c r="AV399" s="1207"/>
      <c r="AW399" s="1207"/>
      <c r="AX399" s="1207"/>
      <c r="AY399" s="1207"/>
      <c r="AZ399" s="1207"/>
      <c r="BA399" s="1207"/>
      <c r="BB399" s="1207"/>
      <c r="BC399" s="1207"/>
      <c r="BD399" s="1207"/>
      <c r="BE399" s="1207"/>
      <c r="BF399" s="1207"/>
      <c r="BG399" s="1207"/>
      <c r="BH399" s="1207"/>
      <c r="BI399" s="1207"/>
      <c r="BJ399" s="1207"/>
      <c r="BK399" s="1207"/>
      <c r="BL399" s="1207"/>
      <c r="BM399" s="1207"/>
      <c r="BN399" s="1207"/>
      <c r="BO399" s="1207"/>
      <c r="BP399" s="1207"/>
      <c r="BQ399" s="1207"/>
      <c r="BR399" s="1207"/>
      <c r="BS399" s="1207"/>
      <c r="BT399" s="1207"/>
      <c r="BU399" s="1207"/>
      <c r="BV399" s="1207"/>
      <c r="BW399" s="1207"/>
      <c r="BX399" s="1207"/>
      <c r="BY399" s="1207"/>
      <c r="BZ399" s="1207"/>
      <c r="CA399" s="1207"/>
      <c r="CB399" s="1207"/>
      <c r="CC399" s="1207"/>
      <c r="CD399" s="1207"/>
      <c r="CE399" s="1207"/>
      <c r="CF399" s="1207"/>
    </row>
    <row r="400" spans="1:16378" ht="45" hidden="1" customHeight="1" x14ac:dyDescent="0.3">
      <c r="A400" s="1355">
        <v>2022415</v>
      </c>
      <c r="B400" s="1172">
        <v>7658</v>
      </c>
      <c r="C400" s="1356" t="s">
        <v>679</v>
      </c>
      <c r="D400" s="1190" t="s">
        <v>692</v>
      </c>
      <c r="E400" s="1174">
        <v>80111600</v>
      </c>
      <c r="F400" s="1379" t="s">
        <v>1078</v>
      </c>
      <c r="G400" s="1380">
        <v>44562</v>
      </c>
      <c r="H400" s="1380">
        <v>44592</v>
      </c>
      <c r="I400" s="1176">
        <v>10</v>
      </c>
      <c r="J400" s="1176" t="s">
        <v>673</v>
      </c>
      <c r="K400" s="1177" t="s">
        <v>674</v>
      </c>
      <c r="L400" s="1178" t="s">
        <v>675</v>
      </c>
      <c r="M400" s="1179">
        <v>50000000</v>
      </c>
      <c r="N400" s="1376" t="s">
        <v>768</v>
      </c>
      <c r="O400" s="1174" t="s">
        <v>767</v>
      </c>
      <c r="P400" s="1207" t="s">
        <v>678</v>
      </c>
      <c r="Q400" s="1163"/>
      <c r="R400" s="1357">
        <v>50000000</v>
      </c>
      <c r="S400" s="1357">
        <v>50000000</v>
      </c>
      <c r="T400" s="1357">
        <f>+Tabla16[[#This Row],[CDPS A 31 JULIO 2022]]-Tabla16[[#This Row],[CDP]]</f>
        <v>0</v>
      </c>
      <c r="U400" s="1357">
        <v>50000000</v>
      </c>
      <c r="V400" s="1357">
        <v>20666667</v>
      </c>
      <c r="W400" s="1357"/>
      <c r="X400" s="1207"/>
      <c r="Y400" s="1207"/>
      <c r="Z400" s="1207"/>
      <c r="AA400" s="1207"/>
      <c r="AB400" s="1207"/>
      <c r="AC400" s="1207"/>
      <c r="AD400" s="1207"/>
      <c r="AE400" s="1207"/>
      <c r="AF400" s="1207"/>
      <c r="AG400" s="1207"/>
      <c r="AH400" s="1207"/>
      <c r="AI400" s="1207"/>
      <c r="AJ400" s="1207"/>
      <c r="AK400" s="1207"/>
      <c r="AL400" s="1207"/>
      <c r="AM400" s="1207"/>
      <c r="AN400" s="1207"/>
      <c r="AO400" s="1207"/>
      <c r="AP400" s="1207"/>
      <c r="AQ400" s="1207"/>
      <c r="AR400" s="1207"/>
      <c r="AS400" s="1207"/>
      <c r="AT400" s="1207"/>
      <c r="AU400" s="1207"/>
      <c r="AV400" s="1207"/>
      <c r="AW400" s="1207"/>
      <c r="AX400" s="1207"/>
      <c r="AY400" s="1207"/>
      <c r="AZ400" s="1207"/>
      <c r="BA400" s="1207"/>
      <c r="BB400" s="1207"/>
      <c r="BC400" s="1207"/>
      <c r="BD400" s="1207"/>
      <c r="BE400" s="1207"/>
      <c r="BF400" s="1207"/>
      <c r="BG400" s="1207"/>
      <c r="BH400" s="1207"/>
      <c r="BI400" s="1207"/>
      <c r="BJ400" s="1207"/>
      <c r="BK400" s="1207"/>
      <c r="BL400" s="1207"/>
      <c r="BM400" s="1207"/>
      <c r="BN400" s="1207"/>
      <c r="BO400" s="1207"/>
      <c r="BP400" s="1207"/>
      <c r="BQ400" s="1207"/>
      <c r="BR400" s="1207"/>
      <c r="BS400" s="1207"/>
      <c r="BT400" s="1207"/>
      <c r="BU400" s="1207"/>
      <c r="BV400" s="1207"/>
      <c r="BW400" s="1207"/>
      <c r="BX400" s="1207"/>
      <c r="BY400" s="1207"/>
      <c r="BZ400" s="1207"/>
      <c r="CA400" s="1207"/>
      <c r="CB400" s="1207"/>
      <c r="CC400" s="1207"/>
      <c r="CD400" s="1207"/>
      <c r="CE400" s="1207"/>
      <c r="CF400" s="1207"/>
    </row>
    <row r="401" spans="1:23" s="1207" customFormat="1" ht="45" hidden="1" customHeight="1" x14ac:dyDescent="0.3">
      <c r="A401" s="1355">
        <v>2022416</v>
      </c>
      <c r="B401" s="1172">
        <v>7658</v>
      </c>
      <c r="C401" s="1356" t="s">
        <v>679</v>
      </c>
      <c r="D401" s="1190" t="s">
        <v>692</v>
      </c>
      <c r="E401" s="1174">
        <v>80111600</v>
      </c>
      <c r="F401" s="1379" t="s">
        <v>1079</v>
      </c>
      <c r="G401" s="1380">
        <v>44562</v>
      </c>
      <c r="H401" s="1380">
        <v>44592</v>
      </c>
      <c r="I401" s="1176">
        <v>6</v>
      </c>
      <c r="J401" s="1176" t="s">
        <v>673</v>
      </c>
      <c r="K401" s="1177" t="s">
        <v>674</v>
      </c>
      <c r="L401" s="1178" t="s">
        <v>675</v>
      </c>
      <c r="M401" s="1179">
        <f>20100000-6700000</f>
        <v>13400000</v>
      </c>
      <c r="N401" s="1376" t="s">
        <v>768</v>
      </c>
      <c r="O401" s="1174" t="s">
        <v>767</v>
      </c>
      <c r="P401" s="1207" t="s">
        <v>678</v>
      </c>
      <c r="Q401" s="1163"/>
      <c r="R401" s="1357">
        <v>13400000</v>
      </c>
      <c r="S401" s="1357">
        <v>13400000</v>
      </c>
      <c r="T401" s="1357">
        <f>+Tabla16[[#This Row],[CDPS A 31 JULIO 2022]]-Tabla16[[#This Row],[CDP]]</f>
        <v>0</v>
      </c>
      <c r="U401" s="1357">
        <v>13400000</v>
      </c>
      <c r="V401" s="1357">
        <v>13400000</v>
      </c>
      <c r="W401" s="1357"/>
    </row>
    <row r="402" spans="1:23" s="1207" customFormat="1" ht="45" hidden="1" customHeight="1" x14ac:dyDescent="0.3">
      <c r="A402" s="1355">
        <v>2022417</v>
      </c>
      <c r="B402" s="1172">
        <v>7658</v>
      </c>
      <c r="C402" s="1356" t="s">
        <v>679</v>
      </c>
      <c r="D402" s="1190" t="s">
        <v>692</v>
      </c>
      <c r="E402" s="1174">
        <v>80111600</v>
      </c>
      <c r="F402" s="1379" t="s">
        <v>1080</v>
      </c>
      <c r="G402" s="1380">
        <v>44562</v>
      </c>
      <c r="H402" s="1380">
        <v>44592</v>
      </c>
      <c r="I402" s="1176">
        <v>4</v>
      </c>
      <c r="J402" s="1176" t="s">
        <v>673</v>
      </c>
      <c r="K402" s="1177" t="s">
        <v>674</v>
      </c>
      <c r="L402" s="1178" t="s">
        <v>675</v>
      </c>
      <c r="M402" s="1179">
        <v>20600000</v>
      </c>
      <c r="N402" s="1376" t="s">
        <v>768</v>
      </c>
      <c r="O402" s="1174" t="s">
        <v>767</v>
      </c>
      <c r="P402" s="1207" t="s">
        <v>678</v>
      </c>
      <c r="Q402" s="1163"/>
      <c r="R402" s="1357">
        <v>20600000</v>
      </c>
      <c r="S402" s="1357">
        <v>20600000</v>
      </c>
      <c r="T402" s="1357">
        <f>+Tabla16[[#This Row],[CDPS A 31 JULIO 2022]]-Tabla16[[#This Row],[CDP]]</f>
        <v>0</v>
      </c>
      <c r="U402" s="1357">
        <v>20600000</v>
      </c>
      <c r="V402" s="1357">
        <v>17853333</v>
      </c>
      <c r="W402" s="1357"/>
    </row>
    <row r="403" spans="1:23" s="1207" customFormat="1" ht="45" hidden="1" customHeight="1" x14ac:dyDescent="0.3">
      <c r="A403" s="1355">
        <v>2022418</v>
      </c>
      <c r="B403" s="1172">
        <v>7658</v>
      </c>
      <c r="C403" s="1356" t="s">
        <v>679</v>
      </c>
      <c r="D403" s="1190" t="s">
        <v>692</v>
      </c>
      <c r="E403" s="1174">
        <v>80111600</v>
      </c>
      <c r="F403" s="1379" t="s">
        <v>1080</v>
      </c>
      <c r="G403" s="1380">
        <v>44562</v>
      </c>
      <c r="H403" s="1380">
        <v>44592</v>
      </c>
      <c r="I403" s="1176">
        <v>6</v>
      </c>
      <c r="J403" s="1176" t="s">
        <v>673</v>
      </c>
      <c r="K403" s="1177" t="s">
        <v>674</v>
      </c>
      <c r="L403" s="1178" t="s">
        <v>675</v>
      </c>
      <c r="M403" s="1179">
        <v>30900000</v>
      </c>
      <c r="N403" s="1376" t="s">
        <v>768</v>
      </c>
      <c r="O403" s="1174" t="s">
        <v>767</v>
      </c>
      <c r="P403" s="1207" t="s">
        <v>678</v>
      </c>
      <c r="Q403" s="1163"/>
      <c r="R403" s="1357">
        <v>25750000</v>
      </c>
      <c r="S403" s="1357"/>
      <c r="T403" s="1357">
        <f>+Tabla16[[#This Row],[CDPS A 31 JULIO 2022]]-Tabla16[[#This Row],[CDP]]</f>
        <v>25750000</v>
      </c>
      <c r="U403" s="1357"/>
      <c r="V403" s="1357"/>
      <c r="W403" s="1357" t="s">
        <v>1081</v>
      </c>
    </row>
    <row r="404" spans="1:23" s="1207" customFormat="1" ht="45" hidden="1" customHeight="1" x14ac:dyDescent="0.3">
      <c r="A404" s="1355">
        <v>2022419</v>
      </c>
      <c r="B404" s="1172">
        <v>7658</v>
      </c>
      <c r="C404" s="1356" t="s">
        <v>679</v>
      </c>
      <c r="D404" s="1190" t="s">
        <v>692</v>
      </c>
      <c r="E404" s="1174">
        <v>80111600</v>
      </c>
      <c r="F404" s="1379" t="s">
        <v>1082</v>
      </c>
      <c r="G404" s="1380">
        <v>44562</v>
      </c>
      <c r="H404" s="1380">
        <v>44592</v>
      </c>
      <c r="I404" s="1176">
        <v>10</v>
      </c>
      <c r="J404" s="1176" t="s">
        <v>673</v>
      </c>
      <c r="K404" s="1177" t="s">
        <v>674</v>
      </c>
      <c r="L404" s="1178" t="s">
        <v>675</v>
      </c>
      <c r="M404" s="1179">
        <v>28000000</v>
      </c>
      <c r="N404" s="1376" t="s">
        <v>768</v>
      </c>
      <c r="O404" s="1174" t="s">
        <v>767</v>
      </c>
      <c r="P404" s="1207" t="s">
        <v>678</v>
      </c>
      <c r="Q404" s="1163"/>
      <c r="R404" s="1357">
        <v>28000000</v>
      </c>
      <c r="S404" s="1357">
        <v>28000000</v>
      </c>
      <c r="T404" s="1357">
        <f>+Tabla16[[#This Row],[CDPS A 31 JULIO 2022]]-Tabla16[[#This Row],[CDP]]</f>
        <v>0</v>
      </c>
      <c r="U404" s="1357">
        <v>28000000</v>
      </c>
      <c r="V404" s="1357">
        <v>11853333</v>
      </c>
      <c r="W404" s="1357"/>
    </row>
    <row r="405" spans="1:23" s="1207" customFormat="1" ht="45" hidden="1" customHeight="1" x14ac:dyDescent="0.3">
      <c r="A405" s="1355">
        <v>2022420</v>
      </c>
      <c r="B405" s="1172">
        <v>7658</v>
      </c>
      <c r="C405" s="1356" t="s">
        <v>679</v>
      </c>
      <c r="D405" s="1190" t="s">
        <v>692</v>
      </c>
      <c r="E405" s="1174">
        <v>80111600</v>
      </c>
      <c r="F405" s="1379" t="s">
        <v>1083</v>
      </c>
      <c r="G405" s="1380">
        <v>44562</v>
      </c>
      <c r="H405" s="1380">
        <v>44592</v>
      </c>
      <c r="I405" s="1176">
        <v>10</v>
      </c>
      <c r="J405" s="1176" t="s">
        <v>673</v>
      </c>
      <c r="K405" s="1177" t="s">
        <v>674</v>
      </c>
      <c r="L405" s="1178" t="s">
        <v>675</v>
      </c>
      <c r="M405" s="1179">
        <v>28500000</v>
      </c>
      <c r="N405" s="1376" t="s">
        <v>768</v>
      </c>
      <c r="O405" s="1174" t="s">
        <v>767</v>
      </c>
      <c r="P405" s="1207" t="s">
        <v>678</v>
      </c>
      <c r="Q405" s="1163"/>
      <c r="R405" s="1357">
        <v>28500000</v>
      </c>
      <c r="S405" s="1357">
        <v>28500000</v>
      </c>
      <c r="T405" s="1357">
        <f>+Tabla16[[#This Row],[CDPS A 31 JULIO 2022]]-Tabla16[[#This Row],[CDP]]</f>
        <v>0</v>
      </c>
      <c r="U405" s="1357">
        <v>28500000</v>
      </c>
      <c r="V405" s="1357">
        <v>12635000</v>
      </c>
      <c r="W405" s="1357"/>
    </row>
    <row r="406" spans="1:23" s="1207" customFormat="1" ht="45" hidden="1" customHeight="1" x14ac:dyDescent="0.3">
      <c r="A406" s="1355">
        <v>2022421</v>
      </c>
      <c r="B406" s="1172">
        <v>7658</v>
      </c>
      <c r="C406" s="1356" t="s">
        <v>679</v>
      </c>
      <c r="D406" s="1190" t="s">
        <v>692</v>
      </c>
      <c r="E406" s="1174">
        <v>80111600</v>
      </c>
      <c r="F406" s="1379" t="s">
        <v>1084</v>
      </c>
      <c r="G406" s="1380">
        <v>44562</v>
      </c>
      <c r="H406" s="1380">
        <v>44592</v>
      </c>
      <c r="I406" s="1176">
        <v>10</v>
      </c>
      <c r="J406" s="1176" t="s">
        <v>673</v>
      </c>
      <c r="K406" s="1177" t="s">
        <v>674</v>
      </c>
      <c r="L406" s="1178" t="s">
        <v>675</v>
      </c>
      <c r="M406" s="1179">
        <f>45000000-6500000</f>
        <v>38500000</v>
      </c>
      <c r="N406" s="1376" t="s">
        <v>768</v>
      </c>
      <c r="O406" s="1174" t="s">
        <v>767</v>
      </c>
      <c r="P406" s="1207" t="s">
        <v>678</v>
      </c>
      <c r="Q406" s="1163"/>
      <c r="R406" s="1357">
        <v>38500000</v>
      </c>
      <c r="S406" s="1357">
        <v>38500000</v>
      </c>
      <c r="T406" s="1357">
        <f>+Tabla16[[#This Row],[CDPS A 31 JULIO 2022]]-Tabla16[[#This Row],[CDP]]</f>
        <v>0</v>
      </c>
      <c r="U406" s="1357">
        <v>38500000</v>
      </c>
      <c r="V406" s="1357">
        <v>15913333</v>
      </c>
      <c r="W406" s="1357"/>
    </row>
    <row r="407" spans="1:23" s="1207" customFormat="1" ht="45" hidden="1" customHeight="1" x14ac:dyDescent="0.3">
      <c r="A407" s="1355">
        <v>2022422</v>
      </c>
      <c r="B407" s="1172">
        <v>7658</v>
      </c>
      <c r="C407" s="1356" t="s">
        <v>679</v>
      </c>
      <c r="D407" s="1190" t="s">
        <v>692</v>
      </c>
      <c r="E407" s="1174">
        <v>80111600</v>
      </c>
      <c r="F407" s="1379" t="s">
        <v>1085</v>
      </c>
      <c r="G407" s="1380">
        <v>44562</v>
      </c>
      <c r="H407" s="1380">
        <v>44592</v>
      </c>
      <c r="I407" s="1176">
        <v>10</v>
      </c>
      <c r="J407" s="1176" t="s">
        <v>673</v>
      </c>
      <c r="K407" s="1177" t="s">
        <v>674</v>
      </c>
      <c r="L407" s="1178" t="s">
        <v>675</v>
      </c>
      <c r="M407" s="1179">
        <f>33000000-18300000</f>
        <v>14700000</v>
      </c>
      <c r="N407" s="1376" t="s">
        <v>768</v>
      </c>
      <c r="O407" s="1174" t="s">
        <v>767</v>
      </c>
      <c r="P407" s="1207" t="s">
        <v>678</v>
      </c>
      <c r="Q407" s="1163"/>
      <c r="R407" s="1357">
        <v>33000000</v>
      </c>
      <c r="S407" s="1357">
        <v>33000000</v>
      </c>
      <c r="T407" s="1357">
        <f>+Tabla16[[#This Row],[CDPS A 31 JULIO 2022]]-Tabla16[[#This Row],[CDP]]</f>
        <v>0</v>
      </c>
      <c r="U407" s="1357">
        <v>33000000</v>
      </c>
      <c r="V407" s="1357">
        <v>14300000</v>
      </c>
      <c r="W407" s="1357"/>
    </row>
    <row r="408" spans="1:23" s="1207" customFormat="1" ht="45" hidden="1" customHeight="1" x14ac:dyDescent="0.3">
      <c r="A408" s="1355">
        <v>2022423</v>
      </c>
      <c r="B408" s="1172">
        <v>7658</v>
      </c>
      <c r="C408" s="1356" t="s">
        <v>679</v>
      </c>
      <c r="D408" s="1190" t="s">
        <v>692</v>
      </c>
      <c r="E408" s="1174">
        <v>80111600</v>
      </c>
      <c r="F408" s="1379" t="s">
        <v>1085</v>
      </c>
      <c r="G408" s="1380">
        <v>44562</v>
      </c>
      <c r="H408" s="1380">
        <v>44592</v>
      </c>
      <c r="I408" s="1176">
        <v>10</v>
      </c>
      <c r="J408" s="1176" t="s">
        <v>673</v>
      </c>
      <c r="K408" s="1177" t="s">
        <v>674</v>
      </c>
      <c r="L408" s="1178" t="s">
        <v>675</v>
      </c>
      <c r="M408" s="1179">
        <v>24500000</v>
      </c>
      <c r="N408" s="1376" t="s">
        <v>768</v>
      </c>
      <c r="O408" s="1174" t="s">
        <v>767</v>
      </c>
      <c r="P408" s="1207" t="s">
        <v>678</v>
      </c>
      <c r="Q408" s="1163"/>
      <c r="R408" s="1357">
        <v>24500000</v>
      </c>
      <c r="S408" s="1357">
        <v>24500000</v>
      </c>
      <c r="T408" s="1357">
        <f>+Tabla16[[#This Row],[CDPS A 31 JULIO 2022]]-Tabla16[[#This Row],[CDP]]</f>
        <v>0</v>
      </c>
      <c r="U408" s="1357">
        <v>24500000</v>
      </c>
      <c r="V408" s="1357">
        <v>10208333</v>
      </c>
      <c r="W408" s="1357"/>
    </row>
    <row r="409" spans="1:23" s="1207" customFormat="1" ht="45" hidden="1" customHeight="1" x14ac:dyDescent="0.3">
      <c r="A409" s="1355">
        <v>2022424</v>
      </c>
      <c r="B409" s="1172">
        <v>7658</v>
      </c>
      <c r="C409" s="1356" t="s">
        <v>679</v>
      </c>
      <c r="D409" s="1190" t="s">
        <v>692</v>
      </c>
      <c r="E409" s="1174">
        <v>80111600</v>
      </c>
      <c r="F409" s="1379" t="s">
        <v>1085</v>
      </c>
      <c r="G409" s="1380">
        <v>44562</v>
      </c>
      <c r="H409" s="1380">
        <v>44592</v>
      </c>
      <c r="I409" s="1176">
        <v>10</v>
      </c>
      <c r="J409" s="1176" t="s">
        <v>673</v>
      </c>
      <c r="K409" s="1177" t="s">
        <v>674</v>
      </c>
      <c r="L409" s="1178" t="s">
        <v>675</v>
      </c>
      <c r="M409" s="1179">
        <v>33000000</v>
      </c>
      <c r="N409" s="1376" t="s">
        <v>768</v>
      </c>
      <c r="O409" s="1174" t="s">
        <v>767</v>
      </c>
      <c r="P409" s="1207" t="s">
        <v>678</v>
      </c>
      <c r="Q409" s="1163"/>
      <c r="R409" s="1357">
        <v>19800000</v>
      </c>
      <c r="S409" s="1357">
        <v>19800000</v>
      </c>
      <c r="T409" s="1357">
        <f>+Tabla16[[#This Row],[CDPS A 31 JULIO 2022]]-Tabla16[[#This Row],[CDP]]</f>
        <v>0</v>
      </c>
      <c r="U409" s="1357">
        <v>19800000</v>
      </c>
      <c r="V409" s="1357">
        <v>13200000</v>
      </c>
      <c r="W409" s="1357"/>
    </row>
    <row r="410" spans="1:23" s="1207" customFormat="1" ht="45" hidden="1" customHeight="1" x14ac:dyDescent="0.3">
      <c r="A410" s="1355">
        <v>2022425</v>
      </c>
      <c r="B410" s="1172">
        <v>7658</v>
      </c>
      <c r="C410" s="1356" t="s">
        <v>679</v>
      </c>
      <c r="D410" s="1190" t="s">
        <v>692</v>
      </c>
      <c r="E410" s="1174">
        <v>80111600</v>
      </c>
      <c r="F410" s="1379" t="s">
        <v>1085</v>
      </c>
      <c r="G410" s="1380">
        <v>44562</v>
      </c>
      <c r="H410" s="1380">
        <v>44592</v>
      </c>
      <c r="I410" s="1176">
        <v>10</v>
      </c>
      <c r="J410" s="1176" t="s">
        <v>673</v>
      </c>
      <c r="K410" s="1177" t="s">
        <v>674</v>
      </c>
      <c r="L410" s="1178" t="s">
        <v>675</v>
      </c>
      <c r="M410" s="1179">
        <f>27500000-1100000</f>
        <v>26400000</v>
      </c>
      <c r="N410" s="1376" t="s">
        <v>768</v>
      </c>
      <c r="O410" s="1174" t="s">
        <v>767</v>
      </c>
      <c r="P410" s="1207" t="s">
        <v>678</v>
      </c>
      <c r="Q410" s="1163"/>
      <c r="R410" s="1357">
        <v>26400000</v>
      </c>
      <c r="S410" s="1357">
        <v>26400000</v>
      </c>
      <c r="T410" s="1357">
        <f>+Tabla16[[#This Row],[CDPS A 31 JULIO 2022]]-Tabla16[[#This Row],[CDP]]</f>
        <v>0</v>
      </c>
      <c r="U410" s="1357">
        <v>26400000</v>
      </c>
      <c r="V410" s="1357">
        <v>13750000</v>
      </c>
      <c r="W410" s="1357"/>
    </row>
    <row r="411" spans="1:23" s="1207" customFormat="1" ht="45" hidden="1" customHeight="1" x14ac:dyDescent="0.3">
      <c r="A411" s="1355">
        <v>2022426</v>
      </c>
      <c r="B411" s="1172">
        <v>7658</v>
      </c>
      <c r="C411" s="1356" t="s">
        <v>679</v>
      </c>
      <c r="D411" s="1190" t="s">
        <v>692</v>
      </c>
      <c r="E411" s="1174">
        <v>80111600</v>
      </c>
      <c r="F411" s="1379" t="s">
        <v>1085</v>
      </c>
      <c r="G411" s="1380">
        <v>44562</v>
      </c>
      <c r="H411" s="1380">
        <v>44592</v>
      </c>
      <c r="I411" s="1176">
        <v>10</v>
      </c>
      <c r="J411" s="1176" t="s">
        <v>673</v>
      </c>
      <c r="K411" s="1177" t="s">
        <v>674</v>
      </c>
      <c r="L411" s="1178" t="s">
        <v>675</v>
      </c>
      <c r="M411" s="1179">
        <v>33000000</v>
      </c>
      <c r="N411" s="1376" t="s">
        <v>768</v>
      </c>
      <c r="O411" s="1174" t="s">
        <v>767</v>
      </c>
      <c r="P411" s="1207" t="s">
        <v>678</v>
      </c>
      <c r="Q411" s="1163"/>
      <c r="R411" s="1357">
        <v>14700000</v>
      </c>
      <c r="S411" s="1357">
        <v>14700000</v>
      </c>
      <c r="T411" s="1357">
        <f>+Tabla16[[#This Row],[CDPS A 31 JULIO 2022]]-Tabla16[[#This Row],[CDP]]</f>
        <v>0</v>
      </c>
      <c r="U411" s="1357">
        <v>14700000</v>
      </c>
      <c r="V411" s="1357">
        <v>9800000</v>
      </c>
      <c r="W411" s="1357"/>
    </row>
    <row r="412" spans="1:23" s="1207" customFormat="1" ht="45" hidden="1" customHeight="1" x14ac:dyDescent="0.3">
      <c r="A412" s="1355">
        <v>2022427</v>
      </c>
      <c r="B412" s="1172">
        <v>7658</v>
      </c>
      <c r="C412" s="1356" t="s">
        <v>679</v>
      </c>
      <c r="D412" s="1190" t="s">
        <v>692</v>
      </c>
      <c r="E412" s="1174">
        <v>80111600</v>
      </c>
      <c r="F412" s="1379" t="s">
        <v>1085</v>
      </c>
      <c r="G412" s="1380">
        <v>44562</v>
      </c>
      <c r="H412" s="1380">
        <v>44592</v>
      </c>
      <c r="I412" s="1176">
        <v>10</v>
      </c>
      <c r="J412" s="1176" t="s">
        <v>673</v>
      </c>
      <c r="K412" s="1177" t="s">
        <v>674</v>
      </c>
      <c r="L412" s="1178" t="s">
        <v>675</v>
      </c>
      <c r="M412" s="1179">
        <f>33000000-13200000</f>
        <v>19800000</v>
      </c>
      <c r="N412" s="1376" t="s">
        <v>768</v>
      </c>
      <c r="O412" s="1174" t="s">
        <v>767</v>
      </c>
      <c r="P412" s="1207" t="s">
        <v>678</v>
      </c>
      <c r="Q412" s="1163"/>
      <c r="R412" s="1357">
        <v>33000000</v>
      </c>
      <c r="S412" s="1357">
        <v>33000000</v>
      </c>
      <c r="T412" s="1357">
        <f>+Tabla16[[#This Row],[CDPS A 31 JULIO 2022]]-Tabla16[[#This Row],[CDP]]</f>
        <v>0</v>
      </c>
      <c r="U412" s="1357">
        <v>33000000</v>
      </c>
      <c r="V412" s="1357">
        <v>13750000</v>
      </c>
      <c r="W412" s="1357"/>
    </row>
    <row r="413" spans="1:23" s="1207" customFormat="1" ht="45" hidden="1" customHeight="1" x14ac:dyDescent="0.3">
      <c r="A413" s="1355">
        <v>2022428</v>
      </c>
      <c r="B413" s="1172">
        <v>7658</v>
      </c>
      <c r="C413" s="1356" t="s">
        <v>679</v>
      </c>
      <c r="D413" s="1190" t="s">
        <v>692</v>
      </c>
      <c r="E413" s="1174">
        <v>80111600</v>
      </c>
      <c r="F413" s="1379" t="s">
        <v>1082</v>
      </c>
      <c r="G413" s="1380">
        <v>44562</v>
      </c>
      <c r="H413" s="1380">
        <v>44592</v>
      </c>
      <c r="I413" s="1176">
        <v>10</v>
      </c>
      <c r="J413" s="1176" t="s">
        <v>673</v>
      </c>
      <c r="K413" s="1177" t="s">
        <v>674</v>
      </c>
      <c r="L413" s="1178" t="s">
        <v>675</v>
      </c>
      <c r="M413" s="1179">
        <v>28000000</v>
      </c>
      <c r="N413" s="1376" t="s">
        <v>768</v>
      </c>
      <c r="O413" s="1174" t="s">
        <v>767</v>
      </c>
      <c r="P413" s="1207" t="s">
        <v>678</v>
      </c>
      <c r="Q413" s="1163"/>
      <c r="R413" s="1357">
        <v>28000000</v>
      </c>
      <c r="S413" s="1357">
        <v>28000000</v>
      </c>
      <c r="T413" s="1357">
        <f>+Tabla16[[#This Row],[CDPS A 31 JULIO 2022]]-Tabla16[[#This Row],[CDP]]</f>
        <v>0</v>
      </c>
      <c r="U413" s="1357">
        <v>28000000</v>
      </c>
      <c r="V413" s="1357">
        <v>12226667</v>
      </c>
      <c r="W413" s="1357"/>
    </row>
    <row r="414" spans="1:23" s="1207" customFormat="1" ht="45" hidden="1" customHeight="1" x14ac:dyDescent="0.3">
      <c r="A414" s="1355">
        <v>2022429</v>
      </c>
      <c r="B414" s="1172">
        <v>7658</v>
      </c>
      <c r="C414" s="1356" t="s">
        <v>679</v>
      </c>
      <c r="D414" s="1190" t="s">
        <v>692</v>
      </c>
      <c r="E414" s="1174">
        <v>80111600</v>
      </c>
      <c r="F414" s="1379" t="s">
        <v>1082</v>
      </c>
      <c r="G414" s="1380">
        <v>44562</v>
      </c>
      <c r="H414" s="1380">
        <v>44592</v>
      </c>
      <c r="I414" s="1176">
        <v>10</v>
      </c>
      <c r="J414" s="1176" t="s">
        <v>673</v>
      </c>
      <c r="K414" s="1177" t="s">
        <v>674</v>
      </c>
      <c r="L414" s="1178" t="s">
        <v>675</v>
      </c>
      <c r="M414" s="1179">
        <v>28000000</v>
      </c>
      <c r="N414" s="1376" t="s">
        <v>768</v>
      </c>
      <c r="O414" s="1174" t="s">
        <v>767</v>
      </c>
      <c r="P414" s="1207" t="s">
        <v>678</v>
      </c>
      <c r="Q414" s="1163"/>
      <c r="R414" s="1357">
        <v>28000000</v>
      </c>
      <c r="S414" s="1357">
        <v>28000000</v>
      </c>
      <c r="T414" s="1357">
        <f>+Tabla16[[#This Row],[CDPS A 31 JULIO 2022]]-Tabla16[[#This Row],[CDP]]</f>
        <v>0</v>
      </c>
      <c r="U414" s="1357">
        <v>28000000</v>
      </c>
      <c r="V414" s="1357">
        <v>11666667</v>
      </c>
      <c r="W414" s="1357"/>
    </row>
    <row r="415" spans="1:23" s="1207" customFormat="1" ht="45" hidden="1" customHeight="1" x14ac:dyDescent="0.3">
      <c r="A415" s="1355">
        <v>2022430</v>
      </c>
      <c r="B415" s="1172">
        <v>7658</v>
      </c>
      <c r="C415" s="1356" t="s">
        <v>679</v>
      </c>
      <c r="D415" s="1190" t="s">
        <v>692</v>
      </c>
      <c r="E415" s="1174">
        <v>80111600</v>
      </c>
      <c r="F415" s="1379" t="s">
        <v>1086</v>
      </c>
      <c r="G415" s="1380">
        <v>44562</v>
      </c>
      <c r="H415" s="1380">
        <v>44592</v>
      </c>
      <c r="I415" s="1176">
        <v>10</v>
      </c>
      <c r="J415" s="1176" t="s">
        <v>673</v>
      </c>
      <c r="K415" s="1177" t="s">
        <v>674</v>
      </c>
      <c r="L415" s="1178" t="s">
        <v>675</v>
      </c>
      <c r="M415" s="1179">
        <v>45000000</v>
      </c>
      <c r="N415" s="1376" t="s">
        <v>768</v>
      </c>
      <c r="O415" s="1174" t="s">
        <v>767</v>
      </c>
      <c r="P415" s="1207" t="s">
        <v>678</v>
      </c>
      <c r="Q415" s="1163"/>
      <c r="R415" s="1357">
        <v>45000000</v>
      </c>
      <c r="S415" s="1357">
        <v>45000000</v>
      </c>
      <c r="T415" s="1357">
        <f>+Tabla16[[#This Row],[CDPS A 31 JULIO 2022]]-Tabla16[[#This Row],[CDP]]</f>
        <v>0</v>
      </c>
      <c r="U415" s="1357">
        <v>45000000</v>
      </c>
      <c r="V415" s="1357">
        <v>19500000</v>
      </c>
      <c r="W415" s="1357"/>
    </row>
    <row r="416" spans="1:23" s="1207" customFormat="1" ht="45" hidden="1" customHeight="1" x14ac:dyDescent="0.3">
      <c r="A416" s="1355">
        <v>2022431</v>
      </c>
      <c r="B416" s="1172">
        <v>7658</v>
      </c>
      <c r="C416" s="1356" t="s">
        <v>679</v>
      </c>
      <c r="D416" s="1190" t="s">
        <v>692</v>
      </c>
      <c r="E416" s="1174">
        <v>80111600</v>
      </c>
      <c r="F416" s="1379" t="s">
        <v>1087</v>
      </c>
      <c r="G416" s="1380">
        <v>44562</v>
      </c>
      <c r="H416" s="1380">
        <v>44592</v>
      </c>
      <c r="I416" s="1176">
        <v>10</v>
      </c>
      <c r="J416" s="1176" t="s">
        <v>673</v>
      </c>
      <c r="K416" s="1177" t="s">
        <v>674</v>
      </c>
      <c r="L416" s="1178" t="s">
        <v>675</v>
      </c>
      <c r="M416" s="1179">
        <v>24500000</v>
      </c>
      <c r="N416" s="1376" t="s">
        <v>768</v>
      </c>
      <c r="O416" s="1174" t="s">
        <v>767</v>
      </c>
      <c r="P416" s="1207" t="s">
        <v>678</v>
      </c>
      <c r="Q416" s="1163"/>
      <c r="R416" s="1357">
        <v>24500000</v>
      </c>
      <c r="S416" s="1357">
        <v>24500000</v>
      </c>
      <c r="T416" s="1357">
        <f>+Tabla16[[#This Row],[CDPS A 31 JULIO 2022]]-Tabla16[[#This Row],[CDP]]</f>
        <v>0</v>
      </c>
      <c r="U416" s="1357">
        <v>24500000</v>
      </c>
      <c r="V416" s="1357">
        <v>10698333</v>
      </c>
      <c r="W416" s="1357"/>
    </row>
    <row r="417" spans="1:23" s="1207" customFormat="1" ht="45" hidden="1" customHeight="1" x14ac:dyDescent="0.3">
      <c r="A417" s="1355">
        <v>2022432</v>
      </c>
      <c r="B417" s="1172">
        <v>7658</v>
      </c>
      <c r="C417" s="1356" t="s">
        <v>679</v>
      </c>
      <c r="D417" s="1190" t="s">
        <v>692</v>
      </c>
      <c r="E417" s="1174">
        <v>80111600</v>
      </c>
      <c r="F417" s="1379" t="s">
        <v>1087</v>
      </c>
      <c r="G417" s="1380">
        <v>44562</v>
      </c>
      <c r="H417" s="1380">
        <v>44592</v>
      </c>
      <c r="I417" s="1176">
        <v>10</v>
      </c>
      <c r="J417" s="1176" t="s">
        <v>673</v>
      </c>
      <c r="K417" s="1177" t="s">
        <v>674</v>
      </c>
      <c r="L417" s="1178" t="s">
        <v>675</v>
      </c>
      <c r="M417" s="1179">
        <v>33000000</v>
      </c>
      <c r="N417" s="1376" t="s">
        <v>768</v>
      </c>
      <c r="O417" s="1174" t="s">
        <v>767</v>
      </c>
      <c r="P417" s="1207" t="s">
        <v>678</v>
      </c>
      <c r="Q417" s="1163"/>
      <c r="R417" s="1357">
        <v>33000000</v>
      </c>
      <c r="S417" s="1357">
        <v>33000000</v>
      </c>
      <c r="T417" s="1357">
        <f>+Tabla16[[#This Row],[CDPS A 31 JULIO 2022]]-Tabla16[[#This Row],[CDP]]</f>
        <v>0</v>
      </c>
      <c r="U417" s="1357">
        <v>33000000</v>
      </c>
      <c r="V417" s="1357">
        <v>14630000</v>
      </c>
      <c r="W417" s="1357"/>
    </row>
    <row r="418" spans="1:23" s="1207" customFormat="1" ht="45" hidden="1" customHeight="1" x14ac:dyDescent="0.3">
      <c r="A418" s="1355">
        <v>2022433</v>
      </c>
      <c r="B418" s="1172">
        <v>7658</v>
      </c>
      <c r="C418" s="1356" t="s">
        <v>679</v>
      </c>
      <c r="D418" s="1190" t="s">
        <v>692</v>
      </c>
      <c r="E418" s="1174">
        <v>80111600</v>
      </c>
      <c r="F418" s="1379" t="s">
        <v>1087</v>
      </c>
      <c r="G418" s="1380">
        <v>44562</v>
      </c>
      <c r="H418" s="1380">
        <v>44592</v>
      </c>
      <c r="I418" s="1176">
        <v>10</v>
      </c>
      <c r="J418" s="1176" t="s">
        <v>673</v>
      </c>
      <c r="K418" s="1177" t="s">
        <v>674</v>
      </c>
      <c r="L418" s="1178" t="s">
        <v>675</v>
      </c>
      <c r="M418" s="1179">
        <v>32000000</v>
      </c>
      <c r="N418" s="1376" t="s">
        <v>768</v>
      </c>
      <c r="O418" s="1174" t="s">
        <v>767</v>
      </c>
      <c r="P418" s="1207" t="s">
        <v>678</v>
      </c>
      <c r="Q418" s="1163"/>
      <c r="R418" s="1357">
        <v>32000000</v>
      </c>
      <c r="S418" s="1357">
        <v>32000000</v>
      </c>
      <c r="T418" s="1357">
        <f>+Tabla16[[#This Row],[CDPS A 31 JULIO 2022]]-Tabla16[[#This Row],[CDP]]</f>
        <v>0</v>
      </c>
      <c r="U418" s="1357">
        <v>32000000</v>
      </c>
      <c r="V418" s="1357">
        <v>14080000</v>
      </c>
      <c r="W418" s="1357"/>
    </row>
    <row r="419" spans="1:23" s="1207" customFormat="1" ht="45" hidden="1" customHeight="1" x14ac:dyDescent="0.3">
      <c r="A419" s="1355">
        <v>2022434</v>
      </c>
      <c r="B419" s="1172">
        <v>7658</v>
      </c>
      <c r="C419" s="1356" t="s">
        <v>679</v>
      </c>
      <c r="D419" s="1190" t="s">
        <v>692</v>
      </c>
      <c r="E419" s="1174">
        <v>80111600</v>
      </c>
      <c r="F419" s="1379" t="s">
        <v>1087</v>
      </c>
      <c r="G419" s="1380">
        <v>44562</v>
      </c>
      <c r="H419" s="1380">
        <v>44592</v>
      </c>
      <c r="I419" s="1176">
        <v>10</v>
      </c>
      <c r="J419" s="1176" t="s">
        <v>673</v>
      </c>
      <c r="K419" s="1177" t="s">
        <v>674</v>
      </c>
      <c r="L419" s="1178" t="s">
        <v>675</v>
      </c>
      <c r="M419" s="1179">
        <v>24500000</v>
      </c>
      <c r="N419" s="1376" t="s">
        <v>768</v>
      </c>
      <c r="O419" s="1174" t="s">
        <v>767</v>
      </c>
      <c r="P419" s="1207" t="s">
        <v>678</v>
      </c>
      <c r="Q419" s="1163"/>
      <c r="R419" s="1357">
        <v>24500000</v>
      </c>
      <c r="S419" s="1357">
        <v>24500000</v>
      </c>
      <c r="T419" s="1357">
        <f>+Tabla16[[#This Row],[CDPS A 31 JULIO 2022]]-Tabla16[[#This Row],[CDP]]</f>
        <v>0</v>
      </c>
      <c r="U419" s="1357">
        <v>24500000</v>
      </c>
      <c r="V419" s="1357">
        <v>10290000</v>
      </c>
      <c r="W419" s="1357"/>
    </row>
    <row r="420" spans="1:23" s="1207" customFormat="1" ht="45" hidden="1" customHeight="1" x14ac:dyDescent="0.3">
      <c r="A420" s="1355">
        <v>2022435</v>
      </c>
      <c r="B420" s="1172">
        <v>7658</v>
      </c>
      <c r="C420" s="1356" t="s">
        <v>679</v>
      </c>
      <c r="D420" s="1190" t="s">
        <v>692</v>
      </c>
      <c r="E420" s="1174">
        <v>80111600</v>
      </c>
      <c r="F420" s="1379" t="s">
        <v>1087</v>
      </c>
      <c r="G420" s="1380">
        <v>44562</v>
      </c>
      <c r="H420" s="1380">
        <v>44592</v>
      </c>
      <c r="I420" s="1176">
        <v>10</v>
      </c>
      <c r="J420" s="1176" t="s">
        <v>673</v>
      </c>
      <c r="K420" s="1177" t="s">
        <v>674</v>
      </c>
      <c r="L420" s="1178" t="s">
        <v>675</v>
      </c>
      <c r="M420" s="1179">
        <v>28500000</v>
      </c>
      <c r="N420" s="1376" t="s">
        <v>768</v>
      </c>
      <c r="O420" s="1174" t="s">
        <v>767</v>
      </c>
      <c r="P420" s="1207" t="s">
        <v>678</v>
      </c>
      <c r="Q420" s="1163"/>
      <c r="R420" s="1357">
        <v>28500000</v>
      </c>
      <c r="S420" s="1357">
        <v>28500000</v>
      </c>
      <c r="T420" s="1357">
        <f>+Tabla16[[#This Row],[CDPS A 31 JULIO 2022]]-Tabla16[[#This Row],[CDP]]</f>
        <v>0</v>
      </c>
      <c r="U420" s="1357">
        <v>28500000</v>
      </c>
      <c r="V420" s="1357">
        <v>11970000</v>
      </c>
      <c r="W420" s="1357"/>
    </row>
    <row r="421" spans="1:23" s="1207" customFormat="1" ht="45" hidden="1" customHeight="1" x14ac:dyDescent="0.3">
      <c r="A421" s="1355">
        <v>2022436</v>
      </c>
      <c r="B421" s="1172">
        <v>7658</v>
      </c>
      <c r="C421" s="1356" t="s">
        <v>679</v>
      </c>
      <c r="D421" s="1190" t="s">
        <v>692</v>
      </c>
      <c r="E421" s="1174">
        <v>80111600</v>
      </c>
      <c r="F421" s="1379" t="s">
        <v>1087</v>
      </c>
      <c r="G421" s="1380">
        <v>44562</v>
      </c>
      <c r="H421" s="1380">
        <v>44592</v>
      </c>
      <c r="I421" s="1176">
        <v>10</v>
      </c>
      <c r="J421" s="1176" t="s">
        <v>673</v>
      </c>
      <c r="K421" s="1177" t="s">
        <v>674</v>
      </c>
      <c r="L421" s="1178" t="s">
        <v>675</v>
      </c>
      <c r="M421" s="1179">
        <f>28500000-15200000</f>
        <v>13300000</v>
      </c>
      <c r="N421" s="1376" t="s">
        <v>768</v>
      </c>
      <c r="O421" s="1174" t="s">
        <v>767</v>
      </c>
      <c r="P421" s="1207" t="s">
        <v>678</v>
      </c>
      <c r="Q421" s="1163"/>
      <c r="R421" s="1357">
        <v>28500000</v>
      </c>
      <c r="S421" s="1357">
        <v>28500000</v>
      </c>
      <c r="T421" s="1357">
        <f>+Tabla16[[#This Row],[CDPS A 31 JULIO 2022]]-Tabla16[[#This Row],[CDP]]</f>
        <v>0</v>
      </c>
      <c r="U421" s="1357">
        <v>28500000</v>
      </c>
      <c r="V421" s="1357">
        <v>12065000</v>
      </c>
      <c r="W421" s="1357"/>
    </row>
    <row r="422" spans="1:23" s="1207" customFormat="1" ht="45" hidden="1" customHeight="1" x14ac:dyDescent="0.3">
      <c r="A422" s="1355">
        <v>2022437</v>
      </c>
      <c r="B422" s="1172">
        <v>7658</v>
      </c>
      <c r="C422" s="1356" t="s">
        <v>679</v>
      </c>
      <c r="D422" s="1190" t="s">
        <v>692</v>
      </c>
      <c r="E422" s="1174">
        <v>80111600</v>
      </c>
      <c r="F422" s="1379" t="s">
        <v>1087</v>
      </c>
      <c r="G422" s="1380">
        <v>44562</v>
      </c>
      <c r="H422" s="1380">
        <v>44592</v>
      </c>
      <c r="I422" s="1176">
        <v>10</v>
      </c>
      <c r="J422" s="1176" t="s">
        <v>673</v>
      </c>
      <c r="K422" s="1177" t="s">
        <v>674</v>
      </c>
      <c r="L422" s="1178" t="s">
        <v>675</v>
      </c>
      <c r="M422" s="1179">
        <v>24500000</v>
      </c>
      <c r="N422" s="1376" t="s">
        <v>768</v>
      </c>
      <c r="O422" s="1174" t="s">
        <v>767</v>
      </c>
      <c r="P422" s="1207" t="s">
        <v>678</v>
      </c>
      <c r="Q422" s="1163"/>
      <c r="R422" s="1357">
        <v>24500000</v>
      </c>
      <c r="S422" s="1357">
        <v>24500000</v>
      </c>
      <c r="T422" s="1357">
        <f>+Tabla16[[#This Row],[CDPS A 31 JULIO 2022]]-Tabla16[[#This Row],[CDP]]</f>
        <v>0</v>
      </c>
      <c r="U422" s="1357">
        <v>24500000</v>
      </c>
      <c r="V422" s="1357">
        <v>10861667</v>
      </c>
      <c r="W422" s="1357"/>
    </row>
    <row r="423" spans="1:23" s="1207" customFormat="1" ht="45" hidden="1" customHeight="1" x14ac:dyDescent="0.3">
      <c r="A423" s="1355">
        <v>2022438</v>
      </c>
      <c r="B423" s="1172">
        <v>7658</v>
      </c>
      <c r="C423" s="1356" t="s">
        <v>679</v>
      </c>
      <c r="D423" s="1190" t="s">
        <v>692</v>
      </c>
      <c r="E423" s="1174">
        <v>80111600</v>
      </c>
      <c r="F423" s="1379" t="s">
        <v>1087</v>
      </c>
      <c r="G423" s="1380">
        <v>44562</v>
      </c>
      <c r="H423" s="1380">
        <v>44592</v>
      </c>
      <c r="I423" s="1176">
        <v>10</v>
      </c>
      <c r="J423" s="1176" t="s">
        <v>673</v>
      </c>
      <c r="K423" s="1177" t="s">
        <v>674</v>
      </c>
      <c r="L423" s="1178" t="s">
        <v>675</v>
      </c>
      <c r="M423" s="1179">
        <v>24500000</v>
      </c>
      <c r="N423" s="1376" t="s">
        <v>768</v>
      </c>
      <c r="O423" s="1174" t="s">
        <v>767</v>
      </c>
      <c r="P423" s="1207" t="s">
        <v>678</v>
      </c>
      <c r="Q423" s="1163"/>
      <c r="R423" s="1357">
        <v>24500000</v>
      </c>
      <c r="S423" s="1357">
        <v>24500000</v>
      </c>
      <c r="T423" s="1357">
        <f>+Tabla16[[#This Row],[CDPS A 31 JULIO 2022]]-Tabla16[[#This Row],[CDP]]</f>
        <v>0</v>
      </c>
      <c r="U423" s="1357">
        <v>24500000</v>
      </c>
      <c r="V423" s="1357">
        <v>10780000</v>
      </c>
      <c r="W423" s="1357"/>
    </row>
    <row r="424" spans="1:23" s="1207" customFormat="1" ht="45" hidden="1" customHeight="1" x14ac:dyDescent="0.3">
      <c r="A424" s="1355">
        <v>2022439</v>
      </c>
      <c r="B424" s="1172">
        <v>7658</v>
      </c>
      <c r="C424" s="1356" t="s">
        <v>679</v>
      </c>
      <c r="D424" s="1190" t="s">
        <v>692</v>
      </c>
      <c r="E424" s="1174">
        <v>80111600</v>
      </c>
      <c r="F424" s="1379" t="s">
        <v>1087</v>
      </c>
      <c r="G424" s="1380">
        <v>44562</v>
      </c>
      <c r="H424" s="1380">
        <v>44592</v>
      </c>
      <c r="I424" s="1176">
        <v>10</v>
      </c>
      <c r="J424" s="1176" t="s">
        <v>673</v>
      </c>
      <c r="K424" s="1177" t="s">
        <v>674</v>
      </c>
      <c r="L424" s="1178" t="s">
        <v>675</v>
      </c>
      <c r="M424" s="1179">
        <v>18000000</v>
      </c>
      <c r="N424" s="1376" t="s">
        <v>768</v>
      </c>
      <c r="O424" s="1174" t="s">
        <v>767</v>
      </c>
      <c r="P424" s="1207" t="s">
        <v>678</v>
      </c>
      <c r="Q424" s="1163"/>
      <c r="R424" s="1357">
        <v>18000000</v>
      </c>
      <c r="S424" s="1357">
        <v>18000000</v>
      </c>
      <c r="T424" s="1357">
        <f>+Tabla16[[#This Row],[CDPS A 31 JULIO 2022]]-Tabla16[[#This Row],[CDP]]</f>
        <v>0</v>
      </c>
      <c r="U424" s="1357">
        <v>18000000</v>
      </c>
      <c r="V424" s="1357">
        <v>7500000</v>
      </c>
      <c r="W424" s="1357"/>
    </row>
    <row r="425" spans="1:23" s="1207" customFormat="1" ht="45" hidden="1" customHeight="1" x14ac:dyDescent="0.3">
      <c r="A425" s="1355">
        <v>2022440</v>
      </c>
      <c r="B425" s="1172">
        <v>7658</v>
      </c>
      <c r="C425" s="1356" t="s">
        <v>679</v>
      </c>
      <c r="D425" s="1190" t="s">
        <v>692</v>
      </c>
      <c r="E425" s="1174">
        <v>80111600</v>
      </c>
      <c r="F425" s="1379" t="s">
        <v>1087</v>
      </c>
      <c r="G425" s="1380">
        <v>44562</v>
      </c>
      <c r="H425" s="1380">
        <v>44592</v>
      </c>
      <c r="I425" s="1176">
        <v>10</v>
      </c>
      <c r="J425" s="1176" t="s">
        <v>673</v>
      </c>
      <c r="K425" s="1177" t="s">
        <v>674</v>
      </c>
      <c r="L425" s="1178" t="s">
        <v>675</v>
      </c>
      <c r="M425" s="1179">
        <v>24500000</v>
      </c>
      <c r="N425" s="1376" t="s">
        <v>768</v>
      </c>
      <c r="O425" s="1174" t="s">
        <v>767</v>
      </c>
      <c r="P425" s="1207" t="s">
        <v>678</v>
      </c>
      <c r="Q425" s="1163"/>
      <c r="R425" s="1357">
        <v>24500000</v>
      </c>
      <c r="S425" s="1357">
        <v>24500000</v>
      </c>
      <c r="T425" s="1357">
        <f>+Tabla16[[#This Row],[CDPS A 31 JULIO 2022]]-Tabla16[[#This Row],[CDP]]</f>
        <v>0</v>
      </c>
      <c r="U425" s="1357">
        <v>24500000</v>
      </c>
      <c r="V425" s="1357">
        <v>10698333</v>
      </c>
      <c r="W425" s="1357"/>
    </row>
    <row r="426" spans="1:23" s="1207" customFormat="1" ht="45" hidden="1" customHeight="1" x14ac:dyDescent="0.3">
      <c r="A426" s="1355">
        <v>2022441</v>
      </c>
      <c r="B426" s="1172">
        <v>7658</v>
      </c>
      <c r="C426" s="1356" t="s">
        <v>679</v>
      </c>
      <c r="D426" s="1190" t="s">
        <v>692</v>
      </c>
      <c r="E426" s="1174">
        <v>80111600</v>
      </c>
      <c r="F426" s="1379" t="s">
        <v>1087</v>
      </c>
      <c r="G426" s="1380">
        <v>44562</v>
      </c>
      <c r="H426" s="1380">
        <v>44592</v>
      </c>
      <c r="I426" s="1176">
        <v>10</v>
      </c>
      <c r="J426" s="1176" t="s">
        <v>673</v>
      </c>
      <c r="K426" s="1177" t="s">
        <v>674</v>
      </c>
      <c r="L426" s="1178" t="s">
        <v>675</v>
      </c>
      <c r="M426" s="1179">
        <v>28500000</v>
      </c>
      <c r="N426" s="1376" t="s">
        <v>768</v>
      </c>
      <c r="O426" s="1174" t="s">
        <v>767</v>
      </c>
      <c r="P426" s="1207" t="s">
        <v>678</v>
      </c>
      <c r="Q426" s="1163"/>
      <c r="R426" s="1357">
        <v>13300000</v>
      </c>
      <c r="S426" s="1357">
        <v>28500000</v>
      </c>
      <c r="T426" s="1357">
        <f>+Tabla16[[#This Row],[CDPS A 31 JULIO 2022]]-Tabla16[[#This Row],[CDP]]</f>
        <v>-15200000</v>
      </c>
      <c r="U426" s="1357">
        <v>28500000</v>
      </c>
      <c r="V426" s="1357">
        <v>12065000</v>
      </c>
      <c r="W426" s="1357"/>
    </row>
    <row r="427" spans="1:23" s="1207" customFormat="1" ht="45" hidden="1" customHeight="1" x14ac:dyDescent="0.3">
      <c r="A427" s="1355">
        <v>2022442</v>
      </c>
      <c r="B427" s="1172">
        <v>7658</v>
      </c>
      <c r="C427" s="1356" t="s">
        <v>679</v>
      </c>
      <c r="D427" s="1190" t="s">
        <v>692</v>
      </c>
      <c r="E427" s="1174">
        <v>80111600</v>
      </c>
      <c r="F427" s="1379" t="s">
        <v>1088</v>
      </c>
      <c r="G427" s="1380">
        <v>44562</v>
      </c>
      <c r="H427" s="1380">
        <v>44592</v>
      </c>
      <c r="I427" s="1176">
        <v>10</v>
      </c>
      <c r="J427" s="1176" t="s">
        <v>673</v>
      </c>
      <c r="K427" s="1177" t="s">
        <v>674</v>
      </c>
      <c r="L427" s="1178" t="s">
        <v>675</v>
      </c>
      <c r="M427" s="1179">
        <f>56650000-32668167</f>
        <v>23981833</v>
      </c>
      <c r="N427" s="1376" t="s">
        <v>768</v>
      </c>
      <c r="O427" s="1174" t="s">
        <v>767</v>
      </c>
      <c r="P427" s="1207" t="s">
        <v>678</v>
      </c>
      <c r="Q427" s="1163"/>
      <c r="R427" s="1357">
        <v>56650000</v>
      </c>
      <c r="S427" s="1357">
        <v>56650000</v>
      </c>
      <c r="T427" s="1357">
        <f>+Tabla16[[#This Row],[CDPS A 31 JULIO 2022]]-Tabla16[[#This Row],[CDP]]</f>
        <v>0</v>
      </c>
      <c r="U427" s="1357">
        <v>56650000</v>
      </c>
      <c r="V427" s="1357">
        <v>23981833</v>
      </c>
      <c r="W427" s="1357"/>
    </row>
    <row r="428" spans="1:23" s="1207" customFormat="1" ht="45" hidden="1" customHeight="1" x14ac:dyDescent="0.3">
      <c r="A428" s="1355">
        <v>2022443</v>
      </c>
      <c r="B428" s="1172">
        <v>7658</v>
      </c>
      <c r="C428" s="1356" t="s">
        <v>679</v>
      </c>
      <c r="D428" s="1190" t="s">
        <v>692</v>
      </c>
      <c r="E428" s="1174">
        <v>80111600</v>
      </c>
      <c r="F428" s="1379" t="s">
        <v>1089</v>
      </c>
      <c r="G428" s="1380">
        <v>44562</v>
      </c>
      <c r="H428" s="1380">
        <v>44592</v>
      </c>
      <c r="I428" s="1176">
        <v>10</v>
      </c>
      <c r="J428" s="1176" t="s">
        <v>673</v>
      </c>
      <c r="K428" s="1177" t="s">
        <v>674</v>
      </c>
      <c r="L428" s="1178" t="s">
        <v>675</v>
      </c>
      <c r="M428" s="1179">
        <v>46350000</v>
      </c>
      <c r="N428" s="1376" t="s">
        <v>768</v>
      </c>
      <c r="O428" s="1174" t="s">
        <v>767</v>
      </c>
      <c r="P428" s="1207" t="s">
        <v>678</v>
      </c>
      <c r="Q428" s="1163"/>
      <c r="R428" s="1357">
        <v>46350000</v>
      </c>
      <c r="S428" s="1357">
        <v>46350000</v>
      </c>
      <c r="T428" s="1357">
        <f>+Tabla16[[#This Row],[CDPS A 31 JULIO 2022]]-Tabla16[[#This Row],[CDP]]</f>
        <v>0</v>
      </c>
      <c r="U428" s="1357">
        <v>46350000</v>
      </c>
      <c r="V428" s="1357">
        <v>19467000</v>
      </c>
      <c r="W428" s="1357"/>
    </row>
    <row r="429" spans="1:23" s="1207" customFormat="1" ht="45" hidden="1" customHeight="1" x14ac:dyDescent="0.3">
      <c r="A429" s="1355">
        <v>2022444</v>
      </c>
      <c r="B429" s="1172">
        <v>7658</v>
      </c>
      <c r="C429" s="1356" t="s">
        <v>679</v>
      </c>
      <c r="D429" s="1190" t="s">
        <v>692</v>
      </c>
      <c r="E429" s="1174">
        <v>80111600</v>
      </c>
      <c r="F429" s="1379" t="s">
        <v>1089</v>
      </c>
      <c r="G429" s="1380">
        <v>44562</v>
      </c>
      <c r="H429" s="1380">
        <v>44592</v>
      </c>
      <c r="I429" s="1176">
        <v>10</v>
      </c>
      <c r="J429" s="1176" t="s">
        <v>673</v>
      </c>
      <c r="K429" s="1177" t="s">
        <v>674</v>
      </c>
      <c r="L429" s="1178" t="s">
        <v>675</v>
      </c>
      <c r="M429" s="1179">
        <v>45000000</v>
      </c>
      <c r="N429" s="1376" t="s">
        <v>768</v>
      </c>
      <c r="O429" s="1174" t="s">
        <v>767</v>
      </c>
      <c r="P429" s="1207" t="s">
        <v>678</v>
      </c>
      <c r="Q429" s="1163"/>
      <c r="R429" s="1357">
        <v>45000000</v>
      </c>
      <c r="S429" s="1357">
        <v>45000000</v>
      </c>
      <c r="T429" s="1357">
        <f>+Tabla16[[#This Row],[CDPS A 31 JULIO 2022]]-Tabla16[[#This Row],[CDP]]</f>
        <v>0</v>
      </c>
      <c r="U429" s="1357">
        <v>45000000</v>
      </c>
      <c r="V429" s="1357">
        <v>19050000</v>
      </c>
      <c r="W429" s="1357"/>
    </row>
    <row r="430" spans="1:23" s="1207" customFormat="1" ht="45" hidden="1" customHeight="1" x14ac:dyDescent="0.3">
      <c r="A430" s="1355">
        <v>2022445</v>
      </c>
      <c r="B430" s="1172">
        <v>7658</v>
      </c>
      <c r="C430" s="1356" t="s">
        <v>679</v>
      </c>
      <c r="D430" s="1190" t="s">
        <v>692</v>
      </c>
      <c r="E430" s="1174">
        <v>80111600</v>
      </c>
      <c r="F430" s="1379" t="s">
        <v>1090</v>
      </c>
      <c r="G430" s="1380">
        <v>44562</v>
      </c>
      <c r="H430" s="1380">
        <v>44592</v>
      </c>
      <c r="I430" s="1176">
        <v>6</v>
      </c>
      <c r="J430" s="1176" t="s">
        <v>673</v>
      </c>
      <c r="K430" s="1177" t="s">
        <v>674</v>
      </c>
      <c r="L430" s="1178" t="s">
        <v>675</v>
      </c>
      <c r="M430" s="1179">
        <v>27810000</v>
      </c>
      <c r="N430" s="1376" t="s">
        <v>768</v>
      </c>
      <c r="O430" s="1174" t="s">
        <v>767</v>
      </c>
      <c r="P430" s="1207" t="s">
        <v>678</v>
      </c>
      <c r="Q430" s="1163"/>
      <c r="R430" s="1357">
        <v>27810000</v>
      </c>
      <c r="S430" s="1357">
        <v>27810000</v>
      </c>
      <c r="T430" s="1357">
        <f>+Tabla16[[#This Row],[CDPS A 31 JULIO 2022]]-Tabla16[[#This Row],[CDP]]</f>
        <v>0</v>
      </c>
      <c r="U430" s="1357">
        <v>27810000</v>
      </c>
      <c r="V430" s="1357">
        <v>19003500</v>
      </c>
      <c r="W430" s="1357"/>
    </row>
    <row r="431" spans="1:23" s="1207" customFormat="1" ht="45" hidden="1" customHeight="1" x14ac:dyDescent="0.3">
      <c r="A431" s="1355">
        <v>2022446</v>
      </c>
      <c r="B431" s="1172">
        <v>7658</v>
      </c>
      <c r="C431" s="1356" t="s">
        <v>679</v>
      </c>
      <c r="D431" s="1190" t="s">
        <v>692</v>
      </c>
      <c r="E431" s="1174">
        <v>80111600</v>
      </c>
      <c r="F431" s="1379" t="s">
        <v>1090</v>
      </c>
      <c r="G431" s="1380">
        <v>44562</v>
      </c>
      <c r="H431" s="1380">
        <v>44592</v>
      </c>
      <c r="I431" s="1176">
        <v>4</v>
      </c>
      <c r="J431" s="1176" t="s">
        <v>673</v>
      </c>
      <c r="K431" s="1177" t="s">
        <v>674</v>
      </c>
      <c r="L431" s="1178" t="s">
        <v>675</v>
      </c>
      <c r="M431" s="1179">
        <v>18540000</v>
      </c>
      <c r="N431" s="1376" t="s">
        <v>768</v>
      </c>
      <c r="O431" s="1174" t="s">
        <v>767</v>
      </c>
      <c r="P431" s="1207" t="s">
        <v>678</v>
      </c>
      <c r="Q431" s="1163"/>
      <c r="R431" s="1357">
        <v>18540000</v>
      </c>
      <c r="S431" s="1357"/>
      <c r="T431" s="1357">
        <f>+Tabla16[[#This Row],[CDPS A 31 JULIO 2022]]-Tabla16[[#This Row],[CDP]]</f>
        <v>18540000</v>
      </c>
      <c r="U431" s="1357"/>
      <c r="V431" s="1357"/>
      <c r="W431" s="1357"/>
    </row>
    <row r="432" spans="1:23" s="1207" customFormat="1" ht="45" hidden="1" customHeight="1" x14ac:dyDescent="0.3">
      <c r="A432" s="1355">
        <v>2022447</v>
      </c>
      <c r="B432" s="1172">
        <v>7658</v>
      </c>
      <c r="C432" s="1356" t="s">
        <v>679</v>
      </c>
      <c r="D432" s="1190" t="s">
        <v>692</v>
      </c>
      <c r="E432" s="1174">
        <v>80111600</v>
      </c>
      <c r="F432" s="1379" t="s">
        <v>1091</v>
      </c>
      <c r="G432" s="1380">
        <v>44562</v>
      </c>
      <c r="H432" s="1380">
        <v>44592</v>
      </c>
      <c r="I432" s="1176">
        <v>10</v>
      </c>
      <c r="J432" s="1176" t="s">
        <v>673</v>
      </c>
      <c r="K432" s="1177" t="s">
        <v>674</v>
      </c>
      <c r="L432" s="1178" t="s">
        <v>675</v>
      </c>
      <c r="M432" s="1179">
        <v>57000000</v>
      </c>
      <c r="N432" s="1376" t="s">
        <v>768</v>
      </c>
      <c r="O432" s="1174" t="s">
        <v>767</v>
      </c>
      <c r="P432" s="1207" t="s">
        <v>678</v>
      </c>
      <c r="Q432" s="1163"/>
      <c r="R432" s="1357">
        <v>57000000</v>
      </c>
      <c r="S432" s="1357">
        <v>57000000</v>
      </c>
      <c r="T432" s="1357">
        <f>+Tabla16[[#This Row],[CDPS A 31 JULIO 2022]]-Tabla16[[#This Row],[CDP]]</f>
        <v>0</v>
      </c>
      <c r="U432" s="1357">
        <v>57000000</v>
      </c>
      <c r="V432" s="1357">
        <v>24130000</v>
      </c>
      <c r="W432" s="1357"/>
    </row>
    <row r="433" spans="1:23" s="1207" customFormat="1" ht="45" hidden="1" customHeight="1" x14ac:dyDescent="0.3">
      <c r="A433" s="1355">
        <v>2022448</v>
      </c>
      <c r="B433" s="1172">
        <v>7658</v>
      </c>
      <c r="C433" s="1356" t="s">
        <v>679</v>
      </c>
      <c r="D433" s="1190" t="s">
        <v>692</v>
      </c>
      <c r="E433" s="1174">
        <v>80111600</v>
      </c>
      <c r="F433" s="1379" t="s">
        <v>1091</v>
      </c>
      <c r="G433" s="1380">
        <v>44562</v>
      </c>
      <c r="H433" s="1380">
        <v>44592</v>
      </c>
      <c r="I433" s="1176">
        <v>10</v>
      </c>
      <c r="J433" s="1176" t="s">
        <v>673</v>
      </c>
      <c r="K433" s="1177" t="s">
        <v>674</v>
      </c>
      <c r="L433" s="1178" t="s">
        <v>675</v>
      </c>
      <c r="M433" s="1179">
        <v>48500000</v>
      </c>
      <c r="N433" s="1376" t="s">
        <v>768</v>
      </c>
      <c r="O433" s="1174" t="s">
        <v>767</v>
      </c>
      <c r="P433" s="1207" t="s">
        <v>678</v>
      </c>
      <c r="Q433" s="1163"/>
      <c r="R433" s="1357">
        <v>48500000</v>
      </c>
      <c r="S433" s="1357">
        <v>48500000</v>
      </c>
      <c r="T433" s="1357">
        <f>+Tabla16[[#This Row],[CDPS A 31 JULIO 2022]]-Tabla16[[#This Row],[CDP]]</f>
        <v>0</v>
      </c>
      <c r="U433" s="1357">
        <v>48500000</v>
      </c>
      <c r="V433" s="1357">
        <v>21016667</v>
      </c>
      <c r="W433" s="1357"/>
    </row>
    <row r="434" spans="1:23" s="1207" customFormat="1" ht="45" hidden="1" customHeight="1" x14ac:dyDescent="0.3">
      <c r="A434" s="1355">
        <v>2022449</v>
      </c>
      <c r="B434" s="1172">
        <v>7658</v>
      </c>
      <c r="C434" s="1356" t="s">
        <v>679</v>
      </c>
      <c r="D434" s="1190" t="s">
        <v>692</v>
      </c>
      <c r="E434" s="1174">
        <v>80111600</v>
      </c>
      <c r="F434" s="1379" t="s">
        <v>1091</v>
      </c>
      <c r="G434" s="1380">
        <v>44562</v>
      </c>
      <c r="H434" s="1380">
        <v>44592</v>
      </c>
      <c r="I434" s="1176">
        <v>10</v>
      </c>
      <c r="J434" s="1176" t="s">
        <v>673</v>
      </c>
      <c r="K434" s="1177" t="s">
        <v>674</v>
      </c>
      <c r="L434" s="1178" t="s">
        <v>675</v>
      </c>
      <c r="M434" s="1179">
        <v>48500000</v>
      </c>
      <c r="N434" s="1376" t="s">
        <v>768</v>
      </c>
      <c r="O434" s="1174" t="s">
        <v>767</v>
      </c>
      <c r="P434" s="1207" t="s">
        <v>678</v>
      </c>
      <c r="Q434" s="1163"/>
      <c r="R434" s="1357">
        <v>48500000</v>
      </c>
      <c r="S434" s="1357">
        <v>48500000</v>
      </c>
      <c r="T434" s="1357">
        <f>+Tabla16[[#This Row],[CDPS A 31 JULIO 2022]]-Tabla16[[#This Row],[CDP]]</f>
        <v>0</v>
      </c>
      <c r="U434" s="1357">
        <v>48500000</v>
      </c>
      <c r="V434" s="1357">
        <v>20531667</v>
      </c>
      <c r="W434" s="1357"/>
    </row>
    <row r="435" spans="1:23" s="1207" customFormat="1" ht="45" hidden="1" customHeight="1" x14ac:dyDescent="0.3">
      <c r="A435" s="1355">
        <v>2022450</v>
      </c>
      <c r="B435" s="1172">
        <v>7658</v>
      </c>
      <c r="C435" s="1356" t="s">
        <v>679</v>
      </c>
      <c r="D435" s="1190" t="s">
        <v>692</v>
      </c>
      <c r="E435" s="1174">
        <v>80111600</v>
      </c>
      <c r="F435" s="1379" t="s">
        <v>1092</v>
      </c>
      <c r="G435" s="1380">
        <v>44562</v>
      </c>
      <c r="H435" s="1380">
        <v>44592</v>
      </c>
      <c r="I435" s="1176">
        <v>10</v>
      </c>
      <c r="J435" s="1176" t="s">
        <v>673</v>
      </c>
      <c r="K435" s="1177" t="s">
        <v>674</v>
      </c>
      <c r="L435" s="1178" t="s">
        <v>675</v>
      </c>
      <c r="M435" s="1179">
        <f>48500000-19400000</f>
        <v>29100000</v>
      </c>
      <c r="N435" s="1376" t="s">
        <v>768</v>
      </c>
      <c r="O435" s="1174" t="s">
        <v>767</v>
      </c>
      <c r="P435" s="1207" t="s">
        <v>678</v>
      </c>
      <c r="Q435" s="1163"/>
      <c r="R435" s="1357">
        <v>29100000</v>
      </c>
      <c r="S435" s="1357">
        <v>29100000</v>
      </c>
      <c r="T435" s="1357">
        <f>+Tabla16[[#This Row],[CDPS A 31 JULIO 2022]]-Tabla16[[#This Row],[CDP]]</f>
        <v>0</v>
      </c>
      <c r="U435" s="1357">
        <v>29100000</v>
      </c>
      <c r="V435" s="1357">
        <v>19400000</v>
      </c>
      <c r="W435" s="1357"/>
    </row>
    <row r="436" spans="1:23" s="1207" customFormat="1" ht="45" hidden="1" customHeight="1" x14ac:dyDescent="0.3">
      <c r="A436" s="1355">
        <v>2022451</v>
      </c>
      <c r="B436" s="1172">
        <v>7658</v>
      </c>
      <c r="C436" s="1356" t="s">
        <v>679</v>
      </c>
      <c r="D436" s="1190" t="s">
        <v>692</v>
      </c>
      <c r="E436" s="1174">
        <v>80111600</v>
      </c>
      <c r="F436" s="1379" t="s">
        <v>1092</v>
      </c>
      <c r="G436" s="1380">
        <v>44562</v>
      </c>
      <c r="H436" s="1380">
        <v>44592</v>
      </c>
      <c r="I436" s="1176">
        <v>10</v>
      </c>
      <c r="J436" s="1176" t="s">
        <v>673</v>
      </c>
      <c r="K436" s="1177" t="s">
        <v>674</v>
      </c>
      <c r="L436" s="1178" t="s">
        <v>675</v>
      </c>
      <c r="M436" s="1179">
        <f>35000000-14000000</f>
        <v>21000000</v>
      </c>
      <c r="N436" s="1376" t="s">
        <v>768</v>
      </c>
      <c r="O436" s="1174" t="s">
        <v>767</v>
      </c>
      <c r="P436" s="1207" t="s">
        <v>678</v>
      </c>
      <c r="Q436" s="1163"/>
      <c r="R436" s="1357">
        <v>21000000</v>
      </c>
      <c r="S436" s="1357">
        <v>21000000</v>
      </c>
      <c r="T436" s="1357">
        <f>+Tabla16[[#This Row],[CDPS A 31 JULIO 2022]]-Tabla16[[#This Row],[CDP]]</f>
        <v>0</v>
      </c>
      <c r="U436" s="1357">
        <v>21000000</v>
      </c>
      <c r="V436" s="1357">
        <v>14466667</v>
      </c>
      <c r="W436" s="1357"/>
    </row>
    <row r="437" spans="1:23" s="1207" customFormat="1" ht="45" hidden="1" customHeight="1" x14ac:dyDescent="0.3">
      <c r="A437" s="1355">
        <v>2022452</v>
      </c>
      <c r="B437" s="1172">
        <v>7658</v>
      </c>
      <c r="C437" s="1356" t="s">
        <v>679</v>
      </c>
      <c r="D437" s="1190" t="s">
        <v>692</v>
      </c>
      <c r="E437" s="1174">
        <v>80111600</v>
      </c>
      <c r="F437" s="1379" t="s">
        <v>1091</v>
      </c>
      <c r="G437" s="1380">
        <v>44562</v>
      </c>
      <c r="H437" s="1380">
        <v>44592</v>
      </c>
      <c r="I437" s="1176">
        <v>6</v>
      </c>
      <c r="J437" s="1176" t="s">
        <v>673</v>
      </c>
      <c r="K437" s="1177" t="s">
        <v>674</v>
      </c>
      <c r="L437" s="1178" t="s">
        <v>675</v>
      </c>
      <c r="M437" s="1179">
        <v>29100000</v>
      </c>
      <c r="N437" s="1376" t="s">
        <v>768</v>
      </c>
      <c r="O437" s="1174" t="s">
        <v>767</v>
      </c>
      <c r="P437" s="1207" t="s">
        <v>678</v>
      </c>
      <c r="Q437" s="1163"/>
      <c r="R437" s="1357">
        <v>29100000</v>
      </c>
      <c r="S437" s="1357">
        <v>29100000</v>
      </c>
      <c r="T437" s="1357">
        <f>+Tabla16[[#This Row],[CDPS A 31 JULIO 2022]]-Tabla16[[#This Row],[CDP]]</f>
        <v>0</v>
      </c>
      <c r="U437" s="1357">
        <v>29100000</v>
      </c>
      <c r="V437" s="1357">
        <v>20370000</v>
      </c>
      <c r="W437" s="1357"/>
    </row>
    <row r="438" spans="1:23" s="1207" customFormat="1" ht="45" hidden="1" customHeight="1" x14ac:dyDescent="0.3">
      <c r="A438" s="1355">
        <v>2022453</v>
      </c>
      <c r="B438" s="1172">
        <v>7658</v>
      </c>
      <c r="C438" s="1356" t="s">
        <v>679</v>
      </c>
      <c r="D438" s="1190" t="s">
        <v>692</v>
      </c>
      <c r="E438" s="1174">
        <v>80111600</v>
      </c>
      <c r="F438" s="1379" t="s">
        <v>1091</v>
      </c>
      <c r="G438" s="1380">
        <v>44562</v>
      </c>
      <c r="H438" s="1380">
        <v>44592</v>
      </c>
      <c r="I438" s="1176">
        <v>4</v>
      </c>
      <c r="J438" s="1176" t="s">
        <v>673</v>
      </c>
      <c r="K438" s="1177" t="s">
        <v>674</v>
      </c>
      <c r="L438" s="1178" t="s">
        <v>675</v>
      </c>
      <c r="M438" s="1179">
        <v>19400000</v>
      </c>
      <c r="N438" s="1376" t="s">
        <v>768</v>
      </c>
      <c r="O438" s="1174" t="s">
        <v>767</v>
      </c>
      <c r="P438" s="1207" t="s">
        <v>678</v>
      </c>
      <c r="Q438" s="1163"/>
      <c r="R438" s="1357">
        <v>19400000</v>
      </c>
      <c r="S438" s="1357"/>
      <c r="T438" s="1357">
        <f>+Tabla16[[#This Row],[CDPS A 31 JULIO 2022]]-Tabla16[[#This Row],[CDP]]</f>
        <v>19400000</v>
      </c>
      <c r="U438" s="1357"/>
      <c r="V438" s="1357"/>
      <c r="W438" s="1357" t="s">
        <v>1073</v>
      </c>
    </row>
    <row r="439" spans="1:23" s="1207" customFormat="1" ht="45" hidden="1" customHeight="1" x14ac:dyDescent="0.3">
      <c r="A439" s="1355">
        <v>2022454</v>
      </c>
      <c r="B439" s="1172">
        <v>7658</v>
      </c>
      <c r="C439" s="1356" t="s">
        <v>679</v>
      </c>
      <c r="D439" s="1190" t="s">
        <v>692</v>
      </c>
      <c r="E439" s="1174">
        <v>80111600</v>
      </c>
      <c r="F439" s="1379" t="s">
        <v>1093</v>
      </c>
      <c r="G439" s="1380">
        <v>44562</v>
      </c>
      <c r="H439" s="1380">
        <v>44592</v>
      </c>
      <c r="I439" s="1176">
        <v>10</v>
      </c>
      <c r="J439" s="1176" t="s">
        <v>673</v>
      </c>
      <c r="K439" s="1177" t="s">
        <v>674</v>
      </c>
      <c r="L439" s="1178" t="s">
        <v>675</v>
      </c>
      <c r="M439" s="1179">
        <v>55000000</v>
      </c>
      <c r="N439" s="1376" t="s">
        <v>768</v>
      </c>
      <c r="O439" s="1174" t="s">
        <v>767</v>
      </c>
      <c r="P439" s="1207" t="s">
        <v>678</v>
      </c>
      <c r="Q439" s="1163"/>
      <c r="R439" s="1357">
        <v>55000000</v>
      </c>
      <c r="S439" s="1357">
        <v>55000000</v>
      </c>
      <c r="T439" s="1357">
        <f>+Tabla16[[#This Row],[CDPS A 31 JULIO 2022]]-Tabla16[[#This Row],[CDP]]</f>
        <v>0</v>
      </c>
      <c r="U439" s="1357">
        <v>55000000</v>
      </c>
      <c r="V439" s="1357">
        <v>23100000</v>
      </c>
      <c r="W439" s="1357"/>
    </row>
    <row r="440" spans="1:23" s="1207" customFormat="1" ht="45" hidden="1" customHeight="1" x14ac:dyDescent="0.3">
      <c r="A440" s="1355">
        <v>2022455</v>
      </c>
      <c r="B440" s="1172">
        <v>7658</v>
      </c>
      <c r="C440" s="1356" t="s">
        <v>679</v>
      </c>
      <c r="D440" s="1190" t="s">
        <v>692</v>
      </c>
      <c r="E440" s="1174">
        <v>80111600</v>
      </c>
      <c r="F440" s="1379" t="s">
        <v>1093</v>
      </c>
      <c r="G440" s="1380">
        <v>44562</v>
      </c>
      <c r="H440" s="1380">
        <v>44592</v>
      </c>
      <c r="I440" s="1176">
        <v>10</v>
      </c>
      <c r="J440" s="1176" t="s">
        <v>673</v>
      </c>
      <c r="K440" s="1177" t="s">
        <v>674</v>
      </c>
      <c r="L440" s="1178" t="s">
        <v>675</v>
      </c>
      <c r="M440" s="1179">
        <v>55000000</v>
      </c>
      <c r="N440" s="1376" t="s">
        <v>768</v>
      </c>
      <c r="O440" s="1174" t="s">
        <v>767</v>
      </c>
      <c r="P440" s="1207" t="s">
        <v>678</v>
      </c>
      <c r="Q440" s="1163"/>
      <c r="R440" s="1357">
        <v>55000000</v>
      </c>
      <c r="S440" s="1357">
        <v>55000000</v>
      </c>
      <c r="T440" s="1357">
        <f>+Tabla16[[#This Row],[CDPS A 31 JULIO 2022]]-Tabla16[[#This Row],[CDP]]</f>
        <v>0</v>
      </c>
      <c r="U440" s="1357">
        <v>55000000</v>
      </c>
      <c r="V440" s="1357">
        <v>23100000</v>
      </c>
      <c r="W440" s="1357"/>
    </row>
    <row r="441" spans="1:23" s="1207" customFormat="1" ht="45" hidden="1" customHeight="1" x14ac:dyDescent="0.3">
      <c r="A441" s="1355">
        <v>2022456</v>
      </c>
      <c r="B441" s="1172">
        <v>7658</v>
      </c>
      <c r="C441" s="1356" t="s">
        <v>679</v>
      </c>
      <c r="D441" s="1190" t="s">
        <v>692</v>
      </c>
      <c r="E441" s="1174">
        <v>80111600</v>
      </c>
      <c r="F441" s="1379" t="s">
        <v>1093</v>
      </c>
      <c r="G441" s="1380">
        <v>44562</v>
      </c>
      <c r="H441" s="1380">
        <v>44592</v>
      </c>
      <c r="I441" s="1176">
        <v>6</v>
      </c>
      <c r="J441" s="1176" t="s">
        <v>673</v>
      </c>
      <c r="K441" s="1177" t="s">
        <v>674</v>
      </c>
      <c r="L441" s="1178" t="s">
        <v>675</v>
      </c>
      <c r="M441" s="1179">
        <v>29100000</v>
      </c>
      <c r="N441" s="1376" t="s">
        <v>768</v>
      </c>
      <c r="O441" s="1174" t="s">
        <v>767</v>
      </c>
      <c r="P441" s="1207" t="s">
        <v>678</v>
      </c>
      <c r="Q441" s="1163"/>
      <c r="R441" s="1357">
        <v>29100000</v>
      </c>
      <c r="S441" s="1357">
        <v>29100000</v>
      </c>
      <c r="T441" s="1357">
        <f>+Tabla16[[#This Row],[CDPS A 31 JULIO 2022]]-Tabla16[[#This Row],[CDP]]</f>
        <v>0</v>
      </c>
      <c r="U441" s="1357">
        <v>29100000</v>
      </c>
      <c r="V441" s="1357">
        <v>20046667</v>
      </c>
      <c r="W441" s="1357"/>
    </row>
    <row r="442" spans="1:23" s="1207" customFormat="1" ht="45" hidden="1" customHeight="1" x14ac:dyDescent="0.3">
      <c r="A442" s="1355">
        <v>2022457</v>
      </c>
      <c r="B442" s="1172">
        <v>7658</v>
      </c>
      <c r="C442" s="1356" t="s">
        <v>679</v>
      </c>
      <c r="D442" s="1190" t="s">
        <v>692</v>
      </c>
      <c r="E442" s="1174">
        <v>80111600</v>
      </c>
      <c r="F442" s="1379" t="s">
        <v>1093</v>
      </c>
      <c r="G442" s="1380">
        <v>44562</v>
      </c>
      <c r="H442" s="1380">
        <v>44592</v>
      </c>
      <c r="I442" s="1176">
        <v>4</v>
      </c>
      <c r="J442" s="1176" t="s">
        <v>673</v>
      </c>
      <c r="K442" s="1177" t="s">
        <v>674</v>
      </c>
      <c r="L442" s="1178" t="s">
        <v>675</v>
      </c>
      <c r="M442" s="1179">
        <f>19400000+600000</f>
        <v>20000000</v>
      </c>
      <c r="N442" s="1376" t="s">
        <v>768</v>
      </c>
      <c r="O442" s="1174" t="s">
        <v>767</v>
      </c>
      <c r="P442" s="1207" t="s">
        <v>678</v>
      </c>
      <c r="Q442" s="1163"/>
      <c r="R442" s="1357">
        <v>19400000</v>
      </c>
      <c r="S442" s="1357"/>
      <c r="T442" s="1357">
        <f>+Tabla16[[#This Row],[CDPS A 31 JULIO 2022]]-Tabla16[[#This Row],[CDP]]</f>
        <v>19400000</v>
      </c>
      <c r="U442" s="1357"/>
      <c r="V442" s="1357"/>
      <c r="W442" s="1357"/>
    </row>
    <row r="443" spans="1:23" s="1207" customFormat="1" ht="45" hidden="1" customHeight="1" x14ac:dyDescent="0.3">
      <c r="A443" s="1355">
        <v>2022458</v>
      </c>
      <c r="B443" s="1172">
        <v>7658</v>
      </c>
      <c r="C443" s="1356" t="s">
        <v>679</v>
      </c>
      <c r="D443" s="1190" t="s">
        <v>692</v>
      </c>
      <c r="E443" s="1174">
        <v>80111600</v>
      </c>
      <c r="F443" s="1379" t="s">
        <v>1093</v>
      </c>
      <c r="G443" s="1380">
        <v>44562</v>
      </c>
      <c r="H443" s="1380">
        <v>44592</v>
      </c>
      <c r="I443" s="1176">
        <v>10</v>
      </c>
      <c r="J443" s="1176" t="s">
        <v>673</v>
      </c>
      <c r="K443" s="1177" t="s">
        <v>674</v>
      </c>
      <c r="L443" s="1178" t="s">
        <v>675</v>
      </c>
      <c r="M443" s="1179">
        <v>48500000</v>
      </c>
      <c r="N443" s="1376" t="s">
        <v>768</v>
      </c>
      <c r="O443" s="1174" t="s">
        <v>767</v>
      </c>
      <c r="P443" s="1207" t="s">
        <v>678</v>
      </c>
      <c r="Q443" s="1163"/>
      <c r="R443" s="1357">
        <v>48500000</v>
      </c>
      <c r="S443" s="1357">
        <v>48500000</v>
      </c>
      <c r="T443" s="1357">
        <f>+Tabla16[[#This Row],[CDPS A 31 JULIO 2022]]-Tabla16[[#This Row],[CDP]]</f>
        <v>0</v>
      </c>
      <c r="U443" s="1357">
        <v>48500000</v>
      </c>
      <c r="V443" s="1357">
        <v>20208333</v>
      </c>
      <c r="W443" s="1357"/>
    </row>
    <row r="444" spans="1:23" s="1207" customFormat="1" ht="45" hidden="1" customHeight="1" x14ac:dyDescent="0.3">
      <c r="A444" s="1355">
        <v>2022459</v>
      </c>
      <c r="B444" s="1172">
        <v>7658</v>
      </c>
      <c r="C444" s="1356" t="s">
        <v>679</v>
      </c>
      <c r="D444" s="1190" t="s">
        <v>692</v>
      </c>
      <c r="E444" s="1174">
        <v>80111600</v>
      </c>
      <c r="F444" s="1379" t="s">
        <v>1093</v>
      </c>
      <c r="G444" s="1380">
        <v>44562</v>
      </c>
      <c r="H444" s="1380">
        <v>44592</v>
      </c>
      <c r="I444" s="1176">
        <v>6</v>
      </c>
      <c r="J444" s="1176" t="s">
        <v>673</v>
      </c>
      <c r="K444" s="1177" t="s">
        <v>674</v>
      </c>
      <c r="L444" s="1178" t="s">
        <v>675</v>
      </c>
      <c r="M444" s="1179">
        <v>29100000</v>
      </c>
      <c r="N444" s="1376" t="s">
        <v>768</v>
      </c>
      <c r="O444" s="1174" t="s">
        <v>767</v>
      </c>
      <c r="P444" s="1207" t="s">
        <v>678</v>
      </c>
      <c r="Q444" s="1163"/>
      <c r="R444" s="1357">
        <v>29100000</v>
      </c>
      <c r="S444" s="1357">
        <v>29100000</v>
      </c>
      <c r="T444" s="1357">
        <f>+Tabla16[[#This Row],[CDPS A 31 JULIO 2022]]-Tabla16[[#This Row],[CDP]]</f>
        <v>0</v>
      </c>
      <c r="U444" s="1357">
        <v>29100000</v>
      </c>
      <c r="V444" s="1357">
        <v>19400000</v>
      </c>
      <c r="W444" s="1357"/>
    </row>
    <row r="445" spans="1:23" s="1207" customFormat="1" ht="45" hidden="1" customHeight="1" x14ac:dyDescent="0.3">
      <c r="A445" s="1355">
        <v>2022460</v>
      </c>
      <c r="B445" s="1172">
        <v>7658</v>
      </c>
      <c r="C445" s="1356" t="s">
        <v>679</v>
      </c>
      <c r="D445" s="1190" t="s">
        <v>692</v>
      </c>
      <c r="E445" s="1174">
        <v>80111600</v>
      </c>
      <c r="F445" s="1379" t="s">
        <v>1093</v>
      </c>
      <c r="G445" s="1380">
        <v>44562</v>
      </c>
      <c r="H445" s="1380">
        <v>44592</v>
      </c>
      <c r="I445" s="1176">
        <v>4</v>
      </c>
      <c r="J445" s="1176" t="s">
        <v>673</v>
      </c>
      <c r="K445" s="1177" t="s">
        <v>674</v>
      </c>
      <c r="L445" s="1178" t="s">
        <v>675</v>
      </c>
      <c r="M445" s="1179">
        <v>19400000</v>
      </c>
      <c r="N445" s="1376" t="s">
        <v>768</v>
      </c>
      <c r="O445" s="1174" t="s">
        <v>767</v>
      </c>
      <c r="P445" s="1207" t="s">
        <v>678</v>
      </c>
      <c r="Q445" s="1163"/>
      <c r="R445" s="1269">
        <v>0</v>
      </c>
      <c r="S445" s="1357"/>
      <c r="T445" s="1357">
        <f>+Tabla16[[#This Row],[CDPS A 31 JULIO 2022]]-Tabla16[[#This Row],[CDP]]</f>
        <v>0</v>
      </c>
      <c r="U445" s="1357"/>
      <c r="V445" s="1357"/>
      <c r="W445" s="1357"/>
    </row>
    <row r="446" spans="1:23" s="1207" customFormat="1" ht="45" hidden="1" customHeight="1" x14ac:dyDescent="0.3">
      <c r="A446" s="1355">
        <v>2022461</v>
      </c>
      <c r="B446" s="1172">
        <v>7658</v>
      </c>
      <c r="C446" s="1356" t="s">
        <v>679</v>
      </c>
      <c r="D446" s="1190" t="s">
        <v>692</v>
      </c>
      <c r="E446" s="1174">
        <v>80111600</v>
      </c>
      <c r="F446" s="1379" t="s">
        <v>1093</v>
      </c>
      <c r="G446" s="1380">
        <v>44562</v>
      </c>
      <c r="H446" s="1380">
        <v>44592</v>
      </c>
      <c r="I446" s="1176">
        <v>10</v>
      </c>
      <c r="J446" s="1176" t="s">
        <v>673</v>
      </c>
      <c r="K446" s="1177" t="s">
        <v>674</v>
      </c>
      <c r="L446" s="1178" t="s">
        <v>675</v>
      </c>
      <c r="M446" s="1179">
        <v>45000000</v>
      </c>
      <c r="N446" s="1376" t="s">
        <v>768</v>
      </c>
      <c r="O446" s="1174" t="s">
        <v>767</v>
      </c>
      <c r="P446" s="1207" t="s">
        <v>678</v>
      </c>
      <c r="Q446" s="1163"/>
      <c r="R446" s="1357">
        <v>45000000</v>
      </c>
      <c r="S446" s="1357">
        <v>45000000</v>
      </c>
      <c r="T446" s="1357">
        <f>+Tabla16[[#This Row],[CDPS A 31 JULIO 2022]]-Tabla16[[#This Row],[CDP]]</f>
        <v>0</v>
      </c>
      <c r="U446" s="1357">
        <v>45000000</v>
      </c>
      <c r="V446" s="1357">
        <v>18000000</v>
      </c>
      <c r="W446" s="1357"/>
    </row>
    <row r="447" spans="1:23" s="1207" customFormat="1" ht="45" hidden="1" customHeight="1" x14ac:dyDescent="0.3">
      <c r="A447" s="1355">
        <v>2022462</v>
      </c>
      <c r="B447" s="1172">
        <v>7658</v>
      </c>
      <c r="C447" s="1356" t="s">
        <v>679</v>
      </c>
      <c r="D447" s="1190" t="s">
        <v>692</v>
      </c>
      <c r="E447" s="1174">
        <v>80111600</v>
      </c>
      <c r="F447" s="1379" t="s">
        <v>1094</v>
      </c>
      <c r="G447" s="1380">
        <v>44562</v>
      </c>
      <c r="H447" s="1380">
        <v>44592</v>
      </c>
      <c r="I447" s="1176">
        <v>6</v>
      </c>
      <c r="J447" s="1176" t="s">
        <v>673</v>
      </c>
      <c r="K447" s="1177" t="s">
        <v>674</v>
      </c>
      <c r="L447" s="1178" t="s">
        <v>675</v>
      </c>
      <c r="M447" s="1179">
        <f>16500000-1800000</f>
        <v>14700000</v>
      </c>
      <c r="N447" s="1376" t="s">
        <v>768</v>
      </c>
      <c r="O447" s="1174" t="s">
        <v>767</v>
      </c>
      <c r="P447" s="1207" t="s">
        <v>678</v>
      </c>
      <c r="Q447" s="1163"/>
      <c r="R447" s="1357">
        <v>14700000</v>
      </c>
      <c r="S447" s="1357">
        <v>14700000</v>
      </c>
      <c r="T447" s="1357">
        <f>+Tabla16[[#This Row],[CDPS A 31 JULIO 2022]]-Tabla16[[#This Row],[CDP]]</f>
        <v>0</v>
      </c>
      <c r="U447" s="1357">
        <v>14700000</v>
      </c>
      <c r="V447" s="1357">
        <v>9800000</v>
      </c>
      <c r="W447" s="1357"/>
    </row>
    <row r="448" spans="1:23" s="1207" customFormat="1" ht="45" customHeight="1" x14ac:dyDescent="0.3">
      <c r="A448" s="1398">
        <v>2022463</v>
      </c>
      <c r="B448" s="1399">
        <v>7658</v>
      </c>
      <c r="C448" s="1400" t="s">
        <v>679</v>
      </c>
      <c r="D448" s="1401" t="s">
        <v>692</v>
      </c>
      <c r="E448" s="1402">
        <v>80111600</v>
      </c>
      <c r="F448" s="1403" t="s">
        <v>1094</v>
      </c>
      <c r="G448" s="1404">
        <v>44562</v>
      </c>
      <c r="H448" s="1404">
        <v>44592</v>
      </c>
      <c r="I448" s="1405">
        <v>4</v>
      </c>
      <c r="J448" s="1405" t="s">
        <v>673</v>
      </c>
      <c r="K448" s="1406" t="s">
        <v>674</v>
      </c>
      <c r="L448" s="1407" t="s">
        <v>675</v>
      </c>
      <c r="M448" s="1408">
        <f>11000000-1200000</f>
        <v>9800000</v>
      </c>
      <c r="N448" s="1409" t="s">
        <v>768</v>
      </c>
      <c r="O448" s="1402" t="s">
        <v>767</v>
      </c>
      <c r="P448" s="1410" t="s">
        <v>678</v>
      </c>
      <c r="Q448" s="1163"/>
      <c r="R448" s="1357">
        <v>11000000</v>
      </c>
      <c r="S448" s="1357"/>
      <c r="T448" s="1357">
        <f>+Tabla16[[#This Row],[CDPS A 31 JULIO 2022]]-Tabla16[[#This Row],[CDP]]</f>
        <v>11000000</v>
      </c>
      <c r="U448" s="1357"/>
      <c r="V448" s="1357"/>
      <c r="W448" s="1357"/>
    </row>
    <row r="449" spans="1:23" s="1207" customFormat="1" ht="45" hidden="1" customHeight="1" x14ac:dyDescent="0.3">
      <c r="A449" s="1355">
        <v>2022464</v>
      </c>
      <c r="B449" s="1172">
        <v>7658</v>
      </c>
      <c r="C449" s="1356" t="s">
        <v>679</v>
      </c>
      <c r="D449" s="1190" t="s">
        <v>692</v>
      </c>
      <c r="E449" s="1174">
        <v>80111600</v>
      </c>
      <c r="F449" s="1379" t="s">
        <v>1095</v>
      </c>
      <c r="G449" s="1380">
        <v>44562</v>
      </c>
      <c r="H449" s="1380">
        <v>44592</v>
      </c>
      <c r="I449" s="1176">
        <v>10</v>
      </c>
      <c r="J449" s="1176" t="s">
        <v>673</v>
      </c>
      <c r="K449" s="1177" t="s">
        <v>674</v>
      </c>
      <c r="L449" s="1178" t="s">
        <v>675</v>
      </c>
      <c r="M449" s="1179">
        <f>50000000-20000000</f>
        <v>30000000</v>
      </c>
      <c r="N449" s="1376" t="s">
        <v>768</v>
      </c>
      <c r="O449" s="1174" t="s">
        <v>767</v>
      </c>
      <c r="P449" s="1207" t="s">
        <v>678</v>
      </c>
      <c r="Q449" s="1163"/>
      <c r="R449" s="1357">
        <v>30000000</v>
      </c>
      <c r="S449" s="1357">
        <v>30000000</v>
      </c>
      <c r="T449" s="1357">
        <f>+Tabla16[[#This Row],[CDPS A 31 JULIO 2022]]-Tabla16[[#This Row],[CDP]]</f>
        <v>0</v>
      </c>
      <c r="U449" s="1357">
        <v>30000000</v>
      </c>
      <c r="V449" s="1357">
        <v>25666667</v>
      </c>
      <c r="W449" s="1357"/>
    </row>
    <row r="450" spans="1:23" s="1207" customFormat="1" ht="45" hidden="1" customHeight="1" x14ac:dyDescent="0.3">
      <c r="A450" s="1355">
        <v>2022465</v>
      </c>
      <c r="B450" s="1172">
        <v>7658</v>
      </c>
      <c r="C450" s="1356" t="s">
        <v>679</v>
      </c>
      <c r="D450" s="1190" t="s">
        <v>692</v>
      </c>
      <c r="E450" s="1174">
        <v>80111600</v>
      </c>
      <c r="F450" s="1379" t="s">
        <v>1096</v>
      </c>
      <c r="G450" s="1380">
        <v>44562</v>
      </c>
      <c r="H450" s="1380">
        <v>44592</v>
      </c>
      <c r="I450" s="1176">
        <v>10</v>
      </c>
      <c r="J450" s="1176" t="s">
        <v>673</v>
      </c>
      <c r="K450" s="1177" t="s">
        <v>674</v>
      </c>
      <c r="L450" s="1178" t="s">
        <v>675</v>
      </c>
      <c r="M450" s="1179">
        <v>48500000</v>
      </c>
      <c r="N450" s="1376" t="s">
        <v>768</v>
      </c>
      <c r="O450" s="1174" t="s">
        <v>767</v>
      </c>
      <c r="P450" s="1207" t="s">
        <v>678</v>
      </c>
      <c r="Q450" s="1163"/>
      <c r="R450" s="1357">
        <v>48500000</v>
      </c>
      <c r="S450" s="1357">
        <v>48500000</v>
      </c>
      <c r="T450" s="1357">
        <f>+Tabla16[[#This Row],[CDPS A 31 JULIO 2022]]-Tabla16[[#This Row],[CDP]]</f>
        <v>0</v>
      </c>
      <c r="U450" s="1357">
        <v>48500000</v>
      </c>
      <c r="V450" s="1357">
        <v>21340000</v>
      </c>
      <c r="W450" s="1357"/>
    </row>
    <row r="451" spans="1:23" s="1207" customFormat="1" ht="45" hidden="1" customHeight="1" x14ac:dyDescent="0.3">
      <c r="A451" s="1355">
        <v>2022466</v>
      </c>
      <c r="B451" s="1172">
        <v>7658</v>
      </c>
      <c r="C451" s="1356" t="s">
        <v>679</v>
      </c>
      <c r="D451" s="1190" t="s">
        <v>692</v>
      </c>
      <c r="E451" s="1174">
        <v>80111600</v>
      </c>
      <c r="F451" s="1379" t="s">
        <v>1097</v>
      </c>
      <c r="G451" s="1380">
        <v>44562</v>
      </c>
      <c r="H451" s="1380">
        <v>44592</v>
      </c>
      <c r="I451" s="1176">
        <v>10</v>
      </c>
      <c r="J451" s="1176" t="s">
        <v>673</v>
      </c>
      <c r="K451" s="1177" t="s">
        <v>674</v>
      </c>
      <c r="L451" s="1178" t="s">
        <v>675</v>
      </c>
      <c r="M451" s="1179">
        <v>33500000</v>
      </c>
      <c r="N451" s="1376" t="s">
        <v>768</v>
      </c>
      <c r="O451" s="1174" t="s">
        <v>767</v>
      </c>
      <c r="P451" s="1207" t="s">
        <v>678</v>
      </c>
      <c r="Q451" s="1163"/>
      <c r="R451" s="1357">
        <v>33500000</v>
      </c>
      <c r="S451" s="1357">
        <v>33500000</v>
      </c>
      <c r="T451" s="1357">
        <f>+Tabla16[[#This Row],[CDPS A 31 JULIO 2022]]-Tabla16[[#This Row],[CDP]]</f>
        <v>0</v>
      </c>
      <c r="U451" s="1357">
        <v>33500000</v>
      </c>
      <c r="V451" s="1357">
        <v>14628333</v>
      </c>
      <c r="W451" s="1357"/>
    </row>
    <row r="452" spans="1:23" s="1207" customFormat="1" ht="45" hidden="1" customHeight="1" x14ac:dyDescent="0.3">
      <c r="A452" s="1355">
        <v>2022467</v>
      </c>
      <c r="B452" s="1172">
        <v>7658</v>
      </c>
      <c r="C452" s="1356" t="s">
        <v>679</v>
      </c>
      <c r="D452" s="1190" t="s">
        <v>692</v>
      </c>
      <c r="E452" s="1174">
        <v>80111600</v>
      </c>
      <c r="F452" s="1379" t="s">
        <v>1098</v>
      </c>
      <c r="G452" s="1380">
        <v>44562</v>
      </c>
      <c r="H452" s="1380">
        <v>44592</v>
      </c>
      <c r="I452" s="1176">
        <v>10</v>
      </c>
      <c r="J452" s="1176" t="s">
        <v>673</v>
      </c>
      <c r="K452" s="1177" t="s">
        <v>674</v>
      </c>
      <c r="L452" s="1178" t="s">
        <v>675</v>
      </c>
      <c r="M452" s="1179">
        <f>48500000-29100000</f>
        <v>19400000</v>
      </c>
      <c r="N452" s="1376" t="s">
        <v>768</v>
      </c>
      <c r="O452" s="1174" t="s">
        <v>767</v>
      </c>
      <c r="P452" s="1207" t="s">
        <v>678</v>
      </c>
      <c r="Q452" s="1163"/>
      <c r="R452" s="1357">
        <v>19400000</v>
      </c>
      <c r="S452" s="1357">
        <v>19400000</v>
      </c>
      <c r="T452" s="1357">
        <f>+Tabla16[[#This Row],[CDPS A 31 JULIO 2022]]-Tabla16[[#This Row],[CDP]]</f>
        <v>0</v>
      </c>
      <c r="U452" s="1357">
        <v>19400000</v>
      </c>
      <c r="V452" s="1357">
        <v>19400000</v>
      </c>
      <c r="W452" s="1357"/>
    </row>
    <row r="453" spans="1:23" s="1207" customFormat="1" ht="45" customHeight="1" x14ac:dyDescent="0.3">
      <c r="A453" s="1398">
        <v>2022468</v>
      </c>
      <c r="B453" s="1399">
        <v>7658</v>
      </c>
      <c r="C453" s="1400" t="s">
        <v>679</v>
      </c>
      <c r="D453" s="1401" t="s">
        <v>692</v>
      </c>
      <c r="E453" s="1402">
        <v>80111600</v>
      </c>
      <c r="F453" s="1403" t="s">
        <v>1099</v>
      </c>
      <c r="G453" s="1404">
        <v>44562</v>
      </c>
      <c r="H453" s="1404">
        <v>44592</v>
      </c>
      <c r="I453" s="1405">
        <v>4</v>
      </c>
      <c r="J453" s="1405" t="s">
        <v>673</v>
      </c>
      <c r="K453" s="1406" t="s">
        <v>674</v>
      </c>
      <c r="L453" s="1407" t="s">
        <v>675</v>
      </c>
      <c r="M453" s="1408">
        <f>19400000-150000</f>
        <v>19250000</v>
      </c>
      <c r="N453" s="1409" t="s">
        <v>768</v>
      </c>
      <c r="O453" s="1402" t="s">
        <v>767</v>
      </c>
      <c r="P453" s="1410" t="s">
        <v>678</v>
      </c>
      <c r="Q453" s="1163"/>
      <c r="R453" s="1269">
        <v>0</v>
      </c>
      <c r="S453" s="1357"/>
      <c r="T453" s="1357">
        <f>+Tabla16[[#This Row],[CDPS A 31 JULIO 2022]]-Tabla16[[#This Row],[CDP]]</f>
        <v>0</v>
      </c>
      <c r="U453" s="1357"/>
      <c r="V453" s="1357"/>
      <c r="W453" s="1357"/>
    </row>
    <row r="454" spans="1:23" s="1207" customFormat="1" ht="45" hidden="1" customHeight="1" x14ac:dyDescent="0.3">
      <c r="A454" s="1355">
        <v>2022469</v>
      </c>
      <c r="B454" s="1172">
        <v>7658</v>
      </c>
      <c r="C454" s="1356" t="s">
        <v>679</v>
      </c>
      <c r="D454" s="1190" t="s">
        <v>692</v>
      </c>
      <c r="E454" s="1174">
        <v>80111600</v>
      </c>
      <c r="F454" s="1379" t="s">
        <v>1099</v>
      </c>
      <c r="G454" s="1380">
        <v>44562</v>
      </c>
      <c r="H454" s="1380">
        <v>44592</v>
      </c>
      <c r="I454" s="1176">
        <v>6</v>
      </c>
      <c r="J454" s="1176" t="s">
        <v>673</v>
      </c>
      <c r="K454" s="1177" t="s">
        <v>674</v>
      </c>
      <c r="L454" s="1178" t="s">
        <v>675</v>
      </c>
      <c r="M454" s="1179">
        <v>29100000</v>
      </c>
      <c r="N454" s="1376" t="s">
        <v>768</v>
      </c>
      <c r="O454" s="1174" t="s">
        <v>767</v>
      </c>
      <c r="P454" s="1207" t="s">
        <v>678</v>
      </c>
      <c r="Q454" s="1163"/>
      <c r="R454" s="1357">
        <v>29100000</v>
      </c>
      <c r="S454" s="1357">
        <v>29100000</v>
      </c>
      <c r="T454" s="1357">
        <f>+Tabla16[[#This Row],[CDPS A 31 JULIO 2022]]-Tabla16[[#This Row],[CDP]]</f>
        <v>0</v>
      </c>
      <c r="U454" s="1357">
        <v>29100000</v>
      </c>
      <c r="V454" s="1357">
        <v>19400000</v>
      </c>
      <c r="W454" s="1357"/>
    </row>
    <row r="455" spans="1:23" s="1207" customFormat="1" ht="45" hidden="1" customHeight="1" x14ac:dyDescent="0.3">
      <c r="A455" s="1355">
        <v>2022470</v>
      </c>
      <c r="B455" s="1172">
        <v>7658</v>
      </c>
      <c r="C455" s="1356" t="s">
        <v>679</v>
      </c>
      <c r="D455" s="1190" t="s">
        <v>692</v>
      </c>
      <c r="E455" s="1174">
        <v>80111600</v>
      </c>
      <c r="F455" s="1379" t="s">
        <v>1099</v>
      </c>
      <c r="G455" s="1380">
        <v>44562</v>
      </c>
      <c r="H455" s="1380">
        <v>44592</v>
      </c>
      <c r="I455" s="1176">
        <v>4</v>
      </c>
      <c r="J455" s="1176" t="s">
        <v>673</v>
      </c>
      <c r="K455" s="1177" t="s">
        <v>674</v>
      </c>
      <c r="L455" s="1178" t="s">
        <v>675</v>
      </c>
      <c r="M455" s="1179">
        <v>16000000</v>
      </c>
      <c r="N455" s="1376" t="s">
        <v>768</v>
      </c>
      <c r="O455" s="1174" t="s">
        <v>767</v>
      </c>
      <c r="P455" s="1207" t="s">
        <v>678</v>
      </c>
      <c r="Q455" s="1163"/>
      <c r="R455" s="1269">
        <v>0</v>
      </c>
      <c r="S455" s="1357"/>
      <c r="T455" s="1357">
        <f>+Tabla16[[#This Row],[CDPS A 31 JULIO 2022]]-Tabla16[[#This Row],[CDP]]</f>
        <v>0</v>
      </c>
      <c r="U455" s="1357"/>
      <c r="V455" s="1357"/>
      <c r="W455" s="1357"/>
    </row>
    <row r="456" spans="1:23" s="1207" customFormat="1" ht="45" hidden="1" customHeight="1" x14ac:dyDescent="0.3">
      <c r="A456" s="1355">
        <v>2022471</v>
      </c>
      <c r="B456" s="1172">
        <v>7658</v>
      </c>
      <c r="C456" s="1356" t="s">
        <v>679</v>
      </c>
      <c r="D456" s="1190" t="s">
        <v>692</v>
      </c>
      <c r="E456" s="1174">
        <v>80111600</v>
      </c>
      <c r="F456" s="1379" t="s">
        <v>1099</v>
      </c>
      <c r="G456" s="1380">
        <v>44562</v>
      </c>
      <c r="H456" s="1380">
        <v>44592</v>
      </c>
      <c r="I456" s="1176">
        <v>6</v>
      </c>
      <c r="J456" s="1176" t="s">
        <v>673</v>
      </c>
      <c r="K456" s="1177" t="s">
        <v>674</v>
      </c>
      <c r="L456" s="1178" t="s">
        <v>675</v>
      </c>
      <c r="M456" s="1179">
        <v>24000000</v>
      </c>
      <c r="N456" s="1376" t="s">
        <v>768</v>
      </c>
      <c r="O456" s="1174" t="s">
        <v>767</v>
      </c>
      <c r="P456" s="1207" t="s">
        <v>678</v>
      </c>
      <c r="Q456" s="1163"/>
      <c r="R456" s="1357">
        <v>24000000</v>
      </c>
      <c r="S456" s="1357">
        <v>24000000</v>
      </c>
      <c r="T456" s="1357">
        <f>+Tabla16[[#This Row],[CDPS A 31 JULIO 2022]]-Tabla16[[#This Row],[CDP]]</f>
        <v>0</v>
      </c>
      <c r="U456" s="1357">
        <v>24000000</v>
      </c>
      <c r="V456" s="1357">
        <v>16000000</v>
      </c>
      <c r="W456" s="1357"/>
    </row>
    <row r="457" spans="1:23" s="1207" customFormat="1" ht="45" customHeight="1" x14ac:dyDescent="0.3">
      <c r="A457" s="1398">
        <v>2022472</v>
      </c>
      <c r="B457" s="1399">
        <v>7658</v>
      </c>
      <c r="C457" s="1400" t="s">
        <v>679</v>
      </c>
      <c r="D457" s="1401" t="s">
        <v>692</v>
      </c>
      <c r="E457" s="1402">
        <v>80111600</v>
      </c>
      <c r="F457" s="1403" t="s">
        <v>1099</v>
      </c>
      <c r="G457" s="1404">
        <v>44562</v>
      </c>
      <c r="H457" s="1404">
        <v>44592</v>
      </c>
      <c r="I457" s="1405">
        <v>4</v>
      </c>
      <c r="J457" s="1405" t="s">
        <v>673</v>
      </c>
      <c r="K457" s="1406" t="s">
        <v>674</v>
      </c>
      <c r="L457" s="1407" t="s">
        <v>675</v>
      </c>
      <c r="M457" s="1408">
        <f>15400000-1900000</f>
        <v>13500000</v>
      </c>
      <c r="N457" s="1409" t="s">
        <v>768</v>
      </c>
      <c r="O457" s="1402" t="s">
        <v>767</v>
      </c>
      <c r="P457" s="1410" t="s">
        <v>678</v>
      </c>
      <c r="Q457" s="1163"/>
      <c r="R457" s="1269">
        <v>0</v>
      </c>
      <c r="S457" s="1357"/>
      <c r="T457" s="1357">
        <f>+Tabla16[[#This Row],[CDPS A 31 JULIO 2022]]-Tabla16[[#This Row],[CDP]]</f>
        <v>0</v>
      </c>
      <c r="U457" s="1357"/>
      <c r="V457" s="1357"/>
      <c r="W457" s="1357"/>
    </row>
    <row r="458" spans="1:23" s="1207" customFormat="1" ht="45" hidden="1" customHeight="1" x14ac:dyDescent="0.3">
      <c r="A458" s="1355">
        <v>2022473</v>
      </c>
      <c r="B458" s="1172">
        <v>7658</v>
      </c>
      <c r="C458" s="1356" t="s">
        <v>679</v>
      </c>
      <c r="D458" s="1190" t="s">
        <v>692</v>
      </c>
      <c r="E458" s="1174">
        <v>80111600</v>
      </c>
      <c r="F458" s="1379" t="s">
        <v>1099</v>
      </c>
      <c r="G458" s="1380">
        <v>44562</v>
      </c>
      <c r="H458" s="1380">
        <v>44592</v>
      </c>
      <c r="I458" s="1176">
        <v>6</v>
      </c>
      <c r="J458" s="1176" t="s">
        <v>673</v>
      </c>
      <c r="K458" s="1177" t="s">
        <v>674</v>
      </c>
      <c r="L458" s="1178" t="s">
        <v>675</v>
      </c>
      <c r="M458" s="1179">
        <v>23100000</v>
      </c>
      <c r="N458" s="1376" t="s">
        <v>768</v>
      </c>
      <c r="O458" s="1174" t="s">
        <v>767</v>
      </c>
      <c r="P458" s="1207" t="s">
        <v>678</v>
      </c>
      <c r="Q458" s="1163"/>
      <c r="R458" s="1357">
        <v>23100000</v>
      </c>
      <c r="S458" s="1357">
        <v>23100000</v>
      </c>
      <c r="T458" s="1357">
        <f>+Tabla16[[#This Row],[CDPS A 31 JULIO 2022]]-Tabla16[[#This Row],[CDP]]</f>
        <v>0</v>
      </c>
      <c r="U458" s="1357">
        <v>23100000</v>
      </c>
      <c r="V458" s="1357">
        <v>15400000</v>
      </c>
      <c r="W458" s="1357"/>
    </row>
    <row r="459" spans="1:23" s="1207" customFormat="1" ht="45" hidden="1" customHeight="1" x14ac:dyDescent="0.3">
      <c r="A459" s="1355">
        <v>2022474</v>
      </c>
      <c r="B459" s="1172">
        <v>7658</v>
      </c>
      <c r="C459" s="1356" t="s">
        <v>679</v>
      </c>
      <c r="D459" s="1190" t="s">
        <v>692</v>
      </c>
      <c r="E459" s="1174">
        <v>80111600</v>
      </c>
      <c r="F459" s="1379" t="s">
        <v>1099</v>
      </c>
      <c r="G459" s="1380">
        <v>44562</v>
      </c>
      <c r="H459" s="1380">
        <v>44592</v>
      </c>
      <c r="I459" s="1176">
        <v>4</v>
      </c>
      <c r="J459" s="1176" t="s">
        <v>673</v>
      </c>
      <c r="K459" s="1177" t="s">
        <v>674</v>
      </c>
      <c r="L459" s="1178" t="s">
        <v>675</v>
      </c>
      <c r="M459" s="1179">
        <v>15400000</v>
      </c>
      <c r="N459" s="1376" t="s">
        <v>768</v>
      </c>
      <c r="O459" s="1174" t="s">
        <v>767</v>
      </c>
      <c r="P459" s="1207" t="s">
        <v>678</v>
      </c>
      <c r="Q459" s="1163"/>
      <c r="R459" s="1269">
        <v>0</v>
      </c>
      <c r="S459" s="1357"/>
      <c r="T459" s="1357">
        <f>+Tabla16[[#This Row],[CDPS A 31 JULIO 2022]]-Tabla16[[#This Row],[CDP]]</f>
        <v>0</v>
      </c>
      <c r="U459" s="1357"/>
      <c r="V459" s="1357"/>
      <c r="W459" s="1357"/>
    </row>
    <row r="460" spans="1:23" s="1207" customFormat="1" ht="45" hidden="1" customHeight="1" x14ac:dyDescent="0.3">
      <c r="A460" s="1355">
        <v>2022475</v>
      </c>
      <c r="B460" s="1172">
        <v>7658</v>
      </c>
      <c r="C460" s="1356" t="s">
        <v>679</v>
      </c>
      <c r="D460" s="1190" t="s">
        <v>692</v>
      </c>
      <c r="E460" s="1174">
        <v>80111600</v>
      </c>
      <c r="F460" s="1379" t="s">
        <v>1099</v>
      </c>
      <c r="G460" s="1380">
        <v>44562</v>
      </c>
      <c r="H460" s="1380">
        <v>44592</v>
      </c>
      <c r="I460" s="1176">
        <v>6</v>
      </c>
      <c r="J460" s="1176" t="s">
        <v>673</v>
      </c>
      <c r="K460" s="1177" t="s">
        <v>674</v>
      </c>
      <c r="L460" s="1178" t="s">
        <v>675</v>
      </c>
      <c r="M460" s="1179">
        <v>23100000</v>
      </c>
      <c r="N460" s="1376" t="s">
        <v>768</v>
      </c>
      <c r="O460" s="1174" t="s">
        <v>767</v>
      </c>
      <c r="P460" s="1207" t="s">
        <v>678</v>
      </c>
      <c r="Q460" s="1163"/>
      <c r="R460" s="1357">
        <v>23100000</v>
      </c>
      <c r="S460" s="1357">
        <v>23100000</v>
      </c>
      <c r="T460" s="1357">
        <f>+Tabla16[[#This Row],[CDPS A 31 JULIO 2022]]-Tabla16[[#This Row],[CDP]]</f>
        <v>0</v>
      </c>
      <c r="U460" s="1357">
        <v>23100000</v>
      </c>
      <c r="V460" s="1357">
        <v>15400000</v>
      </c>
      <c r="W460" s="1357"/>
    </row>
    <row r="461" spans="1:23" s="1207" customFormat="1" ht="45" hidden="1" customHeight="1" x14ac:dyDescent="0.3">
      <c r="A461" s="1355">
        <v>2022476</v>
      </c>
      <c r="B461" s="1172">
        <v>7658</v>
      </c>
      <c r="C461" s="1356" t="s">
        <v>679</v>
      </c>
      <c r="D461" s="1190" t="s">
        <v>692</v>
      </c>
      <c r="E461" s="1174">
        <v>80111600</v>
      </c>
      <c r="F461" s="1379" t="s">
        <v>1099</v>
      </c>
      <c r="G461" s="1380">
        <v>44562</v>
      </c>
      <c r="H461" s="1380">
        <v>44592</v>
      </c>
      <c r="I461" s="1176">
        <v>4</v>
      </c>
      <c r="J461" s="1176" t="s">
        <v>673</v>
      </c>
      <c r="K461" s="1177" t="s">
        <v>674</v>
      </c>
      <c r="L461" s="1178" t="s">
        <v>675</v>
      </c>
      <c r="M461" s="1179">
        <f>15400000+2600000</f>
        <v>18000000</v>
      </c>
      <c r="N461" s="1376" t="s">
        <v>768</v>
      </c>
      <c r="O461" s="1174" t="s">
        <v>767</v>
      </c>
      <c r="P461" s="1207" t="s">
        <v>678</v>
      </c>
      <c r="Q461" s="1163"/>
      <c r="R461" s="1269">
        <v>0</v>
      </c>
      <c r="S461" s="1357"/>
      <c r="T461" s="1357">
        <f>+Tabla16[[#This Row],[CDPS A 31 JULIO 2022]]-Tabla16[[#This Row],[CDP]]</f>
        <v>0</v>
      </c>
      <c r="U461" s="1357"/>
      <c r="V461" s="1357"/>
      <c r="W461" s="1357"/>
    </row>
    <row r="462" spans="1:23" s="1207" customFormat="1" ht="45" hidden="1" customHeight="1" x14ac:dyDescent="0.3">
      <c r="A462" s="1355">
        <v>2022477</v>
      </c>
      <c r="B462" s="1172">
        <v>7658</v>
      </c>
      <c r="C462" s="1356" t="s">
        <v>679</v>
      </c>
      <c r="D462" s="1190" t="s">
        <v>692</v>
      </c>
      <c r="E462" s="1174">
        <v>80111600</v>
      </c>
      <c r="F462" s="1379" t="s">
        <v>1099</v>
      </c>
      <c r="G462" s="1380">
        <v>44562</v>
      </c>
      <c r="H462" s="1380">
        <v>44592</v>
      </c>
      <c r="I462" s="1176">
        <v>6</v>
      </c>
      <c r="J462" s="1176" t="s">
        <v>673</v>
      </c>
      <c r="K462" s="1177" t="s">
        <v>674</v>
      </c>
      <c r="L462" s="1178" t="s">
        <v>675</v>
      </c>
      <c r="M462" s="1179">
        <v>23100000</v>
      </c>
      <c r="N462" s="1376" t="s">
        <v>768</v>
      </c>
      <c r="O462" s="1174" t="s">
        <v>767</v>
      </c>
      <c r="P462" s="1207" t="s">
        <v>678</v>
      </c>
      <c r="Q462" s="1163"/>
      <c r="R462" s="1357">
        <v>23100000</v>
      </c>
      <c r="S462" s="1357">
        <v>23100000</v>
      </c>
      <c r="T462" s="1357">
        <f>+Tabla16[[#This Row],[CDPS A 31 JULIO 2022]]-Tabla16[[#This Row],[CDP]]</f>
        <v>0</v>
      </c>
      <c r="U462" s="1357">
        <v>23100000</v>
      </c>
      <c r="V462" s="1357">
        <v>15400000</v>
      </c>
      <c r="W462" s="1357"/>
    </row>
    <row r="463" spans="1:23" s="1207" customFormat="1" ht="45" hidden="1" customHeight="1" x14ac:dyDescent="0.3">
      <c r="A463" s="1355">
        <v>2022478</v>
      </c>
      <c r="B463" s="1172">
        <v>7658</v>
      </c>
      <c r="C463" s="1356" t="s">
        <v>679</v>
      </c>
      <c r="D463" s="1190" t="s">
        <v>692</v>
      </c>
      <c r="E463" s="1174">
        <v>80111600</v>
      </c>
      <c r="F463" s="1379" t="s">
        <v>1100</v>
      </c>
      <c r="G463" s="1380">
        <v>44562</v>
      </c>
      <c r="H463" s="1380">
        <v>44592</v>
      </c>
      <c r="I463" s="1176">
        <v>10</v>
      </c>
      <c r="J463" s="1176" t="s">
        <v>673</v>
      </c>
      <c r="K463" s="1177" t="s">
        <v>674</v>
      </c>
      <c r="L463" s="1178" t="s">
        <v>675</v>
      </c>
      <c r="M463" s="1179">
        <v>72100000</v>
      </c>
      <c r="N463" s="1376" t="s">
        <v>768</v>
      </c>
      <c r="O463" s="1174" t="s">
        <v>767</v>
      </c>
      <c r="P463" s="1207" t="s">
        <v>678</v>
      </c>
      <c r="Q463" s="1163"/>
      <c r="R463" s="1357">
        <v>72100000</v>
      </c>
      <c r="S463" s="1357">
        <v>72100000</v>
      </c>
      <c r="T463" s="1357">
        <f>+Tabla16[[#This Row],[CDPS A 31 JULIO 2022]]-Tabla16[[#This Row],[CDP]]</f>
        <v>0</v>
      </c>
      <c r="U463" s="1357">
        <v>72100000</v>
      </c>
      <c r="V463" s="1357">
        <v>31483667</v>
      </c>
      <c r="W463" s="1357"/>
    </row>
    <row r="464" spans="1:23" s="1207" customFormat="1" ht="45" hidden="1" customHeight="1" x14ac:dyDescent="0.3">
      <c r="A464" s="1355">
        <v>2022479</v>
      </c>
      <c r="B464" s="1172">
        <v>7658</v>
      </c>
      <c r="C464" s="1356" t="s">
        <v>679</v>
      </c>
      <c r="D464" s="1190" t="s">
        <v>692</v>
      </c>
      <c r="E464" s="1174">
        <v>80111600</v>
      </c>
      <c r="F464" s="1379" t="s">
        <v>1100</v>
      </c>
      <c r="G464" s="1380">
        <v>44562</v>
      </c>
      <c r="H464" s="1380">
        <v>44592</v>
      </c>
      <c r="I464" s="1176">
        <v>10</v>
      </c>
      <c r="J464" s="1176" t="s">
        <v>673</v>
      </c>
      <c r="K464" s="1177" t="s">
        <v>674</v>
      </c>
      <c r="L464" s="1178" t="s">
        <v>675</v>
      </c>
      <c r="M464" s="1179">
        <v>48500000</v>
      </c>
      <c r="N464" s="1376" t="s">
        <v>768</v>
      </c>
      <c r="O464" s="1174" t="s">
        <v>767</v>
      </c>
      <c r="P464" s="1207" t="s">
        <v>678</v>
      </c>
      <c r="Q464" s="1163"/>
      <c r="R464" s="1357">
        <v>48500000</v>
      </c>
      <c r="S464" s="1357">
        <v>48500000</v>
      </c>
      <c r="T464" s="1357">
        <f>+Tabla16[[#This Row],[CDPS A 31 JULIO 2022]]-Tabla16[[#This Row],[CDP]]</f>
        <v>0</v>
      </c>
      <c r="U464" s="1357">
        <v>48500000</v>
      </c>
      <c r="V464" s="1357">
        <v>21178333</v>
      </c>
      <c r="W464" s="1357"/>
    </row>
    <row r="465" spans="1:23" s="1207" customFormat="1" ht="45" hidden="1" customHeight="1" x14ac:dyDescent="0.3">
      <c r="A465" s="1355">
        <v>2022480</v>
      </c>
      <c r="B465" s="1172">
        <v>7658</v>
      </c>
      <c r="C465" s="1356" t="s">
        <v>679</v>
      </c>
      <c r="D465" s="1190" t="s">
        <v>692</v>
      </c>
      <c r="E465" s="1174">
        <v>80111600</v>
      </c>
      <c r="F465" s="1379" t="s">
        <v>1100</v>
      </c>
      <c r="G465" s="1380">
        <v>44562</v>
      </c>
      <c r="H465" s="1380">
        <v>44592</v>
      </c>
      <c r="I465" s="1176">
        <v>10</v>
      </c>
      <c r="J465" s="1176" t="s">
        <v>673</v>
      </c>
      <c r="K465" s="1177" t="s">
        <v>674</v>
      </c>
      <c r="L465" s="1178" t="s">
        <v>675</v>
      </c>
      <c r="M465" s="1179">
        <v>38500000</v>
      </c>
      <c r="N465" s="1376" t="s">
        <v>768</v>
      </c>
      <c r="O465" s="1174" t="s">
        <v>767</v>
      </c>
      <c r="P465" s="1207" t="s">
        <v>678</v>
      </c>
      <c r="Q465" s="1163"/>
      <c r="R465" s="1357">
        <v>38500000</v>
      </c>
      <c r="S465" s="1357">
        <v>38500000</v>
      </c>
      <c r="T465" s="1357">
        <f>+Tabla16[[#This Row],[CDPS A 31 JULIO 2022]]-Tabla16[[#This Row],[CDP]]</f>
        <v>0</v>
      </c>
      <c r="U465" s="1357">
        <v>38500000</v>
      </c>
      <c r="V465" s="1357">
        <v>17068333</v>
      </c>
      <c r="W465" s="1357"/>
    </row>
    <row r="466" spans="1:23" s="1207" customFormat="1" ht="45" hidden="1" customHeight="1" x14ac:dyDescent="0.3">
      <c r="A466" s="1355">
        <v>2022481</v>
      </c>
      <c r="B466" s="1172">
        <v>7658</v>
      </c>
      <c r="C466" s="1356" t="s">
        <v>679</v>
      </c>
      <c r="D466" s="1190" t="s">
        <v>692</v>
      </c>
      <c r="E466" s="1174">
        <v>80111600</v>
      </c>
      <c r="F466" s="1379" t="s">
        <v>1101</v>
      </c>
      <c r="G466" s="1380">
        <v>44562</v>
      </c>
      <c r="H466" s="1380">
        <v>44592</v>
      </c>
      <c r="I466" s="1176">
        <v>6</v>
      </c>
      <c r="J466" s="1176" t="s">
        <v>673</v>
      </c>
      <c r="K466" s="1177" t="s">
        <v>674</v>
      </c>
      <c r="L466" s="1178" t="s">
        <v>675</v>
      </c>
      <c r="M466" s="1179">
        <v>48000000</v>
      </c>
      <c r="N466" s="1376" t="s">
        <v>768</v>
      </c>
      <c r="O466" s="1174" t="s">
        <v>767</v>
      </c>
      <c r="P466" s="1207" t="s">
        <v>678</v>
      </c>
      <c r="Q466" s="1163"/>
      <c r="R466" s="1357">
        <v>48000000</v>
      </c>
      <c r="S466" s="1357">
        <v>48000000</v>
      </c>
      <c r="T466" s="1357">
        <f>+Tabla16[[#This Row],[CDPS A 31 JULIO 2022]]-Tabla16[[#This Row],[CDP]]</f>
        <v>0</v>
      </c>
      <c r="U466" s="1357">
        <v>48000000</v>
      </c>
      <c r="V466" s="1357">
        <v>34933333</v>
      </c>
      <c r="W466" s="1357"/>
    </row>
    <row r="467" spans="1:23" s="1207" customFormat="1" ht="45" hidden="1" customHeight="1" x14ac:dyDescent="0.3">
      <c r="A467" s="1355">
        <v>2022482</v>
      </c>
      <c r="B467" s="1172">
        <v>7658</v>
      </c>
      <c r="C467" s="1356" t="s">
        <v>679</v>
      </c>
      <c r="D467" s="1190" t="s">
        <v>692</v>
      </c>
      <c r="E467" s="1174">
        <v>80111600</v>
      </c>
      <c r="F467" s="1379" t="s">
        <v>1102</v>
      </c>
      <c r="G467" s="1380">
        <v>44562</v>
      </c>
      <c r="H467" s="1380">
        <v>44592</v>
      </c>
      <c r="I467" s="1176">
        <v>6</v>
      </c>
      <c r="J467" s="1176" t="s">
        <v>673</v>
      </c>
      <c r="K467" s="1177" t="s">
        <v>674</v>
      </c>
      <c r="L467" s="1178" t="s">
        <v>675</v>
      </c>
      <c r="M467" s="1179">
        <v>28200000</v>
      </c>
      <c r="N467" s="1376" t="s">
        <v>768</v>
      </c>
      <c r="O467" s="1174" t="s">
        <v>767</v>
      </c>
      <c r="P467" s="1207" t="s">
        <v>678</v>
      </c>
      <c r="Q467" s="1163"/>
      <c r="R467" s="1357">
        <v>28200000</v>
      </c>
      <c r="S467" s="1357">
        <v>28200000</v>
      </c>
      <c r="T467" s="1357">
        <f>+Tabla16[[#This Row],[CDPS A 31 JULIO 2022]]-Tabla16[[#This Row],[CDP]]</f>
        <v>0</v>
      </c>
      <c r="U467" s="1357">
        <v>28200000</v>
      </c>
      <c r="V467" s="1357">
        <v>20836667</v>
      </c>
      <c r="W467" s="1357"/>
    </row>
    <row r="468" spans="1:23" s="1207" customFormat="1" ht="45" hidden="1" customHeight="1" x14ac:dyDescent="0.3">
      <c r="A468" s="1355">
        <v>2022483</v>
      </c>
      <c r="B468" s="1172">
        <v>7658</v>
      </c>
      <c r="C468" s="1356" t="s">
        <v>679</v>
      </c>
      <c r="D468" s="1190" t="s">
        <v>698</v>
      </c>
      <c r="E468" s="1174" t="s">
        <v>1103</v>
      </c>
      <c r="F468" s="1379" t="s">
        <v>1104</v>
      </c>
      <c r="G468" s="1380">
        <v>44562</v>
      </c>
      <c r="H468" s="1380">
        <v>44620</v>
      </c>
      <c r="I468" s="1176">
        <v>10.5</v>
      </c>
      <c r="J468" s="1176" t="s">
        <v>699</v>
      </c>
      <c r="K468" s="1177" t="s">
        <v>674</v>
      </c>
      <c r="L468" s="1178" t="s">
        <v>1105</v>
      </c>
      <c r="M468" s="1179">
        <f>30000000+10000000+5000000-10000000</f>
        <v>35000000</v>
      </c>
      <c r="N468" s="1376" t="s">
        <v>779</v>
      </c>
      <c r="O468" s="1174" t="s">
        <v>771</v>
      </c>
      <c r="P468" s="1163" t="s">
        <v>678</v>
      </c>
      <c r="Q468" s="1163"/>
      <c r="R468" s="1357">
        <v>35000000</v>
      </c>
      <c r="S468" s="1357">
        <v>35000000</v>
      </c>
      <c r="T468" s="1357">
        <f>+Tabla16[[#This Row],[CDPS A 31 JULIO 2022]]-Tabla16[[#This Row],[CDP]]</f>
        <v>0</v>
      </c>
      <c r="U468" s="1357">
        <v>35000000</v>
      </c>
      <c r="V468" s="1357">
        <v>11762300</v>
      </c>
      <c r="W468" s="1357"/>
    </row>
    <row r="469" spans="1:23" s="1207" customFormat="1" ht="45" hidden="1" customHeight="1" x14ac:dyDescent="0.3">
      <c r="A469" s="1355">
        <v>2022484</v>
      </c>
      <c r="B469" s="1172">
        <v>7658</v>
      </c>
      <c r="C469" s="1356" t="s">
        <v>679</v>
      </c>
      <c r="D469" s="1190" t="s">
        <v>698</v>
      </c>
      <c r="E469" s="1174" t="s">
        <v>1106</v>
      </c>
      <c r="F469" s="1379" t="s">
        <v>1107</v>
      </c>
      <c r="G469" s="1380">
        <v>44576</v>
      </c>
      <c r="H469" s="1380">
        <v>44593</v>
      </c>
      <c r="I469" s="1176">
        <v>9.5</v>
      </c>
      <c r="J469" s="1176" t="s">
        <v>696</v>
      </c>
      <c r="K469" s="1177" t="s">
        <v>674</v>
      </c>
      <c r="L469" s="1178" t="s">
        <v>1108</v>
      </c>
      <c r="M469" s="1179">
        <f>100000000-29000000</f>
        <v>71000000</v>
      </c>
      <c r="N469" s="1376" t="s">
        <v>779</v>
      </c>
      <c r="O469" s="1174" t="s">
        <v>771</v>
      </c>
      <c r="P469" s="1163" t="s">
        <v>678</v>
      </c>
      <c r="Q469" s="1163"/>
      <c r="R469" s="1357">
        <v>100000000</v>
      </c>
      <c r="S469" s="1357">
        <v>100000000</v>
      </c>
      <c r="T469" s="1357">
        <f>+Tabla16[[#This Row],[CDPS A 31 JULIO 2022]]-Tabla16[[#This Row],[CDP]]</f>
        <v>0</v>
      </c>
      <c r="U469" s="1357">
        <v>71000000</v>
      </c>
      <c r="V469" s="1357"/>
      <c r="W469" s="1357"/>
    </row>
    <row r="470" spans="1:23" s="1207" customFormat="1" ht="45" hidden="1" customHeight="1" x14ac:dyDescent="0.3">
      <c r="A470" s="1355">
        <v>2022485</v>
      </c>
      <c r="B470" s="1172">
        <v>7658</v>
      </c>
      <c r="C470" s="1356" t="s">
        <v>679</v>
      </c>
      <c r="D470" s="1190" t="s">
        <v>698</v>
      </c>
      <c r="E470" s="1174" t="s">
        <v>1109</v>
      </c>
      <c r="F470" s="1379" t="s">
        <v>1110</v>
      </c>
      <c r="G470" s="1380">
        <v>44576</v>
      </c>
      <c r="H470" s="1380">
        <v>44593</v>
      </c>
      <c r="I470" s="1176">
        <v>11</v>
      </c>
      <c r="J470" s="1176" t="s">
        <v>696</v>
      </c>
      <c r="K470" s="1177" t="s">
        <v>674</v>
      </c>
      <c r="L470" s="1178" t="s">
        <v>1111</v>
      </c>
      <c r="M470" s="1179">
        <f>260900000-10900000-10000000</f>
        <v>240000000</v>
      </c>
      <c r="N470" s="1376" t="s">
        <v>779</v>
      </c>
      <c r="O470" s="1174" t="s">
        <v>771</v>
      </c>
      <c r="P470" s="1163" t="s">
        <v>678</v>
      </c>
      <c r="Q470" s="1163"/>
      <c r="R470" s="1357">
        <v>240000000</v>
      </c>
      <c r="S470" s="1357">
        <v>240000000</v>
      </c>
      <c r="T470" s="1357">
        <f>+Tabla16[[#This Row],[CDPS A 31 JULIO 2022]]-Tabla16[[#This Row],[CDP]]</f>
        <v>0</v>
      </c>
      <c r="U470" s="1357">
        <v>240000000</v>
      </c>
      <c r="V470" s="1357">
        <v>26192580</v>
      </c>
      <c r="W470" s="1357"/>
    </row>
    <row r="471" spans="1:23" s="1387" customFormat="1" ht="45" hidden="1" customHeight="1" x14ac:dyDescent="0.3">
      <c r="A471" s="1358">
        <v>2022486</v>
      </c>
      <c r="B471" s="1359">
        <v>7658</v>
      </c>
      <c r="C471" s="1360" t="s">
        <v>679</v>
      </c>
      <c r="D471" s="1381" t="s">
        <v>698</v>
      </c>
      <c r="E471" s="1382" t="s">
        <v>1112</v>
      </c>
      <c r="F471" s="1383" t="s">
        <v>1113</v>
      </c>
      <c r="G471" s="1384">
        <v>44683</v>
      </c>
      <c r="H471" s="1384">
        <v>44728</v>
      </c>
      <c r="I471" s="1268">
        <v>9</v>
      </c>
      <c r="J471" s="1176" t="s">
        <v>696</v>
      </c>
      <c r="K471" s="1177" t="s">
        <v>674</v>
      </c>
      <c r="L471" s="1178" t="s">
        <v>981</v>
      </c>
      <c r="M471" s="1249">
        <v>200000000</v>
      </c>
      <c r="N471" s="1376" t="s">
        <v>779</v>
      </c>
      <c r="O471" s="1382" t="s">
        <v>771</v>
      </c>
      <c r="P471" s="1163" t="s">
        <v>678</v>
      </c>
      <c r="Q471" s="1163"/>
      <c r="R471" s="1396">
        <v>200000000</v>
      </c>
      <c r="S471" s="1396">
        <v>200000000</v>
      </c>
      <c r="T471" s="1357">
        <f>+Tabla16[[#This Row],[CDPS A 31 JULIO 2022]]-Tabla16[[#This Row],[CDP]]</f>
        <v>0</v>
      </c>
      <c r="U471" s="1361"/>
      <c r="V471" s="1361"/>
      <c r="W471" s="1357"/>
    </row>
    <row r="472" spans="1:23" s="1207" customFormat="1" ht="45" hidden="1" customHeight="1" x14ac:dyDescent="0.3">
      <c r="A472" s="1358">
        <v>2022487</v>
      </c>
      <c r="B472" s="1359">
        <v>7658</v>
      </c>
      <c r="C472" s="1360" t="s">
        <v>679</v>
      </c>
      <c r="D472" s="1381" t="s">
        <v>698</v>
      </c>
      <c r="E472" s="1382" t="s">
        <v>1106</v>
      </c>
      <c r="F472" s="1383" t="s">
        <v>1114</v>
      </c>
      <c r="G472" s="1384">
        <v>44683</v>
      </c>
      <c r="H472" s="1384">
        <v>44728</v>
      </c>
      <c r="I472" s="1268">
        <v>1</v>
      </c>
      <c r="J472" s="1268" t="s">
        <v>720</v>
      </c>
      <c r="K472" s="1177" t="s">
        <v>674</v>
      </c>
      <c r="L472" s="1213" t="s">
        <v>1108</v>
      </c>
      <c r="M472" s="1249">
        <f>34000000-10000000-5000000-19000000</f>
        <v>0</v>
      </c>
      <c r="N472" s="1376" t="s">
        <v>779</v>
      </c>
      <c r="O472" s="1382" t="s">
        <v>771</v>
      </c>
      <c r="P472" s="1163" t="s">
        <v>678</v>
      </c>
      <c r="Q472" s="1163"/>
      <c r="R472" s="1269">
        <v>0</v>
      </c>
      <c r="S472" s="1357"/>
      <c r="T472" s="1357">
        <f>+Tabla16[[#This Row],[CDPS A 31 JULIO 2022]]-Tabla16[[#This Row],[CDP]]</f>
        <v>0</v>
      </c>
      <c r="U472" s="1357"/>
      <c r="V472" s="1357"/>
      <c r="W472" s="1357"/>
    </row>
    <row r="473" spans="1:23" s="1207" customFormat="1" ht="45" hidden="1" customHeight="1" x14ac:dyDescent="0.3">
      <c r="A473" s="1355">
        <v>2022488</v>
      </c>
      <c r="B473" s="1172">
        <v>7658</v>
      </c>
      <c r="C473" s="1356" t="s">
        <v>679</v>
      </c>
      <c r="D473" s="1190" t="s">
        <v>698</v>
      </c>
      <c r="E473" s="1174">
        <v>78181500</v>
      </c>
      <c r="F473" s="1379" t="s">
        <v>1115</v>
      </c>
      <c r="G473" s="1380">
        <v>44562</v>
      </c>
      <c r="H473" s="1380">
        <v>44620</v>
      </c>
      <c r="I473" s="1176">
        <v>12</v>
      </c>
      <c r="J473" s="1176" t="s">
        <v>645</v>
      </c>
      <c r="K473" s="1177" t="s">
        <v>674</v>
      </c>
      <c r="L473" s="1178" t="s">
        <v>1116</v>
      </c>
      <c r="M473" s="1179">
        <v>2500000000</v>
      </c>
      <c r="N473" s="1376" t="s">
        <v>784</v>
      </c>
      <c r="O473" s="1174" t="s">
        <v>771</v>
      </c>
      <c r="P473" s="1163" t="s">
        <v>678</v>
      </c>
      <c r="Q473" s="1163"/>
      <c r="R473" s="1357">
        <v>2500000000</v>
      </c>
      <c r="S473" s="1357">
        <v>2500000000</v>
      </c>
      <c r="T473" s="1357">
        <f>+Tabla16[[#This Row],[CDPS A 31 JULIO 2022]]-Tabla16[[#This Row],[CDP]]</f>
        <v>0</v>
      </c>
      <c r="U473" s="1357">
        <v>2500000000</v>
      </c>
      <c r="V473" s="1357"/>
      <c r="W473" s="1357"/>
    </row>
    <row r="474" spans="1:23" s="1207" customFormat="1" ht="45" hidden="1" customHeight="1" x14ac:dyDescent="0.3">
      <c r="A474" s="1355">
        <v>2022489</v>
      </c>
      <c r="B474" s="1172">
        <v>7658</v>
      </c>
      <c r="C474" s="1356" t="s">
        <v>679</v>
      </c>
      <c r="D474" s="1190" t="s">
        <v>698</v>
      </c>
      <c r="E474" s="1174">
        <v>78181500</v>
      </c>
      <c r="F474" s="1379" t="s">
        <v>1117</v>
      </c>
      <c r="G474" s="1380">
        <v>44562</v>
      </c>
      <c r="H474" s="1380">
        <v>44592</v>
      </c>
      <c r="I474" s="1176">
        <v>3</v>
      </c>
      <c r="J474" s="1176" t="s">
        <v>645</v>
      </c>
      <c r="K474" s="1177" t="s">
        <v>674</v>
      </c>
      <c r="L474" s="1178" t="s">
        <v>1116</v>
      </c>
      <c r="M474" s="1179">
        <v>750000000</v>
      </c>
      <c r="N474" s="1376" t="s">
        <v>784</v>
      </c>
      <c r="O474" s="1174" t="s">
        <v>771</v>
      </c>
      <c r="P474" s="1163" t="s">
        <v>748</v>
      </c>
      <c r="Q474" s="1163"/>
      <c r="R474" s="1357">
        <v>750000000</v>
      </c>
      <c r="S474" s="1357">
        <v>750000000</v>
      </c>
      <c r="T474" s="1357">
        <f>+Tabla16[[#This Row],[CDPS A 31 JULIO 2022]]-Tabla16[[#This Row],[CDP]]</f>
        <v>0</v>
      </c>
      <c r="U474" s="1357">
        <v>750000000</v>
      </c>
      <c r="V474" s="1357">
        <v>749963672</v>
      </c>
      <c r="W474" s="1357"/>
    </row>
    <row r="475" spans="1:23" s="1207" customFormat="1" ht="45" hidden="1" customHeight="1" x14ac:dyDescent="0.3">
      <c r="A475" s="1355">
        <v>2022490</v>
      </c>
      <c r="B475" s="1172">
        <v>7658</v>
      </c>
      <c r="C475" s="1356" t="s">
        <v>679</v>
      </c>
      <c r="D475" s="1190" t="s">
        <v>698</v>
      </c>
      <c r="E475" s="1174">
        <v>78181500</v>
      </c>
      <c r="F475" s="1379" t="s">
        <v>1118</v>
      </c>
      <c r="G475" s="1380">
        <v>44562</v>
      </c>
      <c r="H475" s="1380">
        <v>44592</v>
      </c>
      <c r="I475" s="1176">
        <v>2</v>
      </c>
      <c r="J475" s="1176" t="s">
        <v>645</v>
      </c>
      <c r="K475" s="1177" t="s">
        <v>674</v>
      </c>
      <c r="L475" s="1178" t="s">
        <v>1116</v>
      </c>
      <c r="M475" s="1179">
        <v>100000000</v>
      </c>
      <c r="N475" s="1376" t="s">
        <v>784</v>
      </c>
      <c r="O475" s="1174" t="s">
        <v>771</v>
      </c>
      <c r="P475" s="1163" t="s">
        <v>748</v>
      </c>
      <c r="Q475" s="1163"/>
      <c r="R475" s="1357">
        <v>100000000</v>
      </c>
      <c r="S475" s="1357">
        <v>100000000</v>
      </c>
      <c r="T475" s="1357">
        <f>+Tabla16[[#This Row],[CDPS A 31 JULIO 2022]]-Tabla16[[#This Row],[CDP]]</f>
        <v>0</v>
      </c>
      <c r="U475" s="1357">
        <v>100000000</v>
      </c>
      <c r="V475" s="1357">
        <v>99999999</v>
      </c>
      <c r="W475" s="1357"/>
    </row>
    <row r="476" spans="1:23" s="1207" customFormat="1" ht="45" hidden="1" customHeight="1" x14ac:dyDescent="0.3">
      <c r="A476" s="1355">
        <v>2022491</v>
      </c>
      <c r="B476" s="1172">
        <v>7658</v>
      </c>
      <c r="C476" s="1356" t="s">
        <v>679</v>
      </c>
      <c r="D476" s="1190" t="s">
        <v>698</v>
      </c>
      <c r="E476" s="1174">
        <v>25172500</v>
      </c>
      <c r="F476" s="1379" t="s">
        <v>1119</v>
      </c>
      <c r="G476" s="1380">
        <v>44562</v>
      </c>
      <c r="H476" s="1380">
        <v>44620</v>
      </c>
      <c r="I476" s="1176">
        <v>11</v>
      </c>
      <c r="J476" s="1176" t="s">
        <v>696</v>
      </c>
      <c r="K476" s="1177" t="s">
        <v>674</v>
      </c>
      <c r="L476" s="1178" t="s">
        <v>981</v>
      </c>
      <c r="M476" s="1179">
        <v>150000000</v>
      </c>
      <c r="N476" s="1376" t="s">
        <v>784</v>
      </c>
      <c r="O476" s="1174" t="s">
        <v>771</v>
      </c>
      <c r="P476" s="1163" t="s">
        <v>678</v>
      </c>
      <c r="Q476" s="1163"/>
      <c r="R476" s="1357">
        <v>150000000</v>
      </c>
      <c r="S476" s="1357">
        <v>150000000</v>
      </c>
      <c r="T476" s="1357">
        <f>+Tabla16[[#This Row],[CDPS A 31 JULIO 2022]]-Tabla16[[#This Row],[CDP]]</f>
        <v>0</v>
      </c>
      <c r="U476" s="1357">
        <v>150000000</v>
      </c>
      <c r="V476" s="1357">
        <v>32643785</v>
      </c>
      <c r="W476" s="1357"/>
    </row>
    <row r="477" spans="1:23" s="1207" customFormat="1" ht="45" hidden="1" customHeight="1" x14ac:dyDescent="0.3">
      <c r="A477" s="1355">
        <v>2022492</v>
      </c>
      <c r="B477" s="1172">
        <v>7658</v>
      </c>
      <c r="C477" s="1356" t="s">
        <v>679</v>
      </c>
      <c r="D477" s="1190" t="s">
        <v>698</v>
      </c>
      <c r="E477" s="1174">
        <v>15101500</v>
      </c>
      <c r="F477" s="1379" t="s">
        <v>1120</v>
      </c>
      <c r="G477" s="1380">
        <v>44562</v>
      </c>
      <c r="H477" s="1380">
        <v>44620</v>
      </c>
      <c r="I477" s="1176">
        <v>12</v>
      </c>
      <c r="J477" s="1176" t="s">
        <v>720</v>
      </c>
      <c r="K477" s="1177" t="s">
        <v>674</v>
      </c>
      <c r="L477" s="1178" t="s">
        <v>1121</v>
      </c>
      <c r="M477" s="1179">
        <v>1030000000</v>
      </c>
      <c r="N477" s="1376" t="s">
        <v>784</v>
      </c>
      <c r="O477" s="1174" t="s">
        <v>771</v>
      </c>
      <c r="P477" s="1163" t="s">
        <v>678</v>
      </c>
      <c r="Q477" s="1163"/>
      <c r="R477" s="1357">
        <v>1030000000</v>
      </c>
      <c r="S477" s="1357">
        <v>1030000000</v>
      </c>
      <c r="T477" s="1357">
        <f>+Tabla16[[#This Row],[CDPS A 31 JULIO 2022]]-Tabla16[[#This Row],[CDP]]</f>
        <v>0</v>
      </c>
      <c r="U477" s="1357">
        <v>1030000000</v>
      </c>
      <c r="V477" s="1357">
        <v>383409449</v>
      </c>
      <c r="W477" s="1357"/>
    </row>
    <row r="478" spans="1:23" s="1387" customFormat="1" ht="45" hidden="1" customHeight="1" x14ac:dyDescent="0.3">
      <c r="A478" s="1358">
        <v>2022493</v>
      </c>
      <c r="B478" s="1359">
        <v>7658</v>
      </c>
      <c r="C478" s="1360" t="s">
        <v>679</v>
      </c>
      <c r="D478" s="1381" t="s">
        <v>698</v>
      </c>
      <c r="E478" s="1382" t="s">
        <v>1122</v>
      </c>
      <c r="F478" s="1383" t="s">
        <v>1123</v>
      </c>
      <c r="G478" s="1384">
        <v>44683</v>
      </c>
      <c r="H478" s="1384">
        <v>44728</v>
      </c>
      <c r="I478" s="1268">
        <v>12</v>
      </c>
      <c r="J478" s="1176" t="s">
        <v>696</v>
      </c>
      <c r="K478" s="1177" t="s">
        <v>674</v>
      </c>
      <c r="L478" s="1178" t="s">
        <v>981</v>
      </c>
      <c r="M478" s="1249">
        <f>400000000-175000000-8000000+50000000</f>
        <v>267000000</v>
      </c>
      <c r="N478" s="1376" t="s">
        <v>784</v>
      </c>
      <c r="O478" s="1382" t="s">
        <v>771</v>
      </c>
      <c r="P478" s="1159" t="s">
        <v>678</v>
      </c>
      <c r="Q478" s="1159"/>
      <c r="R478" s="1396">
        <v>217000000</v>
      </c>
      <c r="S478" s="1396">
        <v>217000000</v>
      </c>
      <c r="T478" s="1357">
        <f>+Tabla16[[#This Row],[CDPS A 31 JULIO 2022]]-Tabla16[[#This Row],[CDP]]</f>
        <v>0</v>
      </c>
      <c r="U478" s="1361"/>
      <c r="V478" s="1361"/>
      <c r="W478" s="1357"/>
    </row>
    <row r="479" spans="1:23" s="1387" customFormat="1" ht="45" hidden="1" customHeight="1" x14ac:dyDescent="0.3">
      <c r="A479" s="1358">
        <v>2022495</v>
      </c>
      <c r="B479" s="1359">
        <v>7658</v>
      </c>
      <c r="C479" s="1360" t="s">
        <v>679</v>
      </c>
      <c r="D479" s="1381" t="s">
        <v>698</v>
      </c>
      <c r="E479" s="1382">
        <v>78181505</v>
      </c>
      <c r="F479" s="1383" t="s">
        <v>1124</v>
      </c>
      <c r="G479" s="1384">
        <v>44732</v>
      </c>
      <c r="H479" s="1384">
        <v>44752</v>
      </c>
      <c r="I479" s="1268">
        <v>7</v>
      </c>
      <c r="J479" s="1176" t="s">
        <v>673</v>
      </c>
      <c r="K479" s="1177" t="s">
        <v>674</v>
      </c>
      <c r="L479" s="1178" t="s">
        <v>981</v>
      </c>
      <c r="M479" s="1249">
        <v>80000000</v>
      </c>
      <c r="N479" s="1376" t="s">
        <v>784</v>
      </c>
      <c r="O479" s="1382" t="s">
        <v>771</v>
      </c>
      <c r="P479" s="1159" t="s">
        <v>678</v>
      </c>
      <c r="Q479" s="1159"/>
      <c r="R479" s="1396">
        <v>80000000</v>
      </c>
      <c r="S479" s="1396">
        <v>80000000</v>
      </c>
      <c r="T479" s="1357">
        <f>+Tabla16[[#This Row],[CDPS A 31 JULIO 2022]]-Tabla16[[#This Row],[CDP]]</f>
        <v>0</v>
      </c>
      <c r="U479" s="1361"/>
      <c r="V479" s="1361"/>
      <c r="W479" s="1357"/>
    </row>
    <row r="480" spans="1:23" s="1387" customFormat="1" ht="45" hidden="1" customHeight="1" x14ac:dyDescent="0.3">
      <c r="A480" s="1358">
        <v>2022496</v>
      </c>
      <c r="B480" s="1359">
        <v>7658</v>
      </c>
      <c r="C480" s="1360" t="s">
        <v>679</v>
      </c>
      <c r="D480" s="1381" t="s">
        <v>698</v>
      </c>
      <c r="E480" s="1382" t="s">
        <v>1125</v>
      </c>
      <c r="F480" s="1383" t="s">
        <v>1126</v>
      </c>
      <c r="G480" s="1384">
        <v>44732</v>
      </c>
      <c r="H480" s="1384">
        <v>44752</v>
      </c>
      <c r="I480" s="1268">
        <v>7</v>
      </c>
      <c r="J480" s="1176" t="s">
        <v>673</v>
      </c>
      <c r="K480" s="1177" t="s">
        <v>674</v>
      </c>
      <c r="L480" s="1178" t="s">
        <v>981</v>
      </c>
      <c r="M480" s="1249">
        <v>150000000</v>
      </c>
      <c r="N480" s="1376" t="s">
        <v>784</v>
      </c>
      <c r="O480" s="1382" t="s">
        <v>771</v>
      </c>
      <c r="P480" s="1159" t="s">
        <v>678</v>
      </c>
      <c r="Q480" s="1159"/>
      <c r="R480" s="1396">
        <v>150000000</v>
      </c>
      <c r="S480" s="1396">
        <v>150000000</v>
      </c>
      <c r="T480" s="1357">
        <f>+Tabla16[[#This Row],[CDPS A 31 JULIO 2022]]-Tabla16[[#This Row],[CDP]]</f>
        <v>0</v>
      </c>
      <c r="U480" s="1361"/>
      <c r="V480" s="1361"/>
      <c r="W480" s="1357"/>
    </row>
    <row r="481" spans="1:23" s="1387" customFormat="1" ht="45" hidden="1" customHeight="1" x14ac:dyDescent="0.3">
      <c r="A481" s="1358">
        <v>2022497</v>
      </c>
      <c r="B481" s="1359">
        <v>7658</v>
      </c>
      <c r="C481" s="1360" t="s">
        <v>679</v>
      </c>
      <c r="D481" s="1381" t="s">
        <v>698</v>
      </c>
      <c r="E481" s="1382">
        <v>72101509</v>
      </c>
      <c r="F481" s="1383" t="s">
        <v>1127</v>
      </c>
      <c r="G481" s="1384">
        <v>44732</v>
      </c>
      <c r="H481" s="1384">
        <v>44752</v>
      </c>
      <c r="I481" s="1268">
        <v>7</v>
      </c>
      <c r="J481" s="1176" t="s">
        <v>673</v>
      </c>
      <c r="K481" s="1177" t="s">
        <v>674</v>
      </c>
      <c r="L481" s="1178" t="s">
        <v>981</v>
      </c>
      <c r="M481" s="1249">
        <v>350000000</v>
      </c>
      <c r="N481" s="1376" t="s">
        <v>784</v>
      </c>
      <c r="O481" s="1382" t="s">
        <v>771</v>
      </c>
      <c r="P481" s="1159" t="s">
        <v>678</v>
      </c>
      <c r="Q481" s="1159"/>
      <c r="R481" s="1396">
        <v>350000000</v>
      </c>
      <c r="S481" s="1396">
        <v>350000000</v>
      </c>
      <c r="T481" s="1357">
        <f>+Tabla16[[#This Row],[CDPS A 31 JULIO 2022]]-Tabla16[[#This Row],[CDP]]</f>
        <v>0</v>
      </c>
      <c r="U481" s="1361"/>
      <c r="V481" s="1361"/>
      <c r="W481" s="1357"/>
    </row>
    <row r="482" spans="1:23" s="1387" customFormat="1" ht="45" hidden="1" customHeight="1" x14ac:dyDescent="0.3">
      <c r="A482" s="1358">
        <v>2022498</v>
      </c>
      <c r="B482" s="1359">
        <v>7658</v>
      </c>
      <c r="C482" s="1360" t="s">
        <v>679</v>
      </c>
      <c r="D482" s="1381" t="s">
        <v>698</v>
      </c>
      <c r="E482" s="1382">
        <v>72101509</v>
      </c>
      <c r="F482" s="1383" t="s">
        <v>1128</v>
      </c>
      <c r="G482" s="1384">
        <v>44683</v>
      </c>
      <c r="H482" s="1384">
        <v>44728</v>
      </c>
      <c r="I482" s="1268">
        <v>9</v>
      </c>
      <c r="J482" s="1268" t="s">
        <v>696</v>
      </c>
      <c r="K482" s="1177" t="s">
        <v>674</v>
      </c>
      <c r="L482" s="1178" t="s">
        <v>981</v>
      </c>
      <c r="M482" s="1249">
        <v>300000000</v>
      </c>
      <c r="N482" s="1376" t="s">
        <v>784</v>
      </c>
      <c r="O482" s="1382" t="s">
        <v>771</v>
      </c>
      <c r="P482" s="1159" t="s">
        <v>678</v>
      </c>
      <c r="Q482" s="1159"/>
      <c r="R482" s="1396">
        <v>300000000</v>
      </c>
      <c r="S482" s="1396">
        <v>300000000</v>
      </c>
      <c r="T482" s="1357">
        <f>+Tabla16[[#This Row],[CDPS A 31 JULIO 2022]]-Tabla16[[#This Row],[CDP]]</f>
        <v>0</v>
      </c>
      <c r="U482" s="1361"/>
      <c r="V482" s="1361"/>
      <c r="W482" s="1357"/>
    </row>
    <row r="483" spans="1:23" s="1207" customFormat="1" ht="45" hidden="1" customHeight="1" x14ac:dyDescent="0.3">
      <c r="A483" s="1355">
        <v>2022499</v>
      </c>
      <c r="B483" s="1172">
        <v>7658</v>
      </c>
      <c r="C483" s="1356" t="s">
        <v>679</v>
      </c>
      <c r="D483" s="1190" t="s">
        <v>698</v>
      </c>
      <c r="E483" s="1174">
        <v>78111800</v>
      </c>
      <c r="F483" s="1379" t="s">
        <v>1129</v>
      </c>
      <c r="G483" s="1380">
        <v>44683</v>
      </c>
      <c r="H483" s="1380">
        <v>44743</v>
      </c>
      <c r="I483" s="1176">
        <v>12</v>
      </c>
      <c r="J483" s="1176" t="s">
        <v>720</v>
      </c>
      <c r="K483" s="1177" t="s">
        <v>674</v>
      </c>
      <c r="L483" s="1178" t="s">
        <v>1130</v>
      </c>
      <c r="M483" s="1179">
        <f>600000000-100000000-139210766</f>
        <v>360789234</v>
      </c>
      <c r="N483" s="1376" t="s">
        <v>784</v>
      </c>
      <c r="O483" s="1174" t="s">
        <v>771</v>
      </c>
      <c r="P483" s="1163" t="s">
        <v>678</v>
      </c>
      <c r="Q483" s="1163"/>
      <c r="R483" s="1357">
        <v>360789234</v>
      </c>
      <c r="S483" s="1357">
        <v>500000000</v>
      </c>
      <c r="T483" s="1357">
        <f>+Tabla16[[#This Row],[CDPS A 31 JULIO 2022]]-Tabla16[[#This Row],[CDP]]</f>
        <v>-139210766</v>
      </c>
      <c r="U483" s="1357">
        <v>360789234</v>
      </c>
      <c r="V483" s="1357">
        <v>40655029</v>
      </c>
      <c r="W483" s="1357"/>
    </row>
    <row r="484" spans="1:23" s="1207" customFormat="1" ht="45" hidden="1" customHeight="1" x14ac:dyDescent="0.3">
      <c r="A484" s="1355">
        <v>2022500</v>
      </c>
      <c r="B484" s="1172">
        <v>7658</v>
      </c>
      <c r="C484" s="1356" t="s">
        <v>679</v>
      </c>
      <c r="D484" s="1190" t="s">
        <v>698</v>
      </c>
      <c r="E484" s="1174"/>
      <c r="F484" s="1379" t="s">
        <v>1131</v>
      </c>
      <c r="G484" s="1380">
        <v>44576</v>
      </c>
      <c r="H484" s="1380">
        <v>44593</v>
      </c>
      <c r="I484" s="1176">
        <v>12</v>
      </c>
      <c r="J484" s="1176" t="s">
        <v>97</v>
      </c>
      <c r="K484" s="1177" t="s">
        <v>674</v>
      </c>
      <c r="L484" s="1178" t="s">
        <v>675</v>
      </c>
      <c r="M484" s="1179">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-30000000-6183142-151933-315000</f>
        <v>55161736</v>
      </c>
      <c r="N484" s="1376" t="s">
        <v>779</v>
      </c>
      <c r="O484" s="1174" t="s">
        <v>771</v>
      </c>
      <c r="P484" s="1163" t="s">
        <v>748</v>
      </c>
      <c r="Q484" s="1163"/>
      <c r="R484" s="1269">
        <v>0</v>
      </c>
      <c r="S484" s="1357"/>
      <c r="T484" s="1357">
        <f>+Tabla16[[#This Row],[CDPS A 31 JULIO 2022]]-Tabla16[[#This Row],[CDP]]</f>
        <v>0</v>
      </c>
      <c r="U484" s="1357"/>
      <c r="V484" s="1357"/>
      <c r="W484" s="1357"/>
    </row>
    <row r="485" spans="1:23" s="1207" customFormat="1" ht="45" hidden="1" customHeight="1" x14ac:dyDescent="0.3">
      <c r="A485" s="1358">
        <v>2022501</v>
      </c>
      <c r="B485" s="1359">
        <v>7658</v>
      </c>
      <c r="C485" s="1360" t="s">
        <v>679</v>
      </c>
      <c r="D485" s="1381" t="s">
        <v>698</v>
      </c>
      <c r="E485" s="1382" t="s">
        <v>1132</v>
      </c>
      <c r="F485" s="1383" t="s">
        <v>1133</v>
      </c>
      <c r="G485" s="1384">
        <v>44683</v>
      </c>
      <c r="H485" s="1384">
        <v>44743</v>
      </c>
      <c r="I485" s="1268">
        <v>12</v>
      </c>
      <c r="J485" s="1176" t="s">
        <v>645</v>
      </c>
      <c r="K485" s="1385" t="s">
        <v>770</v>
      </c>
      <c r="L485" s="1178" t="s">
        <v>981</v>
      </c>
      <c r="M485" s="1249">
        <f>437560000-437560000</f>
        <v>0</v>
      </c>
      <c r="N485" s="1376" t="s">
        <v>784</v>
      </c>
      <c r="O485" s="1382" t="s">
        <v>771</v>
      </c>
      <c r="P485" s="1163" t="s">
        <v>678</v>
      </c>
      <c r="Q485" s="1163"/>
      <c r="R485" s="1269">
        <v>0</v>
      </c>
      <c r="S485" s="1357"/>
      <c r="T485" s="1357">
        <f>+Tabla16[[#This Row],[CDPS A 31 JULIO 2022]]-Tabla16[[#This Row],[CDP]]</f>
        <v>0</v>
      </c>
      <c r="U485" s="1357"/>
      <c r="V485" s="1357"/>
      <c r="W485" s="1357"/>
    </row>
    <row r="486" spans="1:23" s="1207" customFormat="1" ht="45" hidden="1" customHeight="1" x14ac:dyDescent="0.3">
      <c r="A486" s="1355">
        <v>2022502</v>
      </c>
      <c r="B486" s="1172">
        <v>7658</v>
      </c>
      <c r="C486" s="1356" t="s">
        <v>679</v>
      </c>
      <c r="D486" s="1190" t="s">
        <v>698</v>
      </c>
      <c r="E486" s="1174">
        <v>80111600</v>
      </c>
      <c r="F486" s="1379" t="s">
        <v>1134</v>
      </c>
      <c r="G486" s="1380">
        <v>44562</v>
      </c>
      <c r="H486" s="1380">
        <v>44592</v>
      </c>
      <c r="I486" s="1176">
        <v>11.5</v>
      </c>
      <c r="J486" s="1176" t="s">
        <v>673</v>
      </c>
      <c r="K486" s="1177" t="s">
        <v>674</v>
      </c>
      <c r="L486" s="1178" t="s">
        <v>675</v>
      </c>
      <c r="M486" s="1179">
        <f>98900000-4300000</f>
        <v>94600000</v>
      </c>
      <c r="N486" s="1376" t="s">
        <v>784</v>
      </c>
      <c r="O486" s="1174" t="s">
        <v>771</v>
      </c>
      <c r="P486" s="1163" t="s">
        <v>678</v>
      </c>
      <c r="Q486" s="1163"/>
      <c r="R486" s="1357">
        <v>94600000</v>
      </c>
      <c r="S486" s="1357">
        <v>94600000</v>
      </c>
      <c r="T486" s="1357">
        <f>+Tabla16[[#This Row],[CDPS A 31 JULIO 2022]]-Tabla16[[#This Row],[CDP]]</f>
        <v>0</v>
      </c>
      <c r="U486" s="1357">
        <v>94600000</v>
      </c>
      <c r="V486" s="1357">
        <v>36406667</v>
      </c>
      <c r="W486" s="1357"/>
    </row>
    <row r="487" spans="1:23" s="1207" customFormat="1" ht="45" hidden="1" customHeight="1" x14ac:dyDescent="0.3">
      <c r="A487" s="1355">
        <v>2022503</v>
      </c>
      <c r="B487" s="1172">
        <v>7658</v>
      </c>
      <c r="C487" s="1356" t="s">
        <v>679</v>
      </c>
      <c r="D487" s="1190" t="s">
        <v>698</v>
      </c>
      <c r="E487" s="1174">
        <v>80111600</v>
      </c>
      <c r="F487" s="1379" t="s">
        <v>1135</v>
      </c>
      <c r="G487" s="1380">
        <v>44562</v>
      </c>
      <c r="H487" s="1380">
        <v>44592</v>
      </c>
      <c r="I487" s="1176">
        <v>11.5</v>
      </c>
      <c r="J487" s="1176" t="s">
        <v>673</v>
      </c>
      <c r="K487" s="1177" t="s">
        <v>674</v>
      </c>
      <c r="L487" s="1178" t="s">
        <v>675</v>
      </c>
      <c r="M487" s="1179">
        <f>97175000-4225000</f>
        <v>92950000</v>
      </c>
      <c r="N487" s="1376" t="s">
        <v>784</v>
      </c>
      <c r="O487" s="1174" t="s">
        <v>771</v>
      </c>
      <c r="P487" s="1163" t="s">
        <v>678</v>
      </c>
      <c r="Q487" s="1163"/>
      <c r="R487" s="1357">
        <v>92950000</v>
      </c>
      <c r="S487" s="1357">
        <v>92950000</v>
      </c>
      <c r="T487" s="1357">
        <f>+Tabla16[[#This Row],[CDPS A 31 JULIO 2022]]-Tabla16[[#This Row],[CDP]]</f>
        <v>0</v>
      </c>
      <c r="U487" s="1357">
        <v>92950000</v>
      </c>
      <c r="V487" s="1357">
        <v>37743333</v>
      </c>
      <c r="W487" s="1357"/>
    </row>
    <row r="488" spans="1:23" s="1207" customFormat="1" ht="45" hidden="1" customHeight="1" x14ac:dyDescent="0.3">
      <c r="A488" s="1355">
        <v>2022504</v>
      </c>
      <c r="B488" s="1172">
        <v>7658</v>
      </c>
      <c r="C488" s="1356" t="s">
        <v>679</v>
      </c>
      <c r="D488" s="1190" t="s">
        <v>698</v>
      </c>
      <c r="E488" s="1174">
        <v>80111600</v>
      </c>
      <c r="F488" s="1379" t="s">
        <v>1136</v>
      </c>
      <c r="G488" s="1380">
        <v>44562</v>
      </c>
      <c r="H488" s="1380">
        <v>44592</v>
      </c>
      <c r="I488" s="1176">
        <v>11.5</v>
      </c>
      <c r="J488" s="1176" t="s">
        <v>673</v>
      </c>
      <c r="K488" s="1177" t="s">
        <v>674</v>
      </c>
      <c r="L488" s="1178" t="s">
        <v>782</v>
      </c>
      <c r="M488" s="1179">
        <f>103500000-4500000</f>
        <v>99000000</v>
      </c>
      <c r="N488" s="1376" t="s">
        <v>784</v>
      </c>
      <c r="O488" s="1174" t="s">
        <v>771</v>
      </c>
      <c r="P488" s="1163" t="s">
        <v>678</v>
      </c>
      <c r="Q488" s="1163"/>
      <c r="R488" s="1357">
        <v>99000000</v>
      </c>
      <c r="S488" s="1357">
        <v>99000000</v>
      </c>
      <c r="T488" s="1357">
        <f>+Tabla16[[#This Row],[CDPS A 31 JULIO 2022]]-Tabla16[[#This Row],[CDP]]</f>
        <v>0</v>
      </c>
      <c r="U488" s="1357">
        <v>99000000</v>
      </c>
      <c r="V488" s="1357">
        <v>37800000</v>
      </c>
      <c r="W488" s="1357"/>
    </row>
    <row r="489" spans="1:23" s="1207" customFormat="1" ht="45" hidden="1" customHeight="1" x14ac:dyDescent="0.3">
      <c r="A489" s="1355">
        <v>2022505</v>
      </c>
      <c r="B489" s="1172">
        <v>7658</v>
      </c>
      <c r="C489" s="1356" t="s">
        <v>679</v>
      </c>
      <c r="D489" s="1190" t="s">
        <v>698</v>
      </c>
      <c r="E489" s="1174">
        <v>80111600</v>
      </c>
      <c r="F489" s="1379" t="s">
        <v>1137</v>
      </c>
      <c r="G489" s="1380">
        <v>44562</v>
      </c>
      <c r="H489" s="1380">
        <v>44592</v>
      </c>
      <c r="I489" s="1176">
        <v>11.5</v>
      </c>
      <c r="J489" s="1176" t="s">
        <v>673</v>
      </c>
      <c r="K489" s="1177" t="s">
        <v>674</v>
      </c>
      <c r="L489" s="1178" t="s">
        <v>675</v>
      </c>
      <c r="M489" s="1179">
        <f>94760000-4120000</f>
        <v>90640000</v>
      </c>
      <c r="N489" s="1376" t="s">
        <v>779</v>
      </c>
      <c r="O489" s="1174" t="s">
        <v>771</v>
      </c>
      <c r="P489" s="1163" t="s">
        <v>678</v>
      </c>
      <c r="Q489" s="1163"/>
      <c r="R489" s="1357">
        <v>90640000</v>
      </c>
      <c r="S489" s="1357">
        <v>90640000</v>
      </c>
      <c r="T489" s="1357">
        <f>+Tabla16[[#This Row],[CDPS A 31 JULIO 2022]]-Tabla16[[#This Row],[CDP]]</f>
        <v>0</v>
      </c>
      <c r="U489" s="1357">
        <v>90640000</v>
      </c>
      <c r="V489" s="1357">
        <v>32685333</v>
      </c>
      <c r="W489" s="1357"/>
    </row>
    <row r="490" spans="1:23" s="1207" customFormat="1" ht="45" hidden="1" customHeight="1" x14ac:dyDescent="0.3">
      <c r="A490" s="1355">
        <v>2022506</v>
      </c>
      <c r="B490" s="1172">
        <v>7658</v>
      </c>
      <c r="C490" s="1356" t="s">
        <v>679</v>
      </c>
      <c r="D490" s="1190" t="s">
        <v>698</v>
      </c>
      <c r="E490" s="1174">
        <v>80111600</v>
      </c>
      <c r="F490" s="1379" t="s">
        <v>1138</v>
      </c>
      <c r="G490" s="1380">
        <v>44562</v>
      </c>
      <c r="H490" s="1380">
        <v>44592</v>
      </c>
      <c r="I490" s="1176">
        <v>11.5</v>
      </c>
      <c r="J490" s="1176" t="s">
        <v>673</v>
      </c>
      <c r="K490" s="1177" t="s">
        <v>674</v>
      </c>
      <c r="L490" s="1178" t="s">
        <v>675</v>
      </c>
      <c r="M490" s="1179">
        <f>97175000-20700000-13225000-2750000</f>
        <v>60500000</v>
      </c>
      <c r="N490" s="1376" t="s">
        <v>784</v>
      </c>
      <c r="O490" s="1174" t="s">
        <v>771</v>
      </c>
      <c r="P490" s="1163" t="s">
        <v>678</v>
      </c>
      <c r="Q490" s="1163"/>
      <c r="R490" s="1357">
        <v>60500000</v>
      </c>
      <c r="S490" s="1357">
        <v>60500000</v>
      </c>
      <c r="T490" s="1357">
        <f>+Tabla16[[#This Row],[CDPS A 31 JULIO 2022]]-Tabla16[[#This Row],[CDP]]</f>
        <v>0</v>
      </c>
      <c r="U490" s="1357">
        <v>60500000</v>
      </c>
      <c r="V490" s="1357">
        <v>21450000</v>
      </c>
      <c r="W490" s="1357"/>
    </row>
    <row r="491" spans="1:23" s="1207" customFormat="1" ht="45" hidden="1" customHeight="1" x14ac:dyDescent="0.3">
      <c r="A491" s="1355">
        <v>2022507</v>
      </c>
      <c r="B491" s="1172">
        <v>7658</v>
      </c>
      <c r="C491" s="1356" t="s">
        <v>679</v>
      </c>
      <c r="D491" s="1190" t="s">
        <v>698</v>
      </c>
      <c r="E491" s="1174">
        <v>80111600</v>
      </c>
      <c r="F491" s="1379" t="s">
        <v>1139</v>
      </c>
      <c r="G491" s="1380">
        <v>44562</v>
      </c>
      <c r="H491" s="1380">
        <v>44592</v>
      </c>
      <c r="I491" s="1176">
        <v>11.5</v>
      </c>
      <c r="J491" s="1176" t="s">
        <v>673</v>
      </c>
      <c r="K491" s="1177" t="s">
        <v>674</v>
      </c>
      <c r="L491" s="1178" t="s">
        <v>675</v>
      </c>
      <c r="M491" s="1179">
        <f>82915000-3605000</f>
        <v>79310000</v>
      </c>
      <c r="N491" s="1376" t="s">
        <v>784</v>
      </c>
      <c r="O491" s="1174" t="s">
        <v>771</v>
      </c>
      <c r="P491" s="1163" t="s">
        <v>678</v>
      </c>
      <c r="Q491" s="1163"/>
      <c r="R491" s="1357">
        <v>79310000</v>
      </c>
      <c r="S491" s="1357">
        <v>79310000</v>
      </c>
      <c r="T491" s="1357">
        <f>+Tabla16[[#This Row],[CDPS A 31 JULIO 2022]]-Tabla16[[#This Row],[CDP]]</f>
        <v>0</v>
      </c>
      <c r="U491" s="1357">
        <v>79310000</v>
      </c>
      <c r="V491" s="1357">
        <v>29561000</v>
      </c>
      <c r="W491" s="1357"/>
    </row>
    <row r="492" spans="1:23" s="1207" customFormat="1" ht="45" hidden="1" customHeight="1" x14ac:dyDescent="0.3">
      <c r="A492" s="1355">
        <v>2022508</v>
      </c>
      <c r="B492" s="1172">
        <v>7658</v>
      </c>
      <c r="C492" s="1356" t="s">
        <v>679</v>
      </c>
      <c r="D492" s="1190" t="s">
        <v>698</v>
      </c>
      <c r="E492" s="1174">
        <v>80111600</v>
      </c>
      <c r="F492" s="1379" t="s">
        <v>1140</v>
      </c>
      <c r="G492" s="1380">
        <v>44576</v>
      </c>
      <c r="H492" s="1380">
        <v>44593</v>
      </c>
      <c r="I492" s="1176">
        <v>11.5</v>
      </c>
      <c r="J492" s="1176" t="s">
        <v>673</v>
      </c>
      <c r="K492" s="1177" t="s">
        <v>674</v>
      </c>
      <c r="L492" s="1178" t="s">
        <v>675</v>
      </c>
      <c r="M492" s="1179">
        <f>32200000-15400000</f>
        <v>16800000</v>
      </c>
      <c r="N492" s="1376" t="s">
        <v>784</v>
      </c>
      <c r="O492" s="1174" t="s">
        <v>771</v>
      </c>
      <c r="P492" s="1163" t="s">
        <v>678</v>
      </c>
      <c r="Q492" s="1163"/>
      <c r="R492" s="1357">
        <v>16800000</v>
      </c>
      <c r="S492" s="1357">
        <v>16800000</v>
      </c>
      <c r="T492" s="1357">
        <f>+Tabla16[[#This Row],[CDPS A 31 JULIO 2022]]-Tabla16[[#This Row],[CDP]]</f>
        <v>0</v>
      </c>
      <c r="U492" s="1357">
        <v>16800000</v>
      </c>
      <c r="V492" s="1357">
        <v>12226667</v>
      </c>
      <c r="W492" s="1357"/>
    </row>
    <row r="493" spans="1:23" s="1207" customFormat="1" ht="45" hidden="1" customHeight="1" x14ac:dyDescent="0.3">
      <c r="A493" s="1355">
        <v>2022509</v>
      </c>
      <c r="B493" s="1172">
        <v>7658</v>
      </c>
      <c r="C493" s="1356" t="s">
        <v>679</v>
      </c>
      <c r="D493" s="1190" t="s">
        <v>698</v>
      </c>
      <c r="E493" s="1174">
        <v>80111600</v>
      </c>
      <c r="F493" s="1379" t="s">
        <v>1141</v>
      </c>
      <c r="G493" s="1380">
        <v>44562</v>
      </c>
      <c r="H493" s="1380">
        <v>44592</v>
      </c>
      <c r="I493" s="1176">
        <v>11.5</v>
      </c>
      <c r="J493" s="1176" t="s">
        <v>673</v>
      </c>
      <c r="K493" s="1177" t="s">
        <v>674</v>
      </c>
      <c r="L493" s="1178" t="s">
        <v>675</v>
      </c>
      <c r="M493" s="1179">
        <f>36685000-1595000</f>
        <v>35090000</v>
      </c>
      <c r="N493" s="1376" t="s">
        <v>779</v>
      </c>
      <c r="O493" s="1174" t="s">
        <v>771</v>
      </c>
      <c r="P493" s="1163" t="s">
        <v>678</v>
      </c>
      <c r="Q493" s="1163"/>
      <c r="R493" s="1357">
        <v>35090000</v>
      </c>
      <c r="S493" s="1357">
        <v>35090000</v>
      </c>
      <c r="T493" s="1357">
        <f>+Tabla16[[#This Row],[CDPS A 31 JULIO 2022]]-Tabla16[[#This Row],[CDP]]</f>
        <v>0</v>
      </c>
      <c r="U493" s="1357">
        <v>35090000</v>
      </c>
      <c r="V493" s="1357">
        <v>13504333</v>
      </c>
      <c r="W493" s="1357"/>
    </row>
    <row r="494" spans="1:23" s="1207" customFormat="1" ht="45" hidden="1" customHeight="1" x14ac:dyDescent="0.3">
      <c r="A494" s="1355">
        <v>2022510</v>
      </c>
      <c r="B494" s="1172">
        <v>7658</v>
      </c>
      <c r="C494" s="1356" t="s">
        <v>679</v>
      </c>
      <c r="D494" s="1190" t="s">
        <v>698</v>
      </c>
      <c r="E494" s="1174">
        <v>80111600</v>
      </c>
      <c r="F494" s="1379" t="s">
        <v>1142</v>
      </c>
      <c r="G494" s="1380">
        <v>44562</v>
      </c>
      <c r="H494" s="1380">
        <v>44592</v>
      </c>
      <c r="I494" s="1176">
        <v>11.5</v>
      </c>
      <c r="J494" s="1176" t="s">
        <v>673</v>
      </c>
      <c r="K494" s="1177" t="s">
        <v>674</v>
      </c>
      <c r="L494" s="1178" t="s">
        <v>675</v>
      </c>
      <c r="M494" s="1179">
        <f>97175000-4225000</f>
        <v>92950000</v>
      </c>
      <c r="N494" s="1376" t="s">
        <v>779</v>
      </c>
      <c r="O494" s="1174" t="s">
        <v>771</v>
      </c>
      <c r="P494" s="1163" t="s">
        <v>678</v>
      </c>
      <c r="Q494" s="1163"/>
      <c r="R494" s="1357">
        <v>92950000</v>
      </c>
      <c r="S494" s="1357">
        <v>92950000</v>
      </c>
      <c r="T494" s="1357">
        <f>+Tabla16[[#This Row],[CDPS A 31 JULIO 2022]]-Tabla16[[#This Row],[CDP]]</f>
        <v>0</v>
      </c>
      <c r="U494" s="1357">
        <v>92950000</v>
      </c>
      <c r="V494" s="1357">
        <v>37743333</v>
      </c>
      <c r="W494" s="1357"/>
    </row>
    <row r="495" spans="1:23" s="1207" customFormat="1" ht="45" hidden="1" customHeight="1" x14ac:dyDescent="0.3">
      <c r="A495" s="1355">
        <v>2022511</v>
      </c>
      <c r="B495" s="1172">
        <v>7658</v>
      </c>
      <c r="C495" s="1356" t="s">
        <v>679</v>
      </c>
      <c r="D495" s="1190" t="s">
        <v>698</v>
      </c>
      <c r="E495" s="1174">
        <v>80111600</v>
      </c>
      <c r="F495" s="1379" t="s">
        <v>1143</v>
      </c>
      <c r="G495" s="1380">
        <v>44562</v>
      </c>
      <c r="H495" s="1380">
        <v>44592</v>
      </c>
      <c r="I495" s="1176">
        <v>11.5</v>
      </c>
      <c r="J495" s="1176" t="s">
        <v>673</v>
      </c>
      <c r="K495" s="1177" t="s">
        <v>674</v>
      </c>
      <c r="L495" s="1178" t="s">
        <v>675</v>
      </c>
      <c r="M495" s="1179">
        <f>45655000-1985000</f>
        <v>43670000</v>
      </c>
      <c r="N495" s="1376" t="s">
        <v>779</v>
      </c>
      <c r="O495" s="1174" t="s">
        <v>771</v>
      </c>
      <c r="P495" s="1163" t="s">
        <v>678</v>
      </c>
      <c r="Q495" s="1163"/>
      <c r="R495" s="1357">
        <v>43670000</v>
      </c>
      <c r="S495" s="1357">
        <v>43670000</v>
      </c>
      <c r="T495" s="1357">
        <f>+Tabla16[[#This Row],[CDPS A 31 JULIO 2022]]-Tabla16[[#This Row],[CDP]]</f>
        <v>0</v>
      </c>
      <c r="U495" s="1357">
        <v>43670000</v>
      </c>
      <c r="V495" s="1357">
        <v>16806333</v>
      </c>
      <c r="W495" s="1357"/>
    </row>
    <row r="496" spans="1:23" s="1207" customFormat="1" ht="45" hidden="1" customHeight="1" x14ac:dyDescent="0.3">
      <c r="A496" s="1355">
        <v>2022512</v>
      </c>
      <c r="B496" s="1172">
        <v>7658</v>
      </c>
      <c r="C496" s="1356" t="s">
        <v>679</v>
      </c>
      <c r="D496" s="1190" t="s">
        <v>698</v>
      </c>
      <c r="E496" s="1174">
        <v>80111600</v>
      </c>
      <c r="F496" s="1379" t="s">
        <v>1139</v>
      </c>
      <c r="G496" s="1380">
        <v>44562</v>
      </c>
      <c r="H496" s="1380">
        <v>44592</v>
      </c>
      <c r="I496" s="1176">
        <v>11.5</v>
      </c>
      <c r="J496" s="1176" t="s">
        <v>673</v>
      </c>
      <c r="K496" s="1177" t="s">
        <v>674</v>
      </c>
      <c r="L496" s="1178" t="s">
        <v>675</v>
      </c>
      <c r="M496" s="1179">
        <f>82915000-3605000</f>
        <v>79310000</v>
      </c>
      <c r="N496" s="1376" t="s">
        <v>784</v>
      </c>
      <c r="O496" s="1174" t="s">
        <v>771</v>
      </c>
      <c r="P496" s="1163" t="s">
        <v>678</v>
      </c>
      <c r="Q496" s="1163"/>
      <c r="R496" s="1357">
        <v>79310000</v>
      </c>
      <c r="S496" s="1357">
        <v>79310000</v>
      </c>
      <c r="T496" s="1357">
        <f>+Tabla16[[#This Row],[CDPS A 31 JULIO 2022]]-Tabla16[[#This Row],[CDP]]</f>
        <v>0</v>
      </c>
      <c r="U496" s="1357">
        <v>79310000</v>
      </c>
      <c r="V496" s="1357">
        <v>30282000</v>
      </c>
      <c r="W496" s="1357"/>
    </row>
    <row r="497" spans="1:23" s="1207" customFormat="1" ht="45" hidden="1" customHeight="1" x14ac:dyDescent="0.3">
      <c r="A497" s="1355">
        <v>2022513</v>
      </c>
      <c r="B497" s="1172">
        <v>7658</v>
      </c>
      <c r="C497" s="1356" t="s">
        <v>679</v>
      </c>
      <c r="D497" s="1190" t="s">
        <v>698</v>
      </c>
      <c r="E497" s="1174">
        <v>80111600</v>
      </c>
      <c r="F497" s="1190" t="s">
        <v>1144</v>
      </c>
      <c r="G497" s="1377">
        <v>44774</v>
      </c>
      <c r="H497" s="1377">
        <v>44774</v>
      </c>
      <c r="I497" s="1176">
        <v>5.5</v>
      </c>
      <c r="J497" s="1176" t="s">
        <v>673</v>
      </c>
      <c r="K497" s="1177" t="s">
        <v>674</v>
      </c>
      <c r="L497" s="1178" t="s">
        <v>675</v>
      </c>
      <c r="M497" s="1179">
        <f>28175000-28175000+33000000</f>
        <v>33000000</v>
      </c>
      <c r="N497" s="1376" t="s">
        <v>784</v>
      </c>
      <c r="O497" s="1174" t="s">
        <v>771</v>
      </c>
      <c r="P497" s="1163" t="s">
        <v>678</v>
      </c>
      <c r="Q497" s="1163"/>
      <c r="R497" s="1357">
        <v>26950000</v>
      </c>
      <c r="S497" s="1357">
        <v>26950000</v>
      </c>
      <c r="T497" s="1357">
        <f>+Tabla16[[#This Row],[CDPS A 31 JULIO 2022]]-Tabla16[[#This Row],[CDP]]</f>
        <v>0</v>
      </c>
      <c r="U497" s="1357">
        <v>26950000</v>
      </c>
      <c r="V497" s="1357">
        <v>9881667</v>
      </c>
      <c r="W497" s="1357"/>
    </row>
    <row r="498" spans="1:23" s="1207" customFormat="1" ht="45" hidden="1" customHeight="1" x14ac:dyDescent="0.3">
      <c r="A498" s="1355">
        <v>2022514</v>
      </c>
      <c r="B498" s="1172">
        <v>7658</v>
      </c>
      <c r="C498" s="1356" t="s">
        <v>679</v>
      </c>
      <c r="D498" s="1190" t="s">
        <v>698</v>
      </c>
      <c r="E498" s="1174">
        <v>80111600</v>
      </c>
      <c r="F498" s="1379" t="s">
        <v>1145</v>
      </c>
      <c r="G498" s="1380">
        <v>44562</v>
      </c>
      <c r="H498" s="1380">
        <v>44592</v>
      </c>
      <c r="I498" s="1176">
        <v>11.5</v>
      </c>
      <c r="J498" s="1176" t="s">
        <v>673</v>
      </c>
      <c r="K498" s="1177" t="s">
        <v>674</v>
      </c>
      <c r="L498" s="1178" t="s">
        <v>675</v>
      </c>
      <c r="M498" s="1179">
        <f>45655000-1985000</f>
        <v>43670000</v>
      </c>
      <c r="N498" s="1376" t="s">
        <v>779</v>
      </c>
      <c r="O498" s="1174" t="s">
        <v>771</v>
      </c>
      <c r="P498" s="1163" t="s">
        <v>678</v>
      </c>
      <c r="Q498" s="1163"/>
      <c r="R498" s="1357">
        <v>43670000</v>
      </c>
      <c r="S498" s="1357">
        <v>43670000</v>
      </c>
      <c r="T498" s="1357">
        <f>+Tabla16[[#This Row],[CDPS A 31 JULIO 2022]]-Tabla16[[#This Row],[CDP]]</f>
        <v>0</v>
      </c>
      <c r="U498" s="1357">
        <v>43670000</v>
      </c>
      <c r="V498" s="1357">
        <v>16012333</v>
      </c>
      <c r="W498" s="1357"/>
    </row>
    <row r="499" spans="1:23" s="1207" customFormat="1" ht="45" hidden="1" customHeight="1" x14ac:dyDescent="0.3">
      <c r="A499" s="1355">
        <v>2022515</v>
      </c>
      <c r="B499" s="1172">
        <v>7658</v>
      </c>
      <c r="C499" s="1356" t="s">
        <v>679</v>
      </c>
      <c r="D499" s="1190" t="s">
        <v>698</v>
      </c>
      <c r="E499" s="1174">
        <v>80111600</v>
      </c>
      <c r="F499" s="1379" t="s">
        <v>1146</v>
      </c>
      <c r="G499" s="1380">
        <v>44562</v>
      </c>
      <c r="H499" s="1380">
        <v>44592</v>
      </c>
      <c r="I499" s="1176">
        <v>11.5</v>
      </c>
      <c r="J499" s="1176" t="s">
        <v>673</v>
      </c>
      <c r="K499" s="1177" t="s">
        <v>674</v>
      </c>
      <c r="L499" s="1178" t="s">
        <v>675</v>
      </c>
      <c r="M499" s="1179">
        <f>36685000-1595000</f>
        <v>35090000</v>
      </c>
      <c r="N499" s="1376" t="s">
        <v>784</v>
      </c>
      <c r="O499" s="1174" t="s">
        <v>771</v>
      </c>
      <c r="P499" s="1163" t="s">
        <v>678</v>
      </c>
      <c r="Q499" s="1163"/>
      <c r="R499" s="1357">
        <v>35090000</v>
      </c>
      <c r="S499" s="1357">
        <v>35090000</v>
      </c>
      <c r="T499" s="1357">
        <f>+Tabla16[[#This Row],[CDPS A 31 JULIO 2022]]-Tabla16[[#This Row],[CDP]]</f>
        <v>0</v>
      </c>
      <c r="U499" s="1357">
        <v>35090000</v>
      </c>
      <c r="V499" s="1357">
        <v>13398000</v>
      </c>
      <c r="W499" s="1357"/>
    </row>
    <row r="500" spans="1:23" s="1207" customFormat="1" ht="45" hidden="1" customHeight="1" x14ac:dyDescent="0.3">
      <c r="A500" s="1355">
        <v>2022516</v>
      </c>
      <c r="B500" s="1172">
        <v>7658</v>
      </c>
      <c r="C500" s="1356" t="s">
        <v>679</v>
      </c>
      <c r="D500" s="1190" t="s">
        <v>698</v>
      </c>
      <c r="E500" s="1174">
        <v>80111600</v>
      </c>
      <c r="F500" s="1379" t="s">
        <v>1147</v>
      </c>
      <c r="G500" s="1380">
        <v>44562</v>
      </c>
      <c r="H500" s="1380">
        <v>44592</v>
      </c>
      <c r="I500" s="1176">
        <v>11.5</v>
      </c>
      <c r="J500" s="1176" t="s">
        <v>673</v>
      </c>
      <c r="K500" s="1177" t="s">
        <v>674</v>
      </c>
      <c r="L500" s="1178" t="s">
        <v>675</v>
      </c>
      <c r="M500" s="1179">
        <f>28175000-1225000</f>
        <v>26950000</v>
      </c>
      <c r="N500" s="1376" t="s">
        <v>779</v>
      </c>
      <c r="O500" s="1174" t="s">
        <v>771</v>
      </c>
      <c r="P500" s="1163" t="s">
        <v>678</v>
      </c>
      <c r="Q500" s="1163"/>
      <c r="R500" s="1357">
        <v>26950000</v>
      </c>
      <c r="S500" s="1357">
        <v>26950000</v>
      </c>
      <c r="T500" s="1357">
        <f>+Tabla16[[#This Row],[CDPS A 31 JULIO 2022]]-Tabla16[[#This Row],[CDP]]</f>
        <v>0</v>
      </c>
      <c r="U500" s="1357">
        <v>26950000</v>
      </c>
      <c r="V500" s="1357">
        <v>8983333</v>
      </c>
      <c r="W500" s="1357"/>
    </row>
    <row r="501" spans="1:23" s="1207" customFormat="1" ht="45" hidden="1" customHeight="1" x14ac:dyDescent="0.3">
      <c r="A501" s="1355">
        <v>2022517</v>
      </c>
      <c r="B501" s="1172">
        <v>7658</v>
      </c>
      <c r="C501" s="1356" t="s">
        <v>679</v>
      </c>
      <c r="D501" s="1190" t="s">
        <v>698</v>
      </c>
      <c r="E501" s="1174">
        <v>80111600</v>
      </c>
      <c r="F501" s="1379" t="s">
        <v>1148</v>
      </c>
      <c r="G501" s="1380">
        <v>44562</v>
      </c>
      <c r="H501" s="1380">
        <v>44592</v>
      </c>
      <c r="I501" s="1176">
        <v>11.5</v>
      </c>
      <c r="J501" s="1176" t="s">
        <v>673</v>
      </c>
      <c r="K501" s="1177" t="s">
        <v>674</v>
      </c>
      <c r="L501" s="1178" t="s">
        <v>675</v>
      </c>
      <c r="M501" s="1179">
        <f>36685000-1595000</f>
        <v>35090000</v>
      </c>
      <c r="N501" s="1376" t="s">
        <v>784</v>
      </c>
      <c r="O501" s="1174" t="s">
        <v>771</v>
      </c>
      <c r="P501" s="1163" t="s">
        <v>678</v>
      </c>
      <c r="Q501" s="1163"/>
      <c r="R501" s="1357">
        <v>35090000</v>
      </c>
      <c r="S501" s="1357">
        <v>35090000</v>
      </c>
      <c r="T501" s="1357">
        <f>+Tabla16[[#This Row],[CDPS A 31 JULIO 2022]]-Tabla16[[#This Row],[CDP]]</f>
        <v>0</v>
      </c>
      <c r="U501" s="1357">
        <v>35090000</v>
      </c>
      <c r="V501" s="1357">
        <v>13079000</v>
      </c>
      <c r="W501" s="1357"/>
    </row>
    <row r="502" spans="1:23" s="1207" customFormat="1" ht="45" hidden="1" customHeight="1" x14ac:dyDescent="0.3">
      <c r="A502" s="1355">
        <v>2022518</v>
      </c>
      <c r="B502" s="1172">
        <v>7658</v>
      </c>
      <c r="C502" s="1356" t="s">
        <v>679</v>
      </c>
      <c r="D502" s="1190" t="s">
        <v>698</v>
      </c>
      <c r="E502" s="1174">
        <v>80111600</v>
      </c>
      <c r="F502" s="1379" t="s">
        <v>1149</v>
      </c>
      <c r="G502" s="1380">
        <v>44562</v>
      </c>
      <c r="H502" s="1380">
        <v>44592</v>
      </c>
      <c r="I502" s="1176">
        <v>11.5</v>
      </c>
      <c r="J502" s="1176" t="s">
        <v>673</v>
      </c>
      <c r="K502" s="1177" t="s">
        <v>674</v>
      </c>
      <c r="L502" s="1178" t="s">
        <v>675</v>
      </c>
      <c r="M502" s="1179">
        <f>51750000-50000</f>
        <v>51700000</v>
      </c>
      <c r="N502" s="1376" t="s">
        <v>784</v>
      </c>
      <c r="O502" s="1174" t="s">
        <v>771</v>
      </c>
      <c r="P502" s="1163" t="s">
        <v>678</v>
      </c>
      <c r="Q502" s="1163"/>
      <c r="R502" s="1357">
        <v>51700000</v>
      </c>
      <c r="S502" s="1357">
        <v>51700000</v>
      </c>
      <c r="T502" s="1357">
        <f>+Tabla16[[#This Row],[CDPS A 31 JULIO 2022]]-Tabla16[[#This Row],[CDP]]</f>
        <v>0</v>
      </c>
      <c r="U502" s="1357">
        <v>51700000</v>
      </c>
      <c r="V502" s="1357">
        <v>19896667</v>
      </c>
      <c r="W502" s="1357"/>
    </row>
    <row r="503" spans="1:23" s="1207" customFormat="1" ht="45" hidden="1" customHeight="1" x14ac:dyDescent="0.3">
      <c r="A503" s="1355">
        <v>2022519</v>
      </c>
      <c r="B503" s="1172">
        <v>7658</v>
      </c>
      <c r="C503" s="1356" t="s">
        <v>679</v>
      </c>
      <c r="D503" s="1190" t="s">
        <v>698</v>
      </c>
      <c r="E503" s="1174">
        <v>80111600</v>
      </c>
      <c r="F503" s="1379" t="s">
        <v>1150</v>
      </c>
      <c r="G503" s="1380">
        <v>44562</v>
      </c>
      <c r="H503" s="1380">
        <v>44592</v>
      </c>
      <c r="I503" s="1176">
        <v>11.5</v>
      </c>
      <c r="J503" s="1176" t="s">
        <v>673</v>
      </c>
      <c r="K503" s="1177" t="s">
        <v>674</v>
      </c>
      <c r="L503" s="1178" t="s">
        <v>675</v>
      </c>
      <c r="M503" s="1179">
        <f>54050000-4550000</f>
        <v>49500000</v>
      </c>
      <c r="N503" s="1376" t="s">
        <v>779</v>
      </c>
      <c r="O503" s="1174" t="s">
        <v>771</v>
      </c>
      <c r="P503" s="1163" t="s">
        <v>678</v>
      </c>
      <c r="Q503" s="1163"/>
      <c r="R503" s="1357">
        <v>49500000</v>
      </c>
      <c r="S503" s="1357">
        <v>49500000</v>
      </c>
      <c r="T503" s="1357">
        <f>+Tabla16[[#This Row],[CDPS A 31 JULIO 2022]]-Tabla16[[#This Row],[CDP]]</f>
        <v>0</v>
      </c>
      <c r="U503" s="1357">
        <v>49500000</v>
      </c>
      <c r="V503" s="1357">
        <v>19650000</v>
      </c>
      <c r="W503" s="1357"/>
    </row>
    <row r="504" spans="1:23" s="1207" customFormat="1" ht="45" hidden="1" customHeight="1" x14ac:dyDescent="0.3">
      <c r="A504" s="1355">
        <v>2022520</v>
      </c>
      <c r="B504" s="1172">
        <v>7658</v>
      </c>
      <c r="C504" s="1356" t="s">
        <v>679</v>
      </c>
      <c r="D504" s="1190" t="s">
        <v>698</v>
      </c>
      <c r="E504" s="1174">
        <v>80111600</v>
      </c>
      <c r="F504" s="1379" t="s">
        <v>1151</v>
      </c>
      <c r="G504" s="1380">
        <v>44562</v>
      </c>
      <c r="H504" s="1380">
        <v>44592</v>
      </c>
      <c r="I504" s="1176">
        <v>11.5</v>
      </c>
      <c r="J504" s="1176" t="s">
        <v>673</v>
      </c>
      <c r="K504" s="1177" t="s">
        <v>674</v>
      </c>
      <c r="L504" s="1178" t="s">
        <v>675</v>
      </c>
      <c r="M504" s="1179">
        <f>51750000-2250000</f>
        <v>49500000</v>
      </c>
      <c r="N504" s="1376" t="s">
        <v>784</v>
      </c>
      <c r="O504" s="1174" t="s">
        <v>771</v>
      </c>
      <c r="P504" s="1163" t="s">
        <v>678</v>
      </c>
      <c r="Q504" s="1163"/>
      <c r="R504" s="1357">
        <v>49500000</v>
      </c>
      <c r="S504" s="1357">
        <v>49500000</v>
      </c>
      <c r="T504" s="1357">
        <f>+Tabla16[[#This Row],[CDPS A 31 JULIO 2022]]-Tabla16[[#This Row],[CDP]]</f>
        <v>0</v>
      </c>
      <c r="U504" s="1357">
        <v>49500000</v>
      </c>
      <c r="V504" s="1357">
        <v>18750000</v>
      </c>
      <c r="W504" s="1357"/>
    </row>
    <row r="505" spans="1:23" s="1207" customFormat="1" ht="45" hidden="1" customHeight="1" x14ac:dyDescent="0.3">
      <c r="A505" s="1355">
        <v>2022521</v>
      </c>
      <c r="B505" s="1172">
        <v>7658</v>
      </c>
      <c r="C505" s="1356" t="s">
        <v>679</v>
      </c>
      <c r="D505" s="1190" t="s">
        <v>698</v>
      </c>
      <c r="E505" s="1174">
        <v>80111600</v>
      </c>
      <c r="F505" s="1379" t="s">
        <v>1152</v>
      </c>
      <c r="G505" s="1380">
        <v>44562</v>
      </c>
      <c r="H505" s="1380">
        <v>44592</v>
      </c>
      <c r="I505" s="1176">
        <v>11.5</v>
      </c>
      <c r="J505" s="1176" t="s">
        <v>673</v>
      </c>
      <c r="K505" s="1177" t="s">
        <v>674</v>
      </c>
      <c r="L505" s="1178" t="s">
        <v>675</v>
      </c>
      <c r="M505" s="1179">
        <f>45655000-1985000</f>
        <v>43670000</v>
      </c>
      <c r="N505" s="1376" t="s">
        <v>784</v>
      </c>
      <c r="O505" s="1174" t="s">
        <v>771</v>
      </c>
      <c r="P505" s="1163" t="s">
        <v>678</v>
      </c>
      <c r="Q505" s="1163"/>
      <c r="R505" s="1357">
        <v>43670000</v>
      </c>
      <c r="S505" s="1357">
        <v>43670000</v>
      </c>
      <c r="T505" s="1357">
        <f>+Tabla16[[#This Row],[CDPS A 31 JULIO 2022]]-Tabla16[[#This Row],[CDP]]</f>
        <v>0</v>
      </c>
      <c r="U505" s="1357">
        <v>43670000</v>
      </c>
      <c r="V505" s="1357">
        <v>16277000</v>
      </c>
      <c r="W505" s="1357"/>
    </row>
    <row r="506" spans="1:23" s="1207" customFormat="1" ht="45" hidden="1" customHeight="1" x14ac:dyDescent="0.3">
      <c r="A506" s="1355">
        <v>2022522</v>
      </c>
      <c r="B506" s="1172">
        <v>7658</v>
      </c>
      <c r="C506" s="1356" t="s">
        <v>679</v>
      </c>
      <c r="D506" s="1190" t="s">
        <v>698</v>
      </c>
      <c r="E506" s="1174">
        <v>80111600</v>
      </c>
      <c r="F506" s="1379" t="s">
        <v>1139</v>
      </c>
      <c r="G506" s="1380">
        <v>44562</v>
      </c>
      <c r="H506" s="1380">
        <v>44592</v>
      </c>
      <c r="I506" s="1176">
        <v>11.5</v>
      </c>
      <c r="J506" s="1176" t="s">
        <v>673</v>
      </c>
      <c r="K506" s="1177" t="s">
        <v>674</v>
      </c>
      <c r="L506" s="1178" t="s">
        <v>675</v>
      </c>
      <c r="M506" s="1179">
        <f>82915000-3605000</f>
        <v>79310000</v>
      </c>
      <c r="N506" s="1376" t="s">
        <v>784</v>
      </c>
      <c r="O506" s="1174" t="s">
        <v>771</v>
      </c>
      <c r="P506" s="1163" t="s">
        <v>678</v>
      </c>
      <c r="Q506" s="1163"/>
      <c r="R506" s="1357">
        <v>79310000</v>
      </c>
      <c r="S506" s="1357">
        <v>79310000</v>
      </c>
      <c r="T506" s="1357">
        <f>+Tabla16[[#This Row],[CDPS A 31 JULIO 2022]]-Tabla16[[#This Row],[CDP]]</f>
        <v>0</v>
      </c>
      <c r="U506" s="1357">
        <v>79310000</v>
      </c>
      <c r="V506" s="1357">
        <v>31483667</v>
      </c>
      <c r="W506" s="1357"/>
    </row>
    <row r="507" spans="1:23" s="1207" customFormat="1" ht="45" hidden="1" customHeight="1" x14ac:dyDescent="0.3">
      <c r="A507" s="1355">
        <v>2022523</v>
      </c>
      <c r="B507" s="1172">
        <v>7658</v>
      </c>
      <c r="C507" s="1356" t="s">
        <v>679</v>
      </c>
      <c r="D507" s="1190" t="s">
        <v>698</v>
      </c>
      <c r="E507" s="1174">
        <v>80111600</v>
      </c>
      <c r="F507" s="1379" t="s">
        <v>1153</v>
      </c>
      <c r="G507" s="1380">
        <v>44562</v>
      </c>
      <c r="H507" s="1380">
        <v>44592</v>
      </c>
      <c r="I507" s="1176">
        <v>11.5</v>
      </c>
      <c r="J507" s="1176" t="s">
        <v>673</v>
      </c>
      <c r="K507" s="1177" t="s">
        <v>674</v>
      </c>
      <c r="L507" s="1178" t="s">
        <v>782</v>
      </c>
      <c r="M507" s="1179">
        <f>54510000-2370000</f>
        <v>52140000</v>
      </c>
      <c r="N507" s="1376" t="s">
        <v>779</v>
      </c>
      <c r="O507" s="1174" t="s">
        <v>771</v>
      </c>
      <c r="P507" s="1163" t="s">
        <v>678</v>
      </c>
      <c r="Q507" s="1163"/>
      <c r="R507" s="1357">
        <v>52140000</v>
      </c>
      <c r="S507" s="1357">
        <v>52140000</v>
      </c>
      <c r="T507" s="1357">
        <f>+Tabla16[[#This Row],[CDPS A 31 JULIO 2022]]-Tabla16[[#This Row],[CDP]]</f>
        <v>0</v>
      </c>
      <c r="U507" s="1357">
        <v>52140000</v>
      </c>
      <c r="V507" s="1357">
        <v>20382000</v>
      </c>
      <c r="W507" s="1357"/>
    </row>
    <row r="508" spans="1:23" s="1207" customFormat="1" ht="45" hidden="1" customHeight="1" x14ac:dyDescent="0.3">
      <c r="A508" s="1355">
        <v>2022524</v>
      </c>
      <c r="B508" s="1172">
        <v>7658</v>
      </c>
      <c r="C508" s="1356" t="s">
        <v>679</v>
      </c>
      <c r="D508" s="1190" t="s">
        <v>698</v>
      </c>
      <c r="E508" s="1174">
        <v>80111600</v>
      </c>
      <c r="F508" s="1379" t="s">
        <v>1154</v>
      </c>
      <c r="G508" s="1380">
        <v>44562</v>
      </c>
      <c r="H508" s="1380">
        <v>44592</v>
      </c>
      <c r="I508" s="1176">
        <v>11.5</v>
      </c>
      <c r="J508" s="1176" t="s">
        <v>673</v>
      </c>
      <c r="K508" s="1177" t="s">
        <v>674</v>
      </c>
      <c r="L508" s="1178" t="s">
        <v>675</v>
      </c>
      <c r="M508" s="1179">
        <f>36685000-1595000</f>
        <v>35090000</v>
      </c>
      <c r="N508" s="1376" t="s">
        <v>784</v>
      </c>
      <c r="O508" s="1174" t="s">
        <v>771</v>
      </c>
      <c r="P508" s="1163" t="s">
        <v>678</v>
      </c>
      <c r="Q508" s="1163"/>
      <c r="R508" s="1357">
        <v>35090000</v>
      </c>
      <c r="S508" s="1357">
        <v>35090000</v>
      </c>
      <c r="T508" s="1357">
        <f>+Tabla16[[#This Row],[CDPS A 31 JULIO 2022]]-Tabla16[[#This Row],[CDP]]</f>
        <v>0</v>
      </c>
      <c r="U508" s="1357">
        <v>35090000</v>
      </c>
      <c r="V508" s="1357">
        <v>10420666</v>
      </c>
      <c r="W508" s="1357"/>
    </row>
    <row r="509" spans="1:23" s="1207" customFormat="1" ht="45" hidden="1" customHeight="1" x14ac:dyDescent="0.3">
      <c r="A509" s="1355">
        <v>2022525</v>
      </c>
      <c r="B509" s="1172">
        <v>7658</v>
      </c>
      <c r="C509" s="1356" t="s">
        <v>679</v>
      </c>
      <c r="D509" s="1190" t="s">
        <v>698</v>
      </c>
      <c r="E509" s="1174">
        <v>80111600</v>
      </c>
      <c r="F509" s="1379" t="s">
        <v>1155</v>
      </c>
      <c r="G509" s="1380">
        <v>44562</v>
      </c>
      <c r="H509" s="1380">
        <v>44592</v>
      </c>
      <c r="I509" s="1176">
        <v>11.5</v>
      </c>
      <c r="J509" s="1176" t="s">
        <v>673</v>
      </c>
      <c r="K509" s="1177" t="s">
        <v>674</v>
      </c>
      <c r="L509" s="1178" t="s">
        <v>675</v>
      </c>
      <c r="M509" s="1179">
        <f>54050000-2350000</f>
        <v>51700000</v>
      </c>
      <c r="N509" s="1376" t="s">
        <v>784</v>
      </c>
      <c r="O509" s="1174" t="s">
        <v>771</v>
      </c>
      <c r="P509" s="1163" t="s">
        <v>678</v>
      </c>
      <c r="Q509" s="1163"/>
      <c r="R509" s="1357">
        <v>51700000</v>
      </c>
      <c r="S509" s="1357">
        <v>51700000</v>
      </c>
      <c r="T509" s="1357">
        <f>+Tabla16[[#This Row],[CDPS A 31 JULIO 2022]]-Tabla16[[#This Row],[CDP]]</f>
        <v>0</v>
      </c>
      <c r="U509" s="1357">
        <v>51700000</v>
      </c>
      <c r="V509" s="1357">
        <v>18956667</v>
      </c>
      <c r="W509" s="1357"/>
    </row>
    <row r="510" spans="1:23" s="1207" customFormat="1" ht="45" hidden="1" customHeight="1" x14ac:dyDescent="0.3">
      <c r="A510" s="1355">
        <v>2022526</v>
      </c>
      <c r="B510" s="1172">
        <v>7658</v>
      </c>
      <c r="C510" s="1356" t="s">
        <v>679</v>
      </c>
      <c r="D510" s="1190" t="s">
        <v>698</v>
      </c>
      <c r="E510" s="1174">
        <v>80111600</v>
      </c>
      <c r="F510" s="1379" t="s">
        <v>1156</v>
      </c>
      <c r="G510" s="1380">
        <v>44562</v>
      </c>
      <c r="H510" s="1380">
        <v>44592</v>
      </c>
      <c r="I510" s="1176">
        <v>11.5</v>
      </c>
      <c r="J510" s="1176" t="s">
        <v>673</v>
      </c>
      <c r="K510" s="1177" t="s">
        <v>674</v>
      </c>
      <c r="L510" s="1178" t="s">
        <v>675</v>
      </c>
      <c r="M510" s="1179">
        <f>28175000-1225000</f>
        <v>26950000</v>
      </c>
      <c r="N510" s="1376" t="s">
        <v>784</v>
      </c>
      <c r="O510" s="1174" t="s">
        <v>771</v>
      </c>
      <c r="P510" s="1163" t="s">
        <v>678</v>
      </c>
      <c r="Q510" s="1163"/>
      <c r="R510" s="1357">
        <v>26950000</v>
      </c>
      <c r="S510" s="1357">
        <v>26950000</v>
      </c>
      <c r="T510" s="1357">
        <f>+Tabla16[[#This Row],[CDPS A 31 JULIO 2022]]-Tabla16[[#This Row],[CDP]]</f>
        <v>0</v>
      </c>
      <c r="U510" s="1357">
        <v>26950000</v>
      </c>
      <c r="V510" s="1357">
        <v>10290000</v>
      </c>
      <c r="W510" s="1357"/>
    </row>
    <row r="511" spans="1:23" s="1207" customFormat="1" ht="45" hidden="1" customHeight="1" x14ac:dyDescent="0.3">
      <c r="A511" s="1355">
        <v>2022527</v>
      </c>
      <c r="B511" s="1172">
        <v>7658</v>
      </c>
      <c r="C511" s="1356" t="s">
        <v>679</v>
      </c>
      <c r="D511" s="1190" t="s">
        <v>698</v>
      </c>
      <c r="E511" s="1174">
        <v>80111600</v>
      </c>
      <c r="F511" s="1379" t="s">
        <v>1157</v>
      </c>
      <c r="G511" s="1380">
        <v>44562</v>
      </c>
      <c r="H511" s="1380">
        <v>44592</v>
      </c>
      <c r="I511" s="1176">
        <v>11.5</v>
      </c>
      <c r="J511" s="1176" t="s">
        <v>673</v>
      </c>
      <c r="K511" s="1177" t="s">
        <v>674</v>
      </c>
      <c r="L511" s="1178" t="s">
        <v>675</v>
      </c>
      <c r="M511" s="1179">
        <f>36685000+28175000-6435000-1000000</f>
        <v>57425000</v>
      </c>
      <c r="N511" s="1376" t="s">
        <v>784</v>
      </c>
      <c r="O511" s="1174" t="s">
        <v>771</v>
      </c>
      <c r="P511" s="1163" t="s">
        <v>678</v>
      </c>
      <c r="Q511" s="1163"/>
      <c r="R511" s="1357">
        <v>30250000</v>
      </c>
      <c r="S511" s="1357">
        <v>30250000</v>
      </c>
      <c r="T511" s="1357">
        <f>+Tabla16[[#This Row],[CDPS A 31 JULIO 2022]]-Tabla16[[#This Row],[CDP]]</f>
        <v>0</v>
      </c>
      <c r="U511" s="1357">
        <v>30250000</v>
      </c>
      <c r="V511" s="1357">
        <v>11091667</v>
      </c>
      <c r="W511" s="1357"/>
    </row>
    <row r="512" spans="1:23" s="1207" customFormat="1" ht="45" hidden="1" customHeight="1" x14ac:dyDescent="0.3">
      <c r="A512" s="1355">
        <v>2022528</v>
      </c>
      <c r="B512" s="1172">
        <v>7658</v>
      </c>
      <c r="C512" s="1356" t="s">
        <v>679</v>
      </c>
      <c r="D512" s="1190" t="s">
        <v>698</v>
      </c>
      <c r="E512" s="1174">
        <v>80111600</v>
      </c>
      <c r="F512" s="1379" t="s">
        <v>1158</v>
      </c>
      <c r="G512" s="1380">
        <v>44562</v>
      </c>
      <c r="H512" s="1380">
        <v>44592</v>
      </c>
      <c r="I512" s="1176">
        <v>11.5</v>
      </c>
      <c r="J512" s="1176" t="s">
        <v>673</v>
      </c>
      <c r="K512" s="1177" t="s">
        <v>674</v>
      </c>
      <c r="L512" s="1178" t="s">
        <v>675</v>
      </c>
      <c r="M512" s="1179">
        <f>51750000-2250000</f>
        <v>49500000</v>
      </c>
      <c r="N512" s="1376" t="s">
        <v>784</v>
      </c>
      <c r="O512" s="1174" t="s">
        <v>771</v>
      </c>
      <c r="P512" s="1163" t="s">
        <v>678</v>
      </c>
      <c r="Q512" s="1163"/>
      <c r="R512" s="1357">
        <v>49500000</v>
      </c>
      <c r="S512" s="1357">
        <v>49500000</v>
      </c>
      <c r="T512" s="1357">
        <f>+Tabla16[[#This Row],[CDPS A 31 JULIO 2022]]-Tabla16[[#This Row],[CDP]]</f>
        <v>0</v>
      </c>
      <c r="U512" s="1357">
        <v>49500000</v>
      </c>
      <c r="V512" s="1357">
        <v>17700000</v>
      </c>
      <c r="W512" s="1357"/>
    </row>
    <row r="513" spans="1:23" s="1207" customFormat="1" ht="45" hidden="1" customHeight="1" x14ac:dyDescent="0.3">
      <c r="A513" s="1355">
        <v>2022529</v>
      </c>
      <c r="B513" s="1172">
        <v>7658</v>
      </c>
      <c r="C513" s="1356" t="s">
        <v>679</v>
      </c>
      <c r="D513" s="1190" t="s">
        <v>698</v>
      </c>
      <c r="E513" s="1174">
        <v>80111600</v>
      </c>
      <c r="F513" s="1379" t="s">
        <v>1159</v>
      </c>
      <c r="G513" s="1380">
        <v>44562</v>
      </c>
      <c r="H513" s="1380">
        <v>44592</v>
      </c>
      <c r="I513" s="1176">
        <v>11.5</v>
      </c>
      <c r="J513" s="1176" t="s">
        <v>673</v>
      </c>
      <c r="K513" s="1177" t="s">
        <v>674</v>
      </c>
      <c r="L513" s="1178" t="s">
        <v>675</v>
      </c>
      <c r="M513" s="1179">
        <f>48300000+20700000-1200000-33000000-7800000</f>
        <v>27000000</v>
      </c>
      <c r="N513" s="1376" t="s">
        <v>784</v>
      </c>
      <c r="O513" s="1174" t="s">
        <v>771</v>
      </c>
      <c r="P513" s="1163" t="s">
        <v>678</v>
      </c>
      <c r="Q513" s="1163"/>
      <c r="R513" s="1357">
        <v>27000000</v>
      </c>
      <c r="S513" s="1357">
        <v>27000000</v>
      </c>
      <c r="T513" s="1357">
        <f>+Tabla16[[#This Row],[CDPS A 31 JULIO 2022]]-Tabla16[[#This Row],[CDP]]</f>
        <v>0</v>
      </c>
      <c r="U513" s="1357">
        <v>27000000</v>
      </c>
      <c r="V513" s="1357">
        <v>18150000</v>
      </c>
      <c r="W513" s="1357"/>
    </row>
    <row r="514" spans="1:23" s="1207" customFormat="1" ht="45" hidden="1" customHeight="1" x14ac:dyDescent="0.3">
      <c r="A514" s="1355">
        <v>2022530</v>
      </c>
      <c r="B514" s="1172">
        <v>7658</v>
      </c>
      <c r="C514" s="1356" t="s">
        <v>679</v>
      </c>
      <c r="D514" s="1190" t="s">
        <v>698</v>
      </c>
      <c r="E514" s="1174">
        <v>80111600</v>
      </c>
      <c r="F514" s="1379" t="s">
        <v>1139</v>
      </c>
      <c r="G514" s="1380">
        <v>44562</v>
      </c>
      <c r="H514" s="1380">
        <v>44592</v>
      </c>
      <c r="I514" s="1176">
        <v>11.5</v>
      </c>
      <c r="J514" s="1176" t="s">
        <v>673</v>
      </c>
      <c r="K514" s="1177" t="s">
        <v>674</v>
      </c>
      <c r="L514" s="1178" t="s">
        <v>675</v>
      </c>
      <c r="M514" s="1179">
        <f>82915000-3605000</f>
        <v>79310000</v>
      </c>
      <c r="N514" s="1376" t="s">
        <v>784</v>
      </c>
      <c r="O514" s="1174" t="s">
        <v>771</v>
      </c>
      <c r="P514" s="1163" t="s">
        <v>678</v>
      </c>
      <c r="Q514" s="1163"/>
      <c r="R514" s="1357">
        <v>79310000</v>
      </c>
      <c r="S514" s="1357">
        <v>79310000</v>
      </c>
      <c r="T514" s="1357">
        <f>+Tabla16[[#This Row],[CDPS A 31 JULIO 2022]]-Tabla16[[#This Row],[CDP]]</f>
        <v>0</v>
      </c>
      <c r="U514" s="1357">
        <v>79310000</v>
      </c>
      <c r="V514" s="1357">
        <v>30522333</v>
      </c>
      <c r="W514" s="1357"/>
    </row>
    <row r="515" spans="1:23" s="1207" customFormat="1" ht="45" hidden="1" customHeight="1" x14ac:dyDescent="0.3">
      <c r="A515" s="1355">
        <v>2022531</v>
      </c>
      <c r="B515" s="1172">
        <v>7658</v>
      </c>
      <c r="C515" s="1356" t="s">
        <v>679</v>
      </c>
      <c r="D515" s="1190" t="s">
        <v>698</v>
      </c>
      <c r="E515" s="1174">
        <v>80111600</v>
      </c>
      <c r="F515" s="1379" t="s">
        <v>1160</v>
      </c>
      <c r="G515" s="1380">
        <v>44562</v>
      </c>
      <c r="H515" s="1380">
        <v>44592</v>
      </c>
      <c r="I515" s="1176">
        <v>11.5</v>
      </c>
      <c r="J515" s="1176" t="s">
        <v>673</v>
      </c>
      <c r="K515" s="1177" t="s">
        <v>674</v>
      </c>
      <c r="L515" s="1178" t="s">
        <v>675</v>
      </c>
      <c r="M515" s="1179">
        <f>45655000-1985000</f>
        <v>43670000</v>
      </c>
      <c r="N515" s="1376" t="s">
        <v>779</v>
      </c>
      <c r="O515" s="1174" t="s">
        <v>771</v>
      </c>
      <c r="P515" s="1163" t="s">
        <v>678</v>
      </c>
      <c r="Q515" s="1163"/>
      <c r="R515" s="1357">
        <v>43670000</v>
      </c>
      <c r="S515" s="1357">
        <v>43670000</v>
      </c>
      <c r="T515" s="1357">
        <f>+Tabla16[[#This Row],[CDPS A 31 JULIO 2022]]-Tabla16[[#This Row],[CDP]]</f>
        <v>0</v>
      </c>
      <c r="U515" s="1357">
        <v>43670000</v>
      </c>
      <c r="V515" s="1357">
        <v>16012333</v>
      </c>
      <c r="W515" s="1357"/>
    </row>
    <row r="516" spans="1:23" s="1207" customFormat="1" ht="45" hidden="1" customHeight="1" x14ac:dyDescent="0.3">
      <c r="A516" s="1355">
        <v>2022532</v>
      </c>
      <c r="B516" s="1172">
        <v>7658</v>
      </c>
      <c r="C516" s="1356" t="s">
        <v>679</v>
      </c>
      <c r="D516" s="1190" t="s">
        <v>698</v>
      </c>
      <c r="E516" s="1174">
        <v>80111600</v>
      </c>
      <c r="F516" s="1379" t="s">
        <v>1161</v>
      </c>
      <c r="G516" s="1380">
        <v>44562</v>
      </c>
      <c r="H516" s="1380">
        <v>44592</v>
      </c>
      <c r="I516" s="1176">
        <v>11.5</v>
      </c>
      <c r="J516" s="1176" t="s">
        <v>673</v>
      </c>
      <c r="K516" s="1177" t="s">
        <v>674</v>
      </c>
      <c r="L516" s="1178" t="s">
        <v>675</v>
      </c>
      <c r="M516" s="1179">
        <f>47380000-2060000</f>
        <v>45320000</v>
      </c>
      <c r="N516" s="1376" t="s">
        <v>779</v>
      </c>
      <c r="O516" s="1174" t="s">
        <v>771</v>
      </c>
      <c r="P516" s="1163" t="s">
        <v>678</v>
      </c>
      <c r="Q516" s="1163"/>
      <c r="R516" s="1357">
        <v>45320000</v>
      </c>
      <c r="S516" s="1357">
        <v>45320000</v>
      </c>
      <c r="T516" s="1357">
        <f>+Tabla16[[#This Row],[CDPS A 31 JULIO 2022]]-Tabla16[[#This Row],[CDP]]</f>
        <v>0</v>
      </c>
      <c r="U516" s="1357">
        <v>45320000</v>
      </c>
      <c r="V516" s="1357">
        <v>13458667</v>
      </c>
      <c r="W516" s="1357"/>
    </row>
    <row r="517" spans="1:23" s="1207" customFormat="1" ht="45" hidden="1" customHeight="1" x14ac:dyDescent="0.3">
      <c r="A517" s="1355">
        <v>2022533</v>
      </c>
      <c r="B517" s="1172">
        <v>7658</v>
      </c>
      <c r="C517" s="1356" t="s">
        <v>679</v>
      </c>
      <c r="D517" s="1190" t="s">
        <v>698</v>
      </c>
      <c r="E517" s="1174">
        <v>80111600</v>
      </c>
      <c r="F517" s="1379" t="s">
        <v>1162</v>
      </c>
      <c r="G517" s="1380">
        <v>44562</v>
      </c>
      <c r="H517" s="1380">
        <v>44592</v>
      </c>
      <c r="I517" s="1176">
        <v>11.5</v>
      </c>
      <c r="J517" s="1176" t="s">
        <v>673</v>
      </c>
      <c r="K517" s="1177" t="s">
        <v>674</v>
      </c>
      <c r="L517" s="1178" t="s">
        <v>675</v>
      </c>
      <c r="M517" s="1179">
        <f>54050000-2350000</f>
        <v>51700000</v>
      </c>
      <c r="N517" s="1376" t="s">
        <v>779</v>
      </c>
      <c r="O517" s="1174" t="s">
        <v>771</v>
      </c>
      <c r="P517" s="1163" t="s">
        <v>678</v>
      </c>
      <c r="Q517" s="1163"/>
      <c r="R517" s="1357">
        <v>51700000</v>
      </c>
      <c r="S517" s="1357">
        <v>51700000</v>
      </c>
      <c r="T517" s="1357">
        <f>+Tabla16[[#This Row],[CDPS A 31 JULIO 2022]]-Tabla16[[#This Row],[CDP]]</f>
        <v>0</v>
      </c>
      <c r="U517" s="1357">
        <v>51700000</v>
      </c>
      <c r="V517" s="1357">
        <v>19270000</v>
      </c>
      <c r="W517" s="1357"/>
    </row>
    <row r="518" spans="1:23" s="1207" customFormat="1" ht="45" hidden="1" customHeight="1" x14ac:dyDescent="0.3">
      <c r="A518" s="1355">
        <v>2022534</v>
      </c>
      <c r="B518" s="1172">
        <v>7658</v>
      </c>
      <c r="C518" s="1356" t="s">
        <v>679</v>
      </c>
      <c r="D518" s="1190" t="s">
        <v>698</v>
      </c>
      <c r="E518" s="1174">
        <v>80111600</v>
      </c>
      <c r="F518" s="1379" t="s">
        <v>1163</v>
      </c>
      <c r="G518" s="1380">
        <v>44562</v>
      </c>
      <c r="H518" s="1380">
        <v>44592</v>
      </c>
      <c r="I518" s="1176">
        <v>11.5</v>
      </c>
      <c r="J518" s="1176" t="s">
        <v>673</v>
      </c>
      <c r="K518" s="1177" t="s">
        <v>674</v>
      </c>
      <c r="L518" s="1178" t="s">
        <v>782</v>
      </c>
      <c r="M518" s="1179">
        <f>88550000-3850000</f>
        <v>84700000</v>
      </c>
      <c r="N518" s="1376" t="s">
        <v>784</v>
      </c>
      <c r="O518" s="1174" t="s">
        <v>771</v>
      </c>
      <c r="P518" s="1163" t="s">
        <v>678</v>
      </c>
      <c r="Q518" s="1163"/>
      <c r="R518" s="1357">
        <v>84700000</v>
      </c>
      <c r="S518" s="1357">
        <v>84700000</v>
      </c>
      <c r="T518" s="1357">
        <f>+Tabla16[[#This Row],[CDPS A 31 JULIO 2022]]-Tabla16[[#This Row],[CDP]]</f>
        <v>0</v>
      </c>
      <c r="U518" s="1357">
        <v>84700000</v>
      </c>
      <c r="V518" s="1357">
        <v>32340000</v>
      </c>
      <c r="W518" s="1357"/>
    </row>
    <row r="519" spans="1:23" s="1207" customFormat="1" ht="45" hidden="1" customHeight="1" x14ac:dyDescent="0.3">
      <c r="A519" s="1355">
        <v>2022535</v>
      </c>
      <c r="B519" s="1172">
        <v>7658</v>
      </c>
      <c r="C519" s="1356" t="s">
        <v>679</v>
      </c>
      <c r="D519" s="1190" t="s">
        <v>698</v>
      </c>
      <c r="E519" s="1174">
        <v>80111600</v>
      </c>
      <c r="F519" s="1379" t="s">
        <v>1164</v>
      </c>
      <c r="G519" s="1380">
        <v>44562</v>
      </c>
      <c r="H519" s="1380">
        <v>44592</v>
      </c>
      <c r="I519" s="1176">
        <v>11.5</v>
      </c>
      <c r="J519" s="1176" t="s">
        <v>673</v>
      </c>
      <c r="K519" s="1177" t="s">
        <v>674</v>
      </c>
      <c r="L519" s="1178" t="s">
        <v>675</v>
      </c>
      <c r="M519" s="1179">
        <f>38525000-1675000</f>
        <v>36850000</v>
      </c>
      <c r="N519" s="1376" t="s">
        <v>784</v>
      </c>
      <c r="O519" s="1174" t="s">
        <v>771</v>
      </c>
      <c r="P519" s="1163" t="s">
        <v>678</v>
      </c>
      <c r="Q519" s="1163"/>
      <c r="R519" s="1357">
        <v>36850000</v>
      </c>
      <c r="S519" s="1357">
        <v>36850000</v>
      </c>
      <c r="T519" s="1357">
        <f>+Tabla16[[#This Row],[CDPS A 31 JULIO 2022]]-Tabla16[[#This Row],[CDP]]</f>
        <v>0</v>
      </c>
      <c r="U519" s="1357">
        <v>36850000</v>
      </c>
      <c r="V519" s="1357">
        <v>14293333</v>
      </c>
      <c r="W519" s="1357"/>
    </row>
    <row r="520" spans="1:23" s="1207" customFormat="1" ht="45" hidden="1" customHeight="1" x14ac:dyDescent="0.3">
      <c r="A520" s="1355">
        <v>2022536</v>
      </c>
      <c r="B520" s="1172">
        <v>7658</v>
      </c>
      <c r="C520" s="1356" t="s">
        <v>679</v>
      </c>
      <c r="D520" s="1190" t="s">
        <v>698</v>
      </c>
      <c r="E520" s="1174">
        <v>80111600</v>
      </c>
      <c r="F520" s="1379" t="s">
        <v>1165</v>
      </c>
      <c r="G520" s="1380">
        <v>44562</v>
      </c>
      <c r="H520" s="1380">
        <v>44592</v>
      </c>
      <c r="I520" s="1176">
        <v>11.5</v>
      </c>
      <c r="J520" s="1176" t="s">
        <v>673</v>
      </c>
      <c r="K520" s="1177" t="s">
        <v>674</v>
      </c>
      <c r="L520" s="1178" t="s">
        <v>675</v>
      </c>
      <c r="M520" s="1179">
        <f>38525000-1125000</f>
        <v>37400000</v>
      </c>
      <c r="N520" s="1376" t="s">
        <v>784</v>
      </c>
      <c r="O520" s="1174" t="s">
        <v>771</v>
      </c>
      <c r="P520" s="1163" t="s">
        <v>678</v>
      </c>
      <c r="Q520" s="1163"/>
      <c r="R520" s="1357">
        <v>37400000</v>
      </c>
      <c r="S520" s="1357">
        <v>37400000</v>
      </c>
      <c r="T520" s="1357">
        <f>+Tabla16[[#This Row],[CDPS A 31 JULIO 2022]]-Tabla16[[#This Row],[CDP]]</f>
        <v>0</v>
      </c>
      <c r="U520" s="1357">
        <v>37400000</v>
      </c>
      <c r="V520" s="1357">
        <v>13713333</v>
      </c>
      <c r="W520" s="1357"/>
    </row>
    <row r="521" spans="1:23" s="1207" customFormat="1" ht="45" hidden="1" customHeight="1" x14ac:dyDescent="0.3">
      <c r="A521" s="1355">
        <v>2022537</v>
      </c>
      <c r="B521" s="1172">
        <v>7658</v>
      </c>
      <c r="C521" s="1356" t="s">
        <v>679</v>
      </c>
      <c r="D521" s="1190" t="s">
        <v>698</v>
      </c>
      <c r="E521" s="1174">
        <v>80111600</v>
      </c>
      <c r="F521" s="1379" t="s">
        <v>1166</v>
      </c>
      <c r="G521" s="1380">
        <v>44562</v>
      </c>
      <c r="H521" s="1380">
        <v>44592</v>
      </c>
      <c r="I521" s="1176">
        <v>11.5</v>
      </c>
      <c r="J521" s="1176" t="s">
        <v>673</v>
      </c>
      <c r="K521" s="1177" t="s">
        <v>674</v>
      </c>
      <c r="L521" s="1178" t="s">
        <v>675</v>
      </c>
      <c r="M521" s="1179">
        <f>48300000+13225000+7475000-3000000-30148267</f>
        <v>35851733</v>
      </c>
      <c r="N521" s="1376" t="s">
        <v>779</v>
      </c>
      <c r="O521" s="1174" t="s">
        <v>771</v>
      </c>
      <c r="P521" s="1163" t="s">
        <v>678</v>
      </c>
      <c r="Q521" s="1163"/>
      <c r="R521" s="1357">
        <v>66000000</v>
      </c>
      <c r="S521" s="1357">
        <v>66000000</v>
      </c>
      <c r="T521" s="1357">
        <f>+Tabla16[[#This Row],[CDPS A 31 JULIO 2022]]-Tabla16[[#This Row],[CDP]]</f>
        <v>0</v>
      </c>
      <c r="U521" s="1357">
        <v>66000000</v>
      </c>
      <c r="V521" s="1357">
        <v>18000000</v>
      </c>
      <c r="W521" s="1357"/>
    </row>
    <row r="522" spans="1:23" s="1207" customFormat="1" ht="45" hidden="1" customHeight="1" x14ac:dyDescent="0.3">
      <c r="A522" s="1355">
        <v>2022538</v>
      </c>
      <c r="B522" s="1172">
        <v>7658</v>
      </c>
      <c r="C522" s="1356" t="s">
        <v>679</v>
      </c>
      <c r="D522" s="1190" t="s">
        <v>698</v>
      </c>
      <c r="E522" s="1174">
        <v>80111600</v>
      </c>
      <c r="F522" s="1379" t="s">
        <v>1167</v>
      </c>
      <c r="G522" s="1380">
        <v>44562</v>
      </c>
      <c r="H522" s="1380">
        <v>44592</v>
      </c>
      <c r="I522" s="1176">
        <v>11.5</v>
      </c>
      <c r="J522" s="1176" t="s">
        <v>673</v>
      </c>
      <c r="K522" s="1177" t="s">
        <v>674</v>
      </c>
      <c r="L522" s="1178" t="s">
        <v>675</v>
      </c>
      <c r="M522" s="1179">
        <f>65550000-23200000</f>
        <v>42350000</v>
      </c>
      <c r="N522" s="1376" t="s">
        <v>784</v>
      </c>
      <c r="O522" s="1174" t="s">
        <v>771</v>
      </c>
      <c r="P522" s="1163" t="s">
        <v>678</v>
      </c>
      <c r="Q522" s="1163"/>
      <c r="R522" s="1357">
        <v>42350000</v>
      </c>
      <c r="S522" s="1357">
        <v>42350000</v>
      </c>
      <c r="T522" s="1357">
        <f>+Tabla16[[#This Row],[CDPS A 31 JULIO 2022]]-Tabla16[[#This Row],[CDP]]</f>
        <v>0</v>
      </c>
      <c r="U522" s="1357">
        <v>42350000</v>
      </c>
      <c r="V522" s="1357">
        <v>15143333</v>
      </c>
      <c r="W522" s="1357"/>
    </row>
    <row r="523" spans="1:23" s="1207" customFormat="1" ht="45" hidden="1" customHeight="1" x14ac:dyDescent="0.3">
      <c r="A523" s="1355">
        <v>2022539</v>
      </c>
      <c r="B523" s="1172">
        <v>7658</v>
      </c>
      <c r="C523" s="1356" t="s">
        <v>679</v>
      </c>
      <c r="D523" s="1190" t="s">
        <v>698</v>
      </c>
      <c r="E523" s="1174">
        <v>80111600</v>
      </c>
      <c r="F523" s="1379" t="s">
        <v>1168</v>
      </c>
      <c r="G523" s="1380">
        <v>44562</v>
      </c>
      <c r="H523" s="1380">
        <v>44592</v>
      </c>
      <c r="I523" s="1176">
        <v>11.5</v>
      </c>
      <c r="J523" s="1176" t="s">
        <v>673</v>
      </c>
      <c r="K523" s="1177" t="s">
        <v>674</v>
      </c>
      <c r="L523" s="1178" t="s">
        <v>675</v>
      </c>
      <c r="M523" s="1179">
        <f>69000000-3000000</f>
        <v>66000000</v>
      </c>
      <c r="N523" s="1376" t="s">
        <v>784</v>
      </c>
      <c r="O523" s="1174" t="s">
        <v>771</v>
      </c>
      <c r="P523" s="1163" t="s">
        <v>678</v>
      </c>
      <c r="Q523" s="1163"/>
      <c r="R523" s="1357">
        <v>66000000</v>
      </c>
      <c r="S523" s="1357">
        <v>66000000</v>
      </c>
      <c r="T523" s="1357">
        <f>+Tabla16[[#This Row],[CDPS A 31 JULIO 2022]]-Tabla16[[#This Row],[CDP]]</f>
        <v>0</v>
      </c>
      <c r="U523" s="1357">
        <v>66000000</v>
      </c>
      <c r="V523" s="1357">
        <v>25200000</v>
      </c>
      <c r="W523" s="1357"/>
    </row>
    <row r="524" spans="1:23" s="1207" customFormat="1" ht="45" hidden="1" customHeight="1" x14ac:dyDescent="0.3">
      <c r="A524" s="1355">
        <v>2022540</v>
      </c>
      <c r="B524" s="1172">
        <v>7658</v>
      </c>
      <c r="C524" s="1356" t="s">
        <v>679</v>
      </c>
      <c r="D524" s="1190" t="s">
        <v>698</v>
      </c>
      <c r="E524" s="1174">
        <v>80111600</v>
      </c>
      <c r="F524" s="1379" t="s">
        <v>1169</v>
      </c>
      <c r="G524" s="1380">
        <v>44562</v>
      </c>
      <c r="H524" s="1380">
        <v>44592</v>
      </c>
      <c r="I524" s="1176">
        <v>11.5</v>
      </c>
      <c r="J524" s="1176" t="s">
        <v>673</v>
      </c>
      <c r="K524" s="1177" t="s">
        <v>674</v>
      </c>
      <c r="L524" s="1178" t="s">
        <v>675</v>
      </c>
      <c r="M524" s="1179">
        <f>39100000-3900000</f>
        <v>35200000</v>
      </c>
      <c r="N524" s="1376" t="s">
        <v>784</v>
      </c>
      <c r="O524" s="1174" t="s">
        <v>771</v>
      </c>
      <c r="P524" s="1163" t="s">
        <v>678</v>
      </c>
      <c r="Q524" s="1163"/>
      <c r="R524" s="1357">
        <v>35200000</v>
      </c>
      <c r="S524" s="1357">
        <v>35200000</v>
      </c>
      <c r="T524" s="1357">
        <f>+Tabla16[[#This Row],[CDPS A 31 JULIO 2022]]-Tabla16[[#This Row],[CDP]]</f>
        <v>0</v>
      </c>
      <c r="U524" s="1357">
        <v>35200000</v>
      </c>
      <c r="V524" s="1357">
        <v>12586667</v>
      </c>
      <c r="W524" s="1357"/>
    </row>
    <row r="525" spans="1:23" s="1207" customFormat="1" ht="45" hidden="1" customHeight="1" x14ac:dyDescent="0.3">
      <c r="A525" s="1355">
        <v>2022541</v>
      </c>
      <c r="B525" s="1172">
        <v>7658</v>
      </c>
      <c r="C525" s="1356" t="s">
        <v>679</v>
      </c>
      <c r="D525" s="1190" t="s">
        <v>698</v>
      </c>
      <c r="E525" s="1174">
        <v>80111600</v>
      </c>
      <c r="F525" s="1379" t="s">
        <v>1170</v>
      </c>
      <c r="G525" s="1380">
        <v>44562</v>
      </c>
      <c r="H525" s="1380">
        <v>44592</v>
      </c>
      <c r="I525" s="1176">
        <v>11.5</v>
      </c>
      <c r="J525" s="1176" t="s">
        <v>673</v>
      </c>
      <c r="K525" s="1177" t="s">
        <v>674</v>
      </c>
      <c r="L525" s="1178" t="s">
        <v>675</v>
      </c>
      <c r="M525" s="1179">
        <f>36685000-1595000</f>
        <v>35090000</v>
      </c>
      <c r="N525" s="1376" t="s">
        <v>784</v>
      </c>
      <c r="O525" s="1174" t="s">
        <v>771</v>
      </c>
      <c r="P525" s="1163" t="s">
        <v>678</v>
      </c>
      <c r="Q525" s="1163"/>
      <c r="R525" s="1357">
        <v>35090000</v>
      </c>
      <c r="S525" s="1357">
        <v>35090000</v>
      </c>
      <c r="T525" s="1357">
        <f>+Tabla16[[#This Row],[CDPS A 31 JULIO 2022]]-Tabla16[[#This Row],[CDP]]</f>
        <v>0</v>
      </c>
      <c r="U525" s="1357">
        <v>35090000</v>
      </c>
      <c r="V525" s="1357">
        <v>12866333</v>
      </c>
      <c r="W525" s="1357"/>
    </row>
    <row r="526" spans="1:23" s="1207" customFormat="1" ht="45" hidden="1" customHeight="1" x14ac:dyDescent="0.3">
      <c r="A526" s="1355">
        <v>2022542</v>
      </c>
      <c r="B526" s="1172" t="s">
        <v>459</v>
      </c>
      <c r="C526" s="1356"/>
      <c r="D526" s="1190" t="s">
        <v>689</v>
      </c>
      <c r="E526" s="1174" t="s">
        <v>1171</v>
      </c>
      <c r="F526" s="1379" t="s">
        <v>1172</v>
      </c>
      <c r="G526" s="1380">
        <v>44562</v>
      </c>
      <c r="H526" s="1380">
        <v>44592</v>
      </c>
      <c r="I526" s="1176">
        <v>3</v>
      </c>
      <c r="J526" s="1176" t="s">
        <v>699</v>
      </c>
      <c r="K526" s="1177" t="s">
        <v>674</v>
      </c>
      <c r="L526" s="1178"/>
      <c r="M526" s="1179">
        <v>4200000</v>
      </c>
      <c r="N526" s="1376"/>
      <c r="O526" s="1174"/>
      <c r="P526" s="1163" t="s">
        <v>748</v>
      </c>
      <c r="Q526" s="1163"/>
      <c r="R526" s="1357"/>
      <c r="S526" s="1357"/>
      <c r="T526" s="1357">
        <f>+Tabla16[[#This Row],[CDPS A 31 JULIO 2022]]-Tabla16[[#This Row],[CDP]]</f>
        <v>0</v>
      </c>
      <c r="U526" s="1357"/>
      <c r="V526" s="1357"/>
      <c r="W526" s="1357"/>
    </row>
    <row r="527" spans="1:23" s="1207" customFormat="1" ht="45" hidden="1" customHeight="1" x14ac:dyDescent="0.3">
      <c r="A527" s="1355">
        <v>2022543</v>
      </c>
      <c r="B527" s="1172" t="s">
        <v>459</v>
      </c>
      <c r="C527" s="1356"/>
      <c r="D527" s="1190" t="s">
        <v>689</v>
      </c>
      <c r="E527" s="1174" t="s">
        <v>1171</v>
      </c>
      <c r="F527" s="1379" t="s">
        <v>1173</v>
      </c>
      <c r="G527" s="1380">
        <v>44621</v>
      </c>
      <c r="H527" s="1380">
        <v>44651</v>
      </c>
      <c r="I527" s="1176">
        <v>6</v>
      </c>
      <c r="J527" s="1176" t="s">
        <v>699</v>
      </c>
      <c r="K527" s="1177" t="s">
        <v>674</v>
      </c>
      <c r="L527" s="1178"/>
      <c r="M527" s="1179">
        <v>6799000</v>
      </c>
      <c r="N527" s="1376"/>
      <c r="O527" s="1174"/>
      <c r="P527" s="1163" t="s">
        <v>678</v>
      </c>
      <c r="Q527" s="1163"/>
      <c r="R527" s="1357"/>
      <c r="S527" s="1357"/>
      <c r="T527" s="1357">
        <f>+Tabla16[[#This Row],[CDPS A 31 JULIO 2022]]-Tabla16[[#This Row],[CDP]]</f>
        <v>0</v>
      </c>
      <c r="U527" s="1357"/>
      <c r="V527" s="1357"/>
      <c r="W527" s="1357"/>
    </row>
    <row r="528" spans="1:23" s="1207" customFormat="1" ht="45" hidden="1" customHeight="1" x14ac:dyDescent="0.3">
      <c r="A528" s="1355">
        <v>2022544</v>
      </c>
      <c r="B528" s="1172" t="s">
        <v>459</v>
      </c>
      <c r="C528" s="1356"/>
      <c r="D528" s="1190" t="s">
        <v>689</v>
      </c>
      <c r="E528" s="1174" t="s">
        <v>1171</v>
      </c>
      <c r="F528" s="1379" t="s">
        <v>987</v>
      </c>
      <c r="G528" s="1380">
        <v>44562</v>
      </c>
      <c r="H528" s="1380">
        <v>44592</v>
      </c>
      <c r="I528" s="1176">
        <v>1</v>
      </c>
      <c r="J528" s="1176" t="s">
        <v>720</v>
      </c>
      <c r="K528" s="1177" t="s">
        <v>674</v>
      </c>
      <c r="L528" s="1178"/>
      <c r="M528" s="1179">
        <v>10000000</v>
      </c>
      <c r="N528" s="1376"/>
      <c r="O528" s="1174"/>
      <c r="P528" s="1163" t="s">
        <v>748</v>
      </c>
      <c r="Q528" s="1163"/>
      <c r="R528" s="1357"/>
      <c r="S528" s="1357"/>
      <c r="T528" s="1357">
        <f>+Tabla16[[#This Row],[CDPS A 31 JULIO 2022]]-Tabla16[[#This Row],[CDP]]</f>
        <v>0</v>
      </c>
      <c r="U528" s="1357"/>
      <c r="V528" s="1357"/>
      <c r="W528" s="1357"/>
    </row>
    <row r="529" spans="1:23" s="1207" customFormat="1" ht="45" hidden="1" customHeight="1" x14ac:dyDescent="0.3">
      <c r="A529" s="1355">
        <v>2022545</v>
      </c>
      <c r="B529" s="1172" t="s">
        <v>459</v>
      </c>
      <c r="C529" s="1356"/>
      <c r="D529" s="1190" t="s">
        <v>689</v>
      </c>
      <c r="E529" s="1174" t="s">
        <v>1171</v>
      </c>
      <c r="F529" s="1379" t="s">
        <v>1174</v>
      </c>
      <c r="G529" s="1380">
        <v>44562</v>
      </c>
      <c r="H529" s="1380">
        <v>44592</v>
      </c>
      <c r="I529" s="1176">
        <v>11</v>
      </c>
      <c r="J529" s="1176" t="s">
        <v>720</v>
      </c>
      <c r="K529" s="1177" t="s">
        <v>674</v>
      </c>
      <c r="L529" s="1178"/>
      <c r="M529" s="1179">
        <v>87000000</v>
      </c>
      <c r="N529" s="1376"/>
      <c r="O529" s="1174"/>
      <c r="P529" s="1163" t="s">
        <v>678</v>
      </c>
      <c r="Q529" s="1163"/>
      <c r="R529" s="1357"/>
      <c r="S529" s="1357"/>
      <c r="T529" s="1357">
        <f>+Tabla16[[#This Row],[CDPS A 31 JULIO 2022]]-Tabla16[[#This Row],[CDP]]</f>
        <v>0</v>
      </c>
      <c r="U529" s="1357"/>
      <c r="V529" s="1357"/>
      <c r="W529" s="1357"/>
    </row>
    <row r="530" spans="1:23" s="1207" customFormat="1" ht="45" hidden="1" customHeight="1" x14ac:dyDescent="0.3">
      <c r="A530" s="1355">
        <v>2022546</v>
      </c>
      <c r="B530" s="1172" t="s">
        <v>459</v>
      </c>
      <c r="C530" s="1356"/>
      <c r="D530" s="1190" t="s">
        <v>689</v>
      </c>
      <c r="E530" s="1174" t="s">
        <v>1171</v>
      </c>
      <c r="F530" s="1379" t="s">
        <v>1172</v>
      </c>
      <c r="G530" s="1380">
        <v>44562</v>
      </c>
      <c r="H530" s="1380">
        <v>44592</v>
      </c>
      <c r="I530" s="1176">
        <v>3</v>
      </c>
      <c r="J530" s="1176" t="s">
        <v>699</v>
      </c>
      <c r="K530" s="1177" t="s">
        <v>674</v>
      </c>
      <c r="L530" s="1178"/>
      <c r="M530" s="1179">
        <v>5600000</v>
      </c>
      <c r="N530" s="1376"/>
      <c r="O530" s="1174"/>
      <c r="P530" s="1163" t="s">
        <v>748</v>
      </c>
      <c r="Q530" s="1163"/>
      <c r="R530" s="1357"/>
      <c r="S530" s="1357"/>
      <c r="T530" s="1357">
        <f>+Tabla16[[#This Row],[CDPS A 31 JULIO 2022]]-Tabla16[[#This Row],[CDP]]</f>
        <v>0</v>
      </c>
      <c r="U530" s="1357"/>
      <c r="V530" s="1357"/>
      <c r="W530" s="1357"/>
    </row>
    <row r="531" spans="1:23" s="1207" customFormat="1" ht="45" hidden="1" customHeight="1" x14ac:dyDescent="0.3">
      <c r="A531" s="1355">
        <v>2022547</v>
      </c>
      <c r="B531" s="1172" t="s">
        <v>459</v>
      </c>
      <c r="C531" s="1356"/>
      <c r="D531" s="1190" t="s">
        <v>689</v>
      </c>
      <c r="E531" s="1174" t="s">
        <v>1171</v>
      </c>
      <c r="F531" s="1379" t="s">
        <v>1175</v>
      </c>
      <c r="G531" s="1380">
        <v>44621</v>
      </c>
      <c r="H531" s="1380">
        <v>44651</v>
      </c>
      <c r="I531" s="1176">
        <v>6</v>
      </c>
      <c r="J531" s="1176" t="s">
        <v>699</v>
      </c>
      <c r="K531" s="1177" t="s">
        <v>674</v>
      </c>
      <c r="L531" s="1178"/>
      <c r="M531" s="1179">
        <v>28400000</v>
      </c>
      <c r="N531" s="1376"/>
      <c r="O531" s="1174"/>
      <c r="P531" s="1163" t="s">
        <v>678</v>
      </c>
      <c r="Q531" s="1163"/>
      <c r="R531" s="1357"/>
      <c r="S531" s="1357"/>
      <c r="T531" s="1357">
        <f>+Tabla16[[#This Row],[CDPS A 31 JULIO 2022]]-Tabla16[[#This Row],[CDP]]</f>
        <v>0</v>
      </c>
      <c r="U531" s="1357"/>
      <c r="V531" s="1357"/>
      <c r="W531" s="1357"/>
    </row>
    <row r="532" spans="1:23" s="1207" customFormat="1" ht="45" hidden="1" customHeight="1" x14ac:dyDescent="0.3">
      <c r="A532" s="1355">
        <v>2022548</v>
      </c>
      <c r="B532" s="1172" t="s">
        <v>459</v>
      </c>
      <c r="C532" s="1356"/>
      <c r="D532" s="1190" t="s">
        <v>689</v>
      </c>
      <c r="E532" s="1174" t="s">
        <v>1176</v>
      </c>
      <c r="F532" s="1379" t="s">
        <v>1177</v>
      </c>
      <c r="G532" s="1380">
        <v>44562</v>
      </c>
      <c r="H532" s="1380">
        <v>44592</v>
      </c>
      <c r="I532" s="1176">
        <v>11</v>
      </c>
      <c r="J532" s="1176" t="s">
        <v>720</v>
      </c>
      <c r="K532" s="1177" t="s">
        <v>674</v>
      </c>
      <c r="L532" s="1178"/>
      <c r="M532" s="1179">
        <f>100000000-20000000-15000000</f>
        <v>65000000</v>
      </c>
      <c r="N532" s="1376"/>
      <c r="O532" s="1174"/>
      <c r="P532" s="1207" t="s">
        <v>678</v>
      </c>
      <c r="Q532" s="1163"/>
      <c r="R532" s="1357"/>
      <c r="S532" s="1357"/>
      <c r="T532" s="1357">
        <f>+Tabla16[[#This Row],[CDPS A 31 JULIO 2022]]-Tabla16[[#This Row],[CDP]]</f>
        <v>0</v>
      </c>
      <c r="U532" s="1357"/>
      <c r="V532" s="1357"/>
      <c r="W532" s="1357"/>
    </row>
    <row r="533" spans="1:23" s="1207" customFormat="1" ht="45" hidden="1" customHeight="1" x14ac:dyDescent="0.3">
      <c r="A533" s="1355">
        <v>2022549</v>
      </c>
      <c r="B533" s="1172" t="s">
        <v>459</v>
      </c>
      <c r="C533" s="1356"/>
      <c r="D533" s="1190" t="s">
        <v>689</v>
      </c>
      <c r="E533" s="1174" t="s">
        <v>1176</v>
      </c>
      <c r="F533" s="1379" t="s">
        <v>1178</v>
      </c>
      <c r="G533" s="1380">
        <v>44621</v>
      </c>
      <c r="H533" s="1380">
        <v>44651</v>
      </c>
      <c r="I533" s="1176">
        <v>6</v>
      </c>
      <c r="J533" s="1176" t="s">
        <v>699</v>
      </c>
      <c r="K533" s="1177" t="s">
        <v>674</v>
      </c>
      <c r="L533" s="1178"/>
      <c r="M533" s="1179">
        <f>10000000+20000000</f>
        <v>30000000</v>
      </c>
      <c r="N533" s="1376"/>
      <c r="O533" s="1174"/>
      <c r="P533" s="1207" t="s">
        <v>678</v>
      </c>
      <c r="Q533" s="1163"/>
      <c r="R533" s="1357"/>
      <c r="S533" s="1357"/>
      <c r="T533" s="1357">
        <f>+Tabla16[[#This Row],[CDPS A 31 JULIO 2022]]-Tabla16[[#This Row],[CDP]]</f>
        <v>0</v>
      </c>
      <c r="U533" s="1357"/>
      <c r="V533" s="1357"/>
      <c r="W533" s="1357"/>
    </row>
    <row r="534" spans="1:23" s="1207" customFormat="1" ht="45" hidden="1" customHeight="1" x14ac:dyDescent="0.3">
      <c r="A534" s="1355">
        <v>2022550</v>
      </c>
      <c r="B534" s="1172" t="s">
        <v>459</v>
      </c>
      <c r="C534" s="1356"/>
      <c r="D534" s="1190" t="s">
        <v>689</v>
      </c>
      <c r="E534" s="1174" t="s">
        <v>1171</v>
      </c>
      <c r="F534" s="1379" t="s">
        <v>989</v>
      </c>
      <c r="G534" s="1380">
        <v>44562</v>
      </c>
      <c r="H534" s="1380">
        <v>44592</v>
      </c>
      <c r="I534" s="1176">
        <v>11</v>
      </c>
      <c r="J534" s="1176" t="s">
        <v>720</v>
      </c>
      <c r="K534" s="1177" t="s">
        <v>674</v>
      </c>
      <c r="L534" s="1178"/>
      <c r="M534" s="1179">
        <v>42542000</v>
      </c>
      <c r="N534" s="1376"/>
      <c r="O534" s="1174"/>
      <c r="P534" s="1207" t="s">
        <v>678</v>
      </c>
      <c r="Q534" s="1163"/>
      <c r="R534" s="1357"/>
      <c r="S534" s="1357"/>
      <c r="T534" s="1357">
        <f>+Tabla16[[#This Row],[CDPS A 31 JULIO 2022]]-Tabla16[[#This Row],[CDP]]</f>
        <v>0</v>
      </c>
      <c r="U534" s="1357"/>
      <c r="V534" s="1357"/>
      <c r="W534" s="1357"/>
    </row>
    <row r="535" spans="1:23" s="1207" customFormat="1" ht="45" hidden="1" customHeight="1" x14ac:dyDescent="0.3">
      <c r="A535" s="1355">
        <v>2022551</v>
      </c>
      <c r="B535" s="1172" t="s">
        <v>459</v>
      </c>
      <c r="C535" s="1356"/>
      <c r="D535" s="1190" t="s">
        <v>689</v>
      </c>
      <c r="E535" s="1174" t="s">
        <v>1171</v>
      </c>
      <c r="F535" s="1379" t="s">
        <v>987</v>
      </c>
      <c r="G535" s="1380">
        <v>44562</v>
      </c>
      <c r="H535" s="1380">
        <v>44592</v>
      </c>
      <c r="I535" s="1176">
        <v>1</v>
      </c>
      <c r="J535" s="1176" t="s">
        <v>720</v>
      </c>
      <c r="K535" s="1177" t="s">
        <v>674</v>
      </c>
      <c r="L535" s="1178"/>
      <c r="M535" s="1179">
        <v>2345000</v>
      </c>
      <c r="N535" s="1376"/>
      <c r="O535" s="1174"/>
      <c r="P535" s="1207" t="s">
        <v>757</v>
      </c>
      <c r="Q535" s="1163"/>
      <c r="R535" s="1357"/>
      <c r="S535" s="1357"/>
      <c r="T535" s="1357">
        <f>+Tabla16[[#This Row],[CDPS A 31 JULIO 2022]]-Tabla16[[#This Row],[CDP]]</f>
        <v>0</v>
      </c>
      <c r="U535" s="1357"/>
      <c r="V535" s="1357"/>
      <c r="W535" s="1357"/>
    </row>
    <row r="536" spans="1:23" s="1207" customFormat="1" ht="45" hidden="1" customHeight="1" x14ac:dyDescent="0.3">
      <c r="A536" s="1355">
        <v>2022552</v>
      </c>
      <c r="B536" s="1172" t="s">
        <v>459</v>
      </c>
      <c r="C536" s="1356"/>
      <c r="D536" s="1190" t="s">
        <v>689</v>
      </c>
      <c r="E536" s="1174" t="s">
        <v>1171</v>
      </c>
      <c r="F536" s="1379" t="s">
        <v>987</v>
      </c>
      <c r="G536" s="1380">
        <v>44562</v>
      </c>
      <c r="H536" s="1380">
        <v>44592</v>
      </c>
      <c r="I536" s="1176">
        <v>1</v>
      </c>
      <c r="J536" s="1176" t="s">
        <v>720</v>
      </c>
      <c r="K536" s="1177" t="s">
        <v>674</v>
      </c>
      <c r="L536" s="1178"/>
      <c r="M536" s="1179">
        <v>1450000</v>
      </c>
      <c r="N536" s="1376"/>
      <c r="O536" s="1174"/>
      <c r="P536" s="1207" t="s">
        <v>757</v>
      </c>
      <c r="Q536" s="1163"/>
      <c r="R536" s="1357"/>
      <c r="S536" s="1357"/>
      <c r="T536" s="1357">
        <f>+Tabla16[[#This Row],[CDPS A 31 JULIO 2022]]-Tabla16[[#This Row],[CDP]]</f>
        <v>0</v>
      </c>
      <c r="U536" s="1357"/>
      <c r="V536" s="1357"/>
      <c r="W536" s="1357"/>
    </row>
    <row r="537" spans="1:23" s="1207" customFormat="1" ht="45" hidden="1" customHeight="1" x14ac:dyDescent="0.3">
      <c r="A537" s="1355">
        <v>2022553</v>
      </c>
      <c r="B537" s="1172" t="s">
        <v>459</v>
      </c>
      <c r="C537" s="1356"/>
      <c r="D537" s="1190" t="s">
        <v>689</v>
      </c>
      <c r="E537" s="1174" t="s">
        <v>1171</v>
      </c>
      <c r="F537" s="1379" t="s">
        <v>989</v>
      </c>
      <c r="G537" s="1380">
        <v>44562</v>
      </c>
      <c r="H537" s="1380">
        <v>44592</v>
      </c>
      <c r="I537" s="1176">
        <v>11</v>
      </c>
      <c r="J537" s="1176" t="s">
        <v>720</v>
      </c>
      <c r="K537" s="1177" t="s">
        <v>674</v>
      </c>
      <c r="L537" s="1178"/>
      <c r="M537" s="1179">
        <v>11550000</v>
      </c>
      <c r="N537" s="1376"/>
      <c r="O537" s="1174"/>
      <c r="P537" s="1207" t="s">
        <v>678</v>
      </c>
      <c r="Q537" s="1163"/>
      <c r="R537" s="1357"/>
      <c r="S537" s="1357"/>
      <c r="T537" s="1357">
        <f>+Tabla16[[#This Row],[CDPS A 31 JULIO 2022]]-Tabla16[[#This Row],[CDP]]</f>
        <v>0</v>
      </c>
      <c r="U537" s="1357"/>
      <c r="V537" s="1357"/>
      <c r="W537" s="1357"/>
    </row>
    <row r="538" spans="1:23" s="1207" customFormat="1" ht="45" hidden="1" customHeight="1" x14ac:dyDescent="0.3">
      <c r="A538" s="1355">
        <v>2022554</v>
      </c>
      <c r="B538" s="1172" t="s">
        <v>459</v>
      </c>
      <c r="C538" s="1356"/>
      <c r="D538" s="1190" t="s">
        <v>689</v>
      </c>
      <c r="E538" s="1174" t="s">
        <v>1171</v>
      </c>
      <c r="F538" s="1379" t="s">
        <v>1172</v>
      </c>
      <c r="G538" s="1380">
        <v>44562</v>
      </c>
      <c r="H538" s="1380">
        <v>44592</v>
      </c>
      <c r="I538" s="1176">
        <v>3</v>
      </c>
      <c r="J538" s="1176" t="s">
        <v>699</v>
      </c>
      <c r="K538" s="1177" t="s">
        <v>674</v>
      </c>
      <c r="L538" s="1178"/>
      <c r="M538" s="1179">
        <v>2800000</v>
      </c>
      <c r="N538" s="1376"/>
      <c r="O538" s="1174"/>
      <c r="P538" s="1207" t="s">
        <v>757</v>
      </c>
      <c r="Q538" s="1163"/>
      <c r="R538" s="1357"/>
      <c r="S538" s="1357"/>
      <c r="T538" s="1357">
        <f>+Tabla16[[#This Row],[CDPS A 31 JULIO 2022]]-Tabla16[[#This Row],[CDP]]</f>
        <v>0</v>
      </c>
      <c r="U538" s="1357"/>
      <c r="V538" s="1357"/>
      <c r="W538" s="1357"/>
    </row>
    <row r="539" spans="1:23" s="1207" customFormat="1" ht="45" hidden="1" customHeight="1" x14ac:dyDescent="0.3">
      <c r="A539" s="1355">
        <v>2022555</v>
      </c>
      <c r="B539" s="1172" t="s">
        <v>459</v>
      </c>
      <c r="C539" s="1356"/>
      <c r="D539" s="1190" t="s">
        <v>689</v>
      </c>
      <c r="E539" s="1174" t="s">
        <v>1171</v>
      </c>
      <c r="F539" s="1379" t="s">
        <v>1179</v>
      </c>
      <c r="G539" s="1380">
        <v>44621</v>
      </c>
      <c r="H539" s="1380">
        <v>44651</v>
      </c>
      <c r="I539" s="1176">
        <v>6</v>
      </c>
      <c r="J539" s="1176" t="s">
        <v>699</v>
      </c>
      <c r="K539" s="1177" t="s">
        <v>674</v>
      </c>
      <c r="L539" s="1178"/>
      <c r="M539" s="1179">
        <v>5204000</v>
      </c>
      <c r="N539" s="1376"/>
      <c r="O539" s="1174"/>
      <c r="P539" s="1207" t="s">
        <v>678</v>
      </c>
      <c r="Q539" s="1163"/>
      <c r="R539" s="1357"/>
      <c r="S539" s="1357"/>
      <c r="T539" s="1357">
        <f>+Tabla16[[#This Row],[CDPS A 31 JULIO 2022]]-Tabla16[[#This Row],[CDP]]</f>
        <v>0</v>
      </c>
      <c r="U539" s="1357"/>
      <c r="V539" s="1357"/>
      <c r="W539" s="1357"/>
    </row>
    <row r="540" spans="1:23" s="1207" customFormat="1" ht="45" hidden="1" customHeight="1" x14ac:dyDescent="0.3">
      <c r="A540" s="1355">
        <v>2022556</v>
      </c>
      <c r="B540" s="1172" t="s">
        <v>459</v>
      </c>
      <c r="C540" s="1356"/>
      <c r="D540" s="1190" t="s">
        <v>689</v>
      </c>
      <c r="E540" s="1174" t="s">
        <v>1171</v>
      </c>
      <c r="F540" s="1379" t="s">
        <v>987</v>
      </c>
      <c r="G540" s="1380">
        <v>44562</v>
      </c>
      <c r="H540" s="1380">
        <v>44592</v>
      </c>
      <c r="I540" s="1176">
        <v>1</v>
      </c>
      <c r="J540" s="1176" t="s">
        <v>720</v>
      </c>
      <c r="K540" s="1177" t="s">
        <v>674</v>
      </c>
      <c r="L540" s="1178"/>
      <c r="M540" s="1179">
        <v>1308000</v>
      </c>
      <c r="N540" s="1376"/>
      <c r="O540" s="1174"/>
      <c r="P540" s="1207" t="s">
        <v>757</v>
      </c>
      <c r="Q540" s="1163"/>
      <c r="R540" s="1357"/>
      <c r="S540" s="1357"/>
      <c r="T540" s="1357">
        <f>+Tabla16[[#This Row],[CDPS A 31 JULIO 2022]]-Tabla16[[#This Row],[CDP]]</f>
        <v>0</v>
      </c>
      <c r="U540" s="1357"/>
      <c r="V540" s="1357"/>
      <c r="W540" s="1357"/>
    </row>
    <row r="541" spans="1:23" s="1207" customFormat="1" ht="45" hidden="1" customHeight="1" x14ac:dyDescent="0.3">
      <c r="A541" s="1355">
        <v>2022557</v>
      </c>
      <c r="B541" s="1172" t="s">
        <v>459</v>
      </c>
      <c r="C541" s="1356"/>
      <c r="D541" s="1190" t="s">
        <v>689</v>
      </c>
      <c r="E541" s="1174" t="s">
        <v>1171</v>
      </c>
      <c r="F541" s="1379" t="s">
        <v>989</v>
      </c>
      <c r="G541" s="1380">
        <v>44562</v>
      </c>
      <c r="H541" s="1380">
        <v>44592</v>
      </c>
      <c r="I541" s="1176">
        <v>11</v>
      </c>
      <c r="J541" s="1176" t="s">
        <v>720</v>
      </c>
      <c r="K541" s="1177" t="s">
        <v>674</v>
      </c>
      <c r="L541" s="1178"/>
      <c r="M541" s="1179">
        <v>14692000</v>
      </c>
      <c r="N541" s="1376"/>
      <c r="O541" s="1174"/>
      <c r="P541" s="1207" t="s">
        <v>678</v>
      </c>
      <c r="Q541" s="1163"/>
      <c r="R541" s="1357"/>
      <c r="S541" s="1357"/>
      <c r="T541" s="1357">
        <f>+Tabla16[[#This Row],[CDPS A 31 JULIO 2022]]-Tabla16[[#This Row],[CDP]]</f>
        <v>0</v>
      </c>
      <c r="U541" s="1357"/>
      <c r="V541" s="1357"/>
      <c r="W541" s="1357"/>
    </row>
    <row r="542" spans="1:23" s="1207" customFormat="1" ht="45" hidden="1" customHeight="1" x14ac:dyDescent="0.3">
      <c r="A542" s="1355">
        <v>2022558</v>
      </c>
      <c r="B542" s="1172" t="s">
        <v>459</v>
      </c>
      <c r="C542" s="1356"/>
      <c r="D542" s="1190" t="s">
        <v>689</v>
      </c>
      <c r="E542" s="1174" t="s">
        <v>1171</v>
      </c>
      <c r="F542" s="1379" t="s">
        <v>1180</v>
      </c>
      <c r="G542" s="1380">
        <v>44562</v>
      </c>
      <c r="H542" s="1380">
        <v>44592</v>
      </c>
      <c r="I542" s="1176">
        <v>3</v>
      </c>
      <c r="J542" s="1176" t="s">
        <v>699</v>
      </c>
      <c r="K542" s="1177" t="s">
        <v>674</v>
      </c>
      <c r="L542" s="1178"/>
      <c r="M542" s="1179">
        <v>1400000</v>
      </c>
      <c r="N542" s="1376"/>
      <c r="O542" s="1174"/>
      <c r="P542" s="1207" t="s">
        <v>757</v>
      </c>
      <c r="Q542" s="1163"/>
      <c r="R542" s="1357"/>
      <c r="S542" s="1357"/>
      <c r="T542" s="1357">
        <f>+Tabla16[[#This Row],[CDPS A 31 JULIO 2022]]-Tabla16[[#This Row],[CDP]]</f>
        <v>0</v>
      </c>
      <c r="U542" s="1357"/>
      <c r="V542" s="1357"/>
      <c r="W542" s="1357"/>
    </row>
    <row r="543" spans="1:23" s="1207" customFormat="1" ht="45" hidden="1" customHeight="1" x14ac:dyDescent="0.3">
      <c r="A543" s="1355">
        <v>2022559</v>
      </c>
      <c r="B543" s="1172" t="s">
        <v>459</v>
      </c>
      <c r="C543" s="1356"/>
      <c r="D543" s="1190" t="s">
        <v>689</v>
      </c>
      <c r="E543" s="1174" t="s">
        <v>1171</v>
      </c>
      <c r="F543" s="1379" t="s">
        <v>1179</v>
      </c>
      <c r="G543" s="1380">
        <v>44621</v>
      </c>
      <c r="H543" s="1380">
        <v>44651</v>
      </c>
      <c r="I543" s="1176">
        <v>6</v>
      </c>
      <c r="J543" s="1176" t="s">
        <v>699</v>
      </c>
      <c r="K543" s="1177" t="s">
        <v>674</v>
      </c>
      <c r="L543" s="1178"/>
      <c r="M543" s="1179">
        <v>9600000</v>
      </c>
      <c r="N543" s="1376"/>
      <c r="O543" s="1174"/>
      <c r="P543" s="1207" t="s">
        <v>678</v>
      </c>
      <c r="Q543" s="1163"/>
      <c r="R543" s="1357"/>
      <c r="S543" s="1357"/>
      <c r="T543" s="1357">
        <f>+Tabla16[[#This Row],[CDPS A 31 JULIO 2022]]-Tabla16[[#This Row],[CDP]]</f>
        <v>0</v>
      </c>
      <c r="U543" s="1357"/>
      <c r="V543" s="1357"/>
      <c r="W543" s="1357"/>
    </row>
    <row r="544" spans="1:23" s="1207" customFormat="1" ht="45" hidden="1" customHeight="1" x14ac:dyDescent="0.3">
      <c r="A544" s="1355">
        <v>2022560</v>
      </c>
      <c r="B544" s="1172" t="s">
        <v>459</v>
      </c>
      <c r="C544" s="1356"/>
      <c r="D544" s="1190" t="s">
        <v>689</v>
      </c>
      <c r="E544" s="1174" t="s">
        <v>1181</v>
      </c>
      <c r="F544" s="1379" t="s">
        <v>1182</v>
      </c>
      <c r="G544" s="1380">
        <v>44682</v>
      </c>
      <c r="H544" s="1380">
        <v>44712</v>
      </c>
      <c r="I544" s="1176">
        <v>7</v>
      </c>
      <c r="J544" s="1176" t="s">
        <v>673</v>
      </c>
      <c r="K544" s="1177" t="s">
        <v>674</v>
      </c>
      <c r="L544" s="1178"/>
      <c r="M544" s="1179">
        <v>79500000</v>
      </c>
      <c r="N544" s="1376"/>
      <c r="O544" s="1174"/>
      <c r="P544" s="1207" t="s">
        <v>678</v>
      </c>
      <c r="Q544" s="1163"/>
      <c r="R544" s="1357"/>
      <c r="S544" s="1357"/>
      <c r="T544" s="1357">
        <f>+Tabla16[[#This Row],[CDPS A 31 JULIO 2022]]-Tabla16[[#This Row],[CDP]]</f>
        <v>0</v>
      </c>
      <c r="U544" s="1357"/>
      <c r="V544" s="1357"/>
      <c r="W544" s="1357"/>
    </row>
    <row r="545" spans="1:23" s="1207" customFormat="1" ht="45" hidden="1" customHeight="1" x14ac:dyDescent="0.3">
      <c r="A545" s="1355">
        <v>2022561</v>
      </c>
      <c r="B545" s="1172" t="s">
        <v>459</v>
      </c>
      <c r="C545" s="1356"/>
      <c r="D545" s="1190" t="s">
        <v>689</v>
      </c>
      <c r="E545" s="1174" t="s">
        <v>1181</v>
      </c>
      <c r="F545" s="1379" t="s">
        <v>1183</v>
      </c>
      <c r="G545" s="1380">
        <v>44593</v>
      </c>
      <c r="H545" s="1380">
        <v>44620</v>
      </c>
      <c r="I545" s="1176">
        <v>3.21</v>
      </c>
      <c r="J545" s="1176" t="s">
        <v>673</v>
      </c>
      <c r="K545" s="1177" t="s">
        <v>674</v>
      </c>
      <c r="L545" s="1178"/>
      <c r="M545" s="1179">
        <v>41500000</v>
      </c>
      <c r="N545" s="1376"/>
      <c r="O545" s="1174"/>
      <c r="P545" s="1207" t="s">
        <v>757</v>
      </c>
      <c r="Q545" s="1163"/>
      <c r="R545" s="1357"/>
      <c r="S545" s="1357"/>
      <c r="T545" s="1357">
        <f>+Tabla16[[#This Row],[CDPS A 31 JULIO 2022]]-Tabla16[[#This Row],[CDP]]</f>
        <v>0</v>
      </c>
      <c r="U545" s="1357"/>
      <c r="V545" s="1357"/>
      <c r="W545" s="1357"/>
    </row>
    <row r="546" spans="1:23" s="1207" customFormat="1" ht="45" hidden="1" customHeight="1" x14ac:dyDescent="0.3">
      <c r="A546" s="1355">
        <v>2022562</v>
      </c>
      <c r="B546" s="1172" t="s">
        <v>459</v>
      </c>
      <c r="C546" s="1356"/>
      <c r="D546" s="1190" t="s">
        <v>689</v>
      </c>
      <c r="E546" s="1174" t="s">
        <v>1184</v>
      </c>
      <c r="F546" s="1379" t="s">
        <v>1185</v>
      </c>
      <c r="G546" s="1380">
        <v>44593</v>
      </c>
      <c r="H546" s="1380">
        <v>44620</v>
      </c>
      <c r="I546" s="1176">
        <v>12</v>
      </c>
      <c r="J546" s="1176" t="s">
        <v>645</v>
      </c>
      <c r="K546" s="1177" t="s">
        <v>674</v>
      </c>
      <c r="L546" s="1178"/>
      <c r="M546" s="1179">
        <f>1500000000-225179326-158379938</f>
        <v>1116440736</v>
      </c>
      <c r="N546" s="1376"/>
      <c r="O546" s="1174"/>
      <c r="P546" s="1207" t="s">
        <v>678</v>
      </c>
      <c r="Q546" s="1163"/>
      <c r="R546" s="1357"/>
      <c r="S546" s="1357"/>
      <c r="T546" s="1357">
        <f>+Tabla16[[#This Row],[CDPS A 31 JULIO 2022]]-Tabla16[[#This Row],[CDP]]</f>
        <v>0</v>
      </c>
      <c r="U546" s="1357"/>
      <c r="V546" s="1357"/>
      <c r="W546" s="1357"/>
    </row>
    <row r="547" spans="1:23" s="1207" customFormat="1" ht="45" hidden="1" customHeight="1" x14ac:dyDescent="0.3">
      <c r="A547" s="1355">
        <v>2022563</v>
      </c>
      <c r="B547" s="1172" t="s">
        <v>459</v>
      </c>
      <c r="C547" s="1356"/>
      <c r="D547" s="1190" t="s">
        <v>689</v>
      </c>
      <c r="E547" s="1174" t="s">
        <v>1184</v>
      </c>
      <c r="F547" s="1379" t="s">
        <v>1185</v>
      </c>
      <c r="G547" s="1380">
        <v>44593</v>
      </c>
      <c r="H547" s="1380">
        <v>44620</v>
      </c>
      <c r="I547" s="1176">
        <v>12</v>
      </c>
      <c r="J547" s="1176" t="s">
        <v>645</v>
      </c>
      <c r="K547" s="1177" t="s">
        <v>674</v>
      </c>
      <c r="L547" s="1178"/>
      <c r="M547" s="1179">
        <f>550000000-82565753-58072645</f>
        <v>409361602</v>
      </c>
      <c r="N547" s="1376"/>
      <c r="O547" s="1174"/>
      <c r="P547" s="1207" t="s">
        <v>678</v>
      </c>
      <c r="Q547" s="1163"/>
      <c r="R547" s="1357"/>
      <c r="S547" s="1357"/>
      <c r="T547" s="1357">
        <f>+Tabla16[[#This Row],[CDPS A 31 JULIO 2022]]-Tabla16[[#This Row],[CDP]]</f>
        <v>0</v>
      </c>
      <c r="U547" s="1357"/>
      <c r="V547" s="1357"/>
      <c r="W547" s="1357"/>
    </row>
    <row r="548" spans="1:23" s="1207" customFormat="1" ht="45" hidden="1" customHeight="1" x14ac:dyDescent="0.3">
      <c r="A548" s="1355">
        <v>2022564</v>
      </c>
      <c r="B548" s="1172" t="s">
        <v>459</v>
      </c>
      <c r="C548" s="1356"/>
      <c r="D548" s="1190" t="s">
        <v>689</v>
      </c>
      <c r="E548" s="1174" t="s">
        <v>1184</v>
      </c>
      <c r="F548" s="1379" t="s">
        <v>1185</v>
      </c>
      <c r="G548" s="1380">
        <v>44593</v>
      </c>
      <c r="H548" s="1380">
        <v>44620</v>
      </c>
      <c r="I548" s="1176">
        <v>12</v>
      </c>
      <c r="J548" s="1176" t="s">
        <v>645</v>
      </c>
      <c r="K548" s="1177" t="s">
        <v>674</v>
      </c>
      <c r="L548" s="1178"/>
      <c r="M548" s="1179">
        <f>733000000-110037631-77394997</f>
        <v>545567372</v>
      </c>
      <c r="N548" s="1376"/>
      <c r="O548" s="1174"/>
      <c r="P548" s="1207" t="s">
        <v>678</v>
      </c>
      <c r="Q548" s="1163"/>
      <c r="R548" s="1357"/>
      <c r="S548" s="1357"/>
      <c r="T548" s="1357">
        <f>+Tabla16[[#This Row],[CDPS A 31 JULIO 2022]]-Tabla16[[#This Row],[CDP]]</f>
        <v>0</v>
      </c>
      <c r="U548" s="1357"/>
      <c r="V548" s="1357"/>
      <c r="W548" s="1357"/>
    </row>
    <row r="549" spans="1:23" s="1207" customFormat="1" ht="45" hidden="1" customHeight="1" x14ac:dyDescent="0.3">
      <c r="A549" s="1355">
        <v>2022565</v>
      </c>
      <c r="B549" s="1172" t="s">
        <v>459</v>
      </c>
      <c r="C549" s="1356"/>
      <c r="D549" s="1190" t="s">
        <v>689</v>
      </c>
      <c r="E549" s="1174" t="s">
        <v>1184</v>
      </c>
      <c r="F549" s="1379" t="s">
        <v>1185</v>
      </c>
      <c r="G549" s="1380">
        <v>44593</v>
      </c>
      <c r="H549" s="1380">
        <v>44620</v>
      </c>
      <c r="I549" s="1176">
        <v>12</v>
      </c>
      <c r="J549" s="1176" t="s">
        <v>645</v>
      </c>
      <c r="K549" s="1177" t="s">
        <v>674</v>
      </c>
      <c r="L549" s="1178"/>
      <c r="M549" s="1179">
        <f>150000000-22517933-15837994</f>
        <v>111644073</v>
      </c>
      <c r="N549" s="1376"/>
      <c r="O549" s="1174"/>
      <c r="P549" s="1207" t="s">
        <v>678</v>
      </c>
      <c r="Q549" s="1163"/>
      <c r="R549" s="1357"/>
      <c r="S549" s="1357"/>
      <c r="T549" s="1357">
        <f>+Tabla16[[#This Row],[CDPS A 31 JULIO 2022]]-Tabla16[[#This Row],[CDP]]</f>
        <v>0</v>
      </c>
      <c r="U549" s="1357"/>
      <c r="V549" s="1357"/>
      <c r="W549" s="1357"/>
    </row>
    <row r="550" spans="1:23" s="1207" customFormat="1" ht="45" hidden="1" customHeight="1" x14ac:dyDescent="0.3">
      <c r="A550" s="1355">
        <v>2022566</v>
      </c>
      <c r="B550" s="1172" t="s">
        <v>459</v>
      </c>
      <c r="C550" s="1356"/>
      <c r="D550" s="1190" t="s">
        <v>689</v>
      </c>
      <c r="E550" s="1174" t="s">
        <v>1184</v>
      </c>
      <c r="F550" s="1379" t="s">
        <v>1185</v>
      </c>
      <c r="G550" s="1380">
        <v>44593</v>
      </c>
      <c r="H550" s="1380">
        <v>44620</v>
      </c>
      <c r="I550" s="1176">
        <v>12</v>
      </c>
      <c r="J550" s="1176" t="s">
        <v>645</v>
      </c>
      <c r="K550" s="1177" t="s">
        <v>674</v>
      </c>
      <c r="L550" s="1178"/>
      <c r="M550" s="1179">
        <f>300000000-45035865-31675987</f>
        <v>223288148</v>
      </c>
      <c r="N550" s="1376"/>
      <c r="O550" s="1174"/>
      <c r="P550" s="1207" t="s">
        <v>678</v>
      </c>
      <c r="Q550" s="1163"/>
      <c r="R550" s="1357"/>
      <c r="S550" s="1357"/>
      <c r="T550" s="1357">
        <f>+Tabla16[[#This Row],[CDPS A 31 JULIO 2022]]-Tabla16[[#This Row],[CDP]]</f>
        <v>0</v>
      </c>
      <c r="U550" s="1357"/>
      <c r="V550" s="1357"/>
      <c r="W550" s="1357"/>
    </row>
    <row r="551" spans="1:23" s="1207" customFormat="1" ht="45" hidden="1" customHeight="1" x14ac:dyDescent="0.3">
      <c r="A551" s="1355">
        <v>2022567</v>
      </c>
      <c r="B551" s="1172" t="s">
        <v>459</v>
      </c>
      <c r="C551" s="1356"/>
      <c r="D551" s="1190" t="s">
        <v>689</v>
      </c>
      <c r="E551" s="1174" t="s">
        <v>1184</v>
      </c>
      <c r="F551" s="1379" t="s">
        <v>1185</v>
      </c>
      <c r="G551" s="1380">
        <v>44593</v>
      </c>
      <c r="H551" s="1380">
        <v>44620</v>
      </c>
      <c r="I551" s="1176">
        <v>12</v>
      </c>
      <c r="J551" s="1176" t="s">
        <v>645</v>
      </c>
      <c r="K551" s="1177" t="s">
        <v>674</v>
      </c>
      <c r="L551" s="1178"/>
      <c r="M551" s="1179">
        <f>67000000-10058010-7074304</f>
        <v>49867686</v>
      </c>
      <c r="N551" s="1376"/>
      <c r="O551" s="1174"/>
      <c r="P551" s="1207" t="s">
        <v>678</v>
      </c>
      <c r="Q551" s="1163"/>
      <c r="R551" s="1357"/>
      <c r="S551" s="1357"/>
      <c r="T551" s="1357">
        <f>+Tabla16[[#This Row],[CDPS A 31 JULIO 2022]]-Tabla16[[#This Row],[CDP]]</f>
        <v>0</v>
      </c>
      <c r="U551" s="1357"/>
      <c r="V551" s="1357"/>
      <c r="W551" s="1357"/>
    </row>
    <row r="552" spans="1:23" s="1207" customFormat="1" ht="45" hidden="1" customHeight="1" x14ac:dyDescent="0.3">
      <c r="A552" s="1355">
        <v>2022568</v>
      </c>
      <c r="B552" s="1172" t="s">
        <v>459</v>
      </c>
      <c r="C552" s="1356"/>
      <c r="D552" s="1190" t="s">
        <v>689</v>
      </c>
      <c r="E552" s="1174" t="s">
        <v>1186</v>
      </c>
      <c r="F552" s="1379" t="s">
        <v>1187</v>
      </c>
      <c r="G552" s="1380">
        <v>44713</v>
      </c>
      <c r="H552" s="1380">
        <v>44742</v>
      </c>
      <c r="I552" s="1176">
        <v>7</v>
      </c>
      <c r="J552" s="1176" t="s">
        <v>673</v>
      </c>
      <c r="K552" s="1177" t="s">
        <v>674</v>
      </c>
      <c r="L552" s="1178"/>
      <c r="M552" s="1179">
        <v>124000000</v>
      </c>
      <c r="N552" s="1376"/>
      <c r="O552" s="1174"/>
      <c r="P552" s="1207" t="s">
        <v>678</v>
      </c>
      <c r="Q552" s="1163"/>
      <c r="R552" s="1357"/>
      <c r="S552" s="1357"/>
      <c r="T552" s="1357">
        <f>+Tabla16[[#This Row],[CDPS A 31 JULIO 2022]]-Tabla16[[#This Row],[CDP]]</f>
        <v>0</v>
      </c>
      <c r="U552" s="1357"/>
      <c r="V552" s="1357"/>
      <c r="W552" s="1357"/>
    </row>
    <row r="553" spans="1:23" s="1207" customFormat="1" ht="45" hidden="1" customHeight="1" x14ac:dyDescent="0.3">
      <c r="A553" s="1355">
        <v>2022569</v>
      </c>
      <c r="B553" s="1172" t="s">
        <v>459</v>
      </c>
      <c r="C553" s="1356"/>
      <c r="D553" s="1190" t="s">
        <v>689</v>
      </c>
      <c r="E553" s="1174" t="s">
        <v>1186</v>
      </c>
      <c r="F553" s="1379" t="s">
        <v>1188</v>
      </c>
      <c r="G553" s="1380">
        <v>44562</v>
      </c>
      <c r="H553" s="1380">
        <v>44592</v>
      </c>
      <c r="I553" s="1176">
        <v>12</v>
      </c>
      <c r="J553" s="1176" t="s">
        <v>673</v>
      </c>
      <c r="K553" s="1177" t="s">
        <v>674</v>
      </c>
      <c r="L553" s="1178"/>
      <c r="M553" s="1179">
        <v>109000000</v>
      </c>
      <c r="N553" s="1376"/>
      <c r="O553" s="1174"/>
      <c r="P553" s="1207" t="s">
        <v>678</v>
      </c>
      <c r="Q553" s="1163"/>
      <c r="R553" s="1357"/>
      <c r="S553" s="1357"/>
      <c r="T553" s="1357">
        <f>+Tabla16[[#This Row],[CDPS A 31 JULIO 2022]]-Tabla16[[#This Row],[CDP]]</f>
        <v>0</v>
      </c>
      <c r="U553" s="1357"/>
      <c r="V553" s="1357"/>
      <c r="W553" s="1357"/>
    </row>
    <row r="554" spans="1:23" s="1207" customFormat="1" ht="45" hidden="1" customHeight="1" x14ac:dyDescent="0.3">
      <c r="A554" s="1355">
        <v>2022570</v>
      </c>
      <c r="B554" s="1172" t="s">
        <v>459</v>
      </c>
      <c r="C554" s="1356"/>
      <c r="D554" s="1190" t="s">
        <v>689</v>
      </c>
      <c r="E554" s="1174" t="s">
        <v>780</v>
      </c>
      <c r="F554" s="1379" t="s">
        <v>1189</v>
      </c>
      <c r="G554" s="1380">
        <v>44743</v>
      </c>
      <c r="H554" s="1380">
        <v>44772</v>
      </c>
      <c r="I554" s="1176">
        <v>11.5</v>
      </c>
      <c r="J554" s="1176" t="s">
        <v>673</v>
      </c>
      <c r="K554" s="1177" t="s">
        <v>674</v>
      </c>
      <c r="L554" s="1178"/>
      <c r="M554" s="1179">
        <v>350000000</v>
      </c>
      <c r="N554" s="1376"/>
      <c r="O554" s="1174"/>
      <c r="P554" s="1207" t="s">
        <v>678</v>
      </c>
      <c r="Q554" s="1163"/>
      <c r="R554" s="1357"/>
      <c r="S554" s="1357"/>
      <c r="T554" s="1357">
        <f>+Tabla16[[#This Row],[CDPS A 31 JULIO 2022]]-Tabla16[[#This Row],[CDP]]</f>
        <v>0</v>
      </c>
      <c r="U554" s="1357"/>
      <c r="V554" s="1357"/>
      <c r="W554" s="1357"/>
    </row>
    <row r="555" spans="1:23" s="1207" customFormat="1" ht="45" hidden="1" customHeight="1" x14ac:dyDescent="0.3">
      <c r="A555" s="1355">
        <v>2022571</v>
      </c>
      <c r="B555" s="1172" t="s">
        <v>459</v>
      </c>
      <c r="C555" s="1356"/>
      <c r="D555" s="1190" t="s">
        <v>689</v>
      </c>
      <c r="E555" s="1202" t="s">
        <v>983</v>
      </c>
      <c r="F555" s="1190" t="s">
        <v>1190</v>
      </c>
      <c r="G555" s="1377">
        <v>44652</v>
      </c>
      <c r="H555" s="1377">
        <v>44681</v>
      </c>
      <c r="I555" s="1176">
        <v>10</v>
      </c>
      <c r="J555" s="1176" t="s">
        <v>645</v>
      </c>
      <c r="K555" s="1177" t="s">
        <v>674</v>
      </c>
      <c r="L555" s="1178"/>
      <c r="M555" s="1179">
        <f>756263000-41115467</f>
        <v>715147533</v>
      </c>
      <c r="N555" s="1376"/>
      <c r="O555" s="1174"/>
      <c r="P555" s="1207" t="s">
        <v>678</v>
      </c>
      <c r="Q555" s="1163"/>
      <c r="R555" s="1357"/>
      <c r="S555" s="1357"/>
      <c r="T555" s="1357">
        <f>+Tabla16[[#This Row],[CDPS A 31 JULIO 2022]]-Tabla16[[#This Row],[CDP]]</f>
        <v>0</v>
      </c>
      <c r="U555" s="1357"/>
      <c r="V555" s="1357"/>
      <c r="W555" s="1357"/>
    </row>
    <row r="556" spans="1:23" s="1207" customFormat="1" ht="45" hidden="1" customHeight="1" x14ac:dyDescent="0.3">
      <c r="A556" s="1355">
        <v>2022572</v>
      </c>
      <c r="B556" s="1172" t="s">
        <v>459</v>
      </c>
      <c r="C556" s="1356"/>
      <c r="D556" s="1190" t="s">
        <v>689</v>
      </c>
      <c r="E556" s="1174" t="s">
        <v>1171</v>
      </c>
      <c r="F556" s="1379" t="s">
        <v>987</v>
      </c>
      <c r="G556" s="1380">
        <v>44562</v>
      </c>
      <c r="H556" s="1380">
        <v>44592</v>
      </c>
      <c r="I556" s="1176">
        <v>1</v>
      </c>
      <c r="J556" s="1176" t="s">
        <v>720</v>
      </c>
      <c r="K556" s="1177" t="s">
        <v>674</v>
      </c>
      <c r="L556" s="1178"/>
      <c r="M556" s="1179">
        <v>37063000</v>
      </c>
      <c r="N556" s="1376"/>
      <c r="O556" s="1174"/>
      <c r="P556" s="1207" t="s">
        <v>757</v>
      </c>
      <c r="Q556" s="1163"/>
      <c r="R556" s="1357"/>
      <c r="S556" s="1357"/>
      <c r="T556" s="1357">
        <f>+Tabla16[[#This Row],[CDPS A 31 JULIO 2022]]-Tabla16[[#This Row],[CDP]]</f>
        <v>0</v>
      </c>
      <c r="U556" s="1357"/>
      <c r="V556" s="1357"/>
      <c r="W556" s="1357"/>
    </row>
    <row r="557" spans="1:23" s="1207" customFormat="1" ht="45" hidden="1" customHeight="1" x14ac:dyDescent="0.3">
      <c r="A557" s="1355">
        <v>2022573</v>
      </c>
      <c r="B557" s="1172" t="s">
        <v>459</v>
      </c>
      <c r="C557" s="1356"/>
      <c r="D557" s="1190" t="s">
        <v>689</v>
      </c>
      <c r="E557" s="1174" t="s">
        <v>1171</v>
      </c>
      <c r="F557" s="1379" t="s">
        <v>989</v>
      </c>
      <c r="G557" s="1380">
        <v>44562</v>
      </c>
      <c r="H557" s="1380">
        <v>44592</v>
      </c>
      <c r="I557" s="1176">
        <v>11</v>
      </c>
      <c r="J557" s="1176" t="s">
        <v>720</v>
      </c>
      <c r="K557" s="1177" t="s">
        <v>674</v>
      </c>
      <c r="L557" s="1178"/>
      <c r="M557" s="1179">
        <v>382937000</v>
      </c>
      <c r="N557" s="1376"/>
      <c r="O557" s="1174"/>
      <c r="P557" s="1207" t="s">
        <v>678</v>
      </c>
      <c r="Q557" s="1163"/>
      <c r="R557" s="1357"/>
      <c r="S557" s="1357"/>
      <c r="T557" s="1357">
        <f>+Tabla16[[#This Row],[CDPS A 31 JULIO 2022]]-Tabla16[[#This Row],[CDP]]</f>
        <v>0</v>
      </c>
      <c r="U557" s="1357"/>
      <c r="V557" s="1357"/>
      <c r="W557" s="1357"/>
    </row>
    <row r="558" spans="1:23" s="1207" customFormat="1" ht="45" hidden="1" customHeight="1" x14ac:dyDescent="0.3">
      <c r="A558" s="1355">
        <v>2022574</v>
      </c>
      <c r="B558" s="1172" t="s">
        <v>459</v>
      </c>
      <c r="C558" s="1356"/>
      <c r="D558" s="1190" t="s">
        <v>689</v>
      </c>
      <c r="E558" s="1174" t="s">
        <v>1191</v>
      </c>
      <c r="F558" s="1379" t="s">
        <v>1192</v>
      </c>
      <c r="G558" s="1380">
        <v>44713</v>
      </c>
      <c r="H558" s="1380">
        <v>44742</v>
      </c>
      <c r="I558" s="1176">
        <v>6</v>
      </c>
      <c r="J558" s="1176" t="s">
        <v>673</v>
      </c>
      <c r="K558" s="1177" t="s">
        <v>674</v>
      </c>
      <c r="L558" s="1178"/>
      <c r="M558" s="1179">
        <f>4019274+664250+524098+294046</f>
        <v>5501668</v>
      </c>
      <c r="N558" s="1376"/>
      <c r="O558" s="1174"/>
      <c r="P558" s="1207" t="s">
        <v>678</v>
      </c>
      <c r="Q558" s="1163"/>
      <c r="R558" s="1357"/>
      <c r="S558" s="1357"/>
      <c r="T558" s="1357">
        <f>+Tabla16[[#This Row],[CDPS A 31 JULIO 2022]]-Tabla16[[#This Row],[CDP]]</f>
        <v>0</v>
      </c>
      <c r="U558" s="1357"/>
      <c r="V558" s="1357"/>
      <c r="W558" s="1357"/>
    </row>
    <row r="559" spans="1:23" s="1207" customFormat="1" ht="45" hidden="1" customHeight="1" x14ac:dyDescent="0.3">
      <c r="A559" s="1355">
        <v>2022575</v>
      </c>
      <c r="B559" s="1172" t="s">
        <v>459</v>
      </c>
      <c r="C559" s="1356"/>
      <c r="D559" s="1190" t="s">
        <v>689</v>
      </c>
      <c r="E559" s="1174" t="s">
        <v>1193</v>
      </c>
      <c r="F559" s="1379" t="s">
        <v>1194</v>
      </c>
      <c r="G559" s="1380">
        <v>44562</v>
      </c>
      <c r="H559" s="1380">
        <v>44592</v>
      </c>
      <c r="I559" s="1176">
        <v>5</v>
      </c>
      <c r="J559" s="1176" t="s">
        <v>673</v>
      </c>
      <c r="K559" s="1177" t="s">
        <v>674</v>
      </c>
      <c r="L559" s="1178"/>
      <c r="M559" s="1179">
        <f>8664250-664250</f>
        <v>8000000</v>
      </c>
      <c r="N559" s="1376"/>
      <c r="O559" s="1174"/>
      <c r="P559" s="1207" t="s">
        <v>757</v>
      </c>
      <c r="Q559" s="1163"/>
      <c r="R559" s="1357"/>
      <c r="S559" s="1357"/>
      <c r="T559" s="1357">
        <f>+Tabla16[[#This Row],[CDPS A 31 JULIO 2022]]-Tabla16[[#This Row],[CDP]]</f>
        <v>0</v>
      </c>
      <c r="U559" s="1357"/>
      <c r="V559" s="1357"/>
      <c r="W559" s="1357"/>
    </row>
    <row r="560" spans="1:23" s="1207" customFormat="1" ht="45" hidden="1" customHeight="1" x14ac:dyDescent="0.3">
      <c r="A560" s="1355">
        <v>2022576</v>
      </c>
      <c r="B560" s="1172" t="s">
        <v>459</v>
      </c>
      <c r="C560" s="1356"/>
      <c r="D560" s="1190" t="s">
        <v>689</v>
      </c>
      <c r="E560" s="1174" t="s">
        <v>1191</v>
      </c>
      <c r="F560" s="1379" t="s">
        <v>1195</v>
      </c>
      <c r="G560" s="1380">
        <v>44713</v>
      </c>
      <c r="H560" s="1380">
        <v>44742</v>
      </c>
      <c r="I560" s="1176">
        <v>9</v>
      </c>
      <c r="J560" s="1176" t="s">
        <v>673</v>
      </c>
      <c r="K560" s="1177" t="s">
        <v>674</v>
      </c>
      <c r="L560" s="1178"/>
      <c r="M560" s="1179">
        <f>13335750-524098</f>
        <v>12811652</v>
      </c>
      <c r="N560" s="1376"/>
      <c r="O560" s="1174"/>
      <c r="P560" s="1207" t="s">
        <v>678</v>
      </c>
      <c r="Q560" s="1163"/>
      <c r="R560" s="1357"/>
      <c r="S560" s="1357"/>
      <c r="T560" s="1357">
        <f>+Tabla16[[#This Row],[CDPS A 31 JULIO 2022]]-Tabla16[[#This Row],[CDP]]</f>
        <v>0</v>
      </c>
      <c r="U560" s="1357"/>
      <c r="V560" s="1357"/>
      <c r="W560" s="1357"/>
    </row>
    <row r="561" spans="1:23" s="1207" customFormat="1" ht="45" hidden="1" customHeight="1" x14ac:dyDescent="0.3">
      <c r="A561" s="1355">
        <v>2022577</v>
      </c>
      <c r="B561" s="1172" t="s">
        <v>459</v>
      </c>
      <c r="C561" s="1356"/>
      <c r="D561" s="1190" t="s">
        <v>689</v>
      </c>
      <c r="E561" s="1174" t="s">
        <v>1193</v>
      </c>
      <c r="F561" s="1379" t="s">
        <v>1192</v>
      </c>
      <c r="G561" s="1380">
        <v>44774</v>
      </c>
      <c r="H561" s="1380">
        <v>44804</v>
      </c>
      <c r="I561" s="1176">
        <v>6</v>
      </c>
      <c r="J561" s="1176" t="s">
        <v>673</v>
      </c>
      <c r="K561" s="1177" t="s">
        <v>674</v>
      </c>
      <c r="L561" s="1178"/>
      <c r="M561" s="1179">
        <f>3980726-294046</f>
        <v>3686680</v>
      </c>
      <c r="N561" s="1376"/>
      <c r="O561" s="1174"/>
      <c r="P561" s="1207" t="s">
        <v>678</v>
      </c>
      <c r="Q561" s="1163"/>
      <c r="R561" s="1357"/>
      <c r="S561" s="1357"/>
      <c r="T561" s="1357">
        <f>+Tabla16[[#This Row],[CDPS A 31 JULIO 2022]]-Tabla16[[#This Row],[CDP]]</f>
        <v>0</v>
      </c>
      <c r="U561" s="1357"/>
      <c r="V561" s="1357"/>
      <c r="W561" s="1357"/>
    </row>
    <row r="562" spans="1:23" s="1207" customFormat="1" ht="45" hidden="1" customHeight="1" x14ac:dyDescent="0.3">
      <c r="A562" s="1355">
        <v>2022578</v>
      </c>
      <c r="B562" s="1172" t="s">
        <v>459</v>
      </c>
      <c r="C562" s="1356"/>
      <c r="D562" s="1190" t="s">
        <v>689</v>
      </c>
      <c r="E562" s="1174" t="s">
        <v>808</v>
      </c>
      <c r="F562" s="1379" t="s">
        <v>809</v>
      </c>
      <c r="G562" s="1380">
        <v>44562</v>
      </c>
      <c r="H562" s="1380">
        <v>44592</v>
      </c>
      <c r="I562" s="1176"/>
      <c r="J562" s="1176" t="s">
        <v>696</v>
      </c>
      <c r="K562" s="1177" t="s">
        <v>674</v>
      </c>
      <c r="L562" s="1178"/>
      <c r="M562" s="1179">
        <v>20000000</v>
      </c>
      <c r="N562" s="1376"/>
      <c r="O562" s="1174"/>
      <c r="P562" s="1207" t="s">
        <v>757</v>
      </c>
      <c r="Q562" s="1163"/>
      <c r="R562" s="1357"/>
      <c r="S562" s="1357"/>
      <c r="T562" s="1357">
        <f>+Tabla16[[#This Row],[CDPS A 31 JULIO 2022]]-Tabla16[[#This Row],[CDP]]</f>
        <v>0</v>
      </c>
      <c r="U562" s="1357"/>
      <c r="V562" s="1357"/>
      <c r="W562" s="1357"/>
    </row>
    <row r="563" spans="1:23" s="1207" customFormat="1" ht="45" hidden="1" customHeight="1" x14ac:dyDescent="0.3">
      <c r="A563" s="1355">
        <v>2022579</v>
      </c>
      <c r="B563" s="1172" t="s">
        <v>459</v>
      </c>
      <c r="C563" s="1356"/>
      <c r="D563" s="1190" t="s">
        <v>689</v>
      </c>
      <c r="E563" s="1174" t="s">
        <v>808</v>
      </c>
      <c r="F563" s="1379" t="s">
        <v>1196</v>
      </c>
      <c r="G563" s="1380">
        <v>44562</v>
      </c>
      <c r="H563" s="1380">
        <v>44592</v>
      </c>
      <c r="I563" s="1176">
        <v>10</v>
      </c>
      <c r="J563" s="1176" t="s">
        <v>687</v>
      </c>
      <c r="K563" s="1177" t="s">
        <v>674</v>
      </c>
      <c r="L563" s="1178"/>
      <c r="M563" s="1179">
        <v>130000000</v>
      </c>
      <c r="N563" s="1376"/>
      <c r="O563" s="1174"/>
      <c r="P563" s="1207" t="s">
        <v>678</v>
      </c>
      <c r="Q563" s="1163"/>
      <c r="R563" s="1357"/>
      <c r="S563" s="1357"/>
      <c r="T563" s="1357">
        <f>+Tabla16[[#This Row],[CDPS A 31 JULIO 2022]]-Tabla16[[#This Row],[CDP]]</f>
        <v>0</v>
      </c>
      <c r="U563" s="1357"/>
      <c r="V563" s="1357"/>
      <c r="W563" s="1357"/>
    </row>
    <row r="564" spans="1:23" s="1207" customFormat="1" ht="45" hidden="1" customHeight="1" x14ac:dyDescent="0.3">
      <c r="A564" s="1355">
        <v>2022580</v>
      </c>
      <c r="B564" s="1172" t="s">
        <v>459</v>
      </c>
      <c r="C564" s="1356"/>
      <c r="D564" s="1190" t="s">
        <v>682</v>
      </c>
      <c r="E564" s="1174" t="s">
        <v>780</v>
      </c>
      <c r="F564" s="1379" t="s">
        <v>1197</v>
      </c>
      <c r="G564" s="1380">
        <v>44562</v>
      </c>
      <c r="H564" s="1380">
        <v>44592</v>
      </c>
      <c r="I564" s="1176">
        <v>8</v>
      </c>
      <c r="J564" s="1176" t="s">
        <v>673</v>
      </c>
      <c r="K564" s="1177" t="s">
        <v>674</v>
      </c>
      <c r="L564" s="1178"/>
      <c r="M564" s="1179">
        <v>85650000</v>
      </c>
      <c r="N564" s="1376"/>
      <c r="O564" s="1174"/>
      <c r="P564" s="1207" t="s">
        <v>678</v>
      </c>
      <c r="Q564" s="1163"/>
      <c r="R564" s="1357"/>
      <c r="S564" s="1357"/>
      <c r="T564" s="1357">
        <f>+Tabla16[[#This Row],[CDPS A 31 JULIO 2022]]-Tabla16[[#This Row],[CDP]]</f>
        <v>0</v>
      </c>
      <c r="U564" s="1357"/>
      <c r="V564" s="1357"/>
      <c r="W564" s="1357"/>
    </row>
    <row r="565" spans="1:23" s="1207" customFormat="1" ht="45" hidden="1" customHeight="1" x14ac:dyDescent="0.3">
      <c r="A565" s="1355">
        <v>2022581</v>
      </c>
      <c r="B565" s="1172" t="s">
        <v>459</v>
      </c>
      <c r="C565" s="1356"/>
      <c r="D565" s="1190" t="s">
        <v>682</v>
      </c>
      <c r="E565" s="1174" t="s">
        <v>780</v>
      </c>
      <c r="F565" s="1379" t="s">
        <v>1198</v>
      </c>
      <c r="G565" s="1380">
        <v>44562</v>
      </c>
      <c r="H565" s="1380">
        <v>44592</v>
      </c>
      <c r="I565" s="1176">
        <v>8</v>
      </c>
      <c r="J565" s="1176" t="s">
        <v>673</v>
      </c>
      <c r="K565" s="1177" t="s">
        <v>674</v>
      </c>
      <c r="L565" s="1178"/>
      <c r="M565" s="1179">
        <v>55350000</v>
      </c>
      <c r="N565" s="1376"/>
      <c r="O565" s="1174"/>
      <c r="P565" s="1207" t="s">
        <v>678</v>
      </c>
      <c r="Q565" s="1163"/>
      <c r="R565" s="1357"/>
      <c r="S565" s="1357"/>
      <c r="T565" s="1357">
        <f>+Tabla16[[#This Row],[CDPS A 31 JULIO 2022]]-Tabla16[[#This Row],[CDP]]</f>
        <v>0</v>
      </c>
      <c r="U565" s="1357"/>
      <c r="V565" s="1357"/>
      <c r="W565" s="1357"/>
    </row>
    <row r="566" spans="1:23" s="1207" customFormat="1" ht="45" hidden="1" customHeight="1" x14ac:dyDescent="0.3">
      <c r="A566" s="1355">
        <v>2022582</v>
      </c>
      <c r="B566" s="1172" t="s">
        <v>459</v>
      </c>
      <c r="C566" s="1356"/>
      <c r="D566" s="1190" t="s">
        <v>682</v>
      </c>
      <c r="E566" s="1174" t="s">
        <v>780</v>
      </c>
      <c r="F566" s="1379" t="s">
        <v>1199</v>
      </c>
      <c r="G566" s="1380">
        <v>44562</v>
      </c>
      <c r="H566" s="1380">
        <v>44592</v>
      </c>
      <c r="I566" s="1176">
        <v>11</v>
      </c>
      <c r="J566" s="1176" t="s">
        <v>673</v>
      </c>
      <c r="K566" s="1177" t="s">
        <v>674</v>
      </c>
      <c r="L566" s="1178"/>
      <c r="M566" s="1179">
        <v>99000000</v>
      </c>
      <c r="N566" s="1376"/>
      <c r="O566" s="1174"/>
      <c r="P566" s="1207" t="s">
        <v>678</v>
      </c>
      <c r="Q566" s="1163"/>
      <c r="R566" s="1357"/>
      <c r="S566" s="1357"/>
      <c r="T566" s="1357">
        <f>+Tabla16[[#This Row],[CDPS A 31 JULIO 2022]]-Tabla16[[#This Row],[CDP]]</f>
        <v>0</v>
      </c>
      <c r="U566" s="1357"/>
      <c r="V566" s="1357"/>
      <c r="W566" s="1357"/>
    </row>
    <row r="567" spans="1:23" s="1207" customFormat="1" ht="45" hidden="1" customHeight="1" x14ac:dyDescent="0.3">
      <c r="A567" s="1355">
        <v>2022583</v>
      </c>
      <c r="B567" s="1172" t="s">
        <v>459</v>
      </c>
      <c r="C567" s="1356"/>
      <c r="D567" s="1190" t="s">
        <v>698</v>
      </c>
      <c r="E567" s="1174" t="s">
        <v>1200</v>
      </c>
      <c r="F567" s="1379" t="s">
        <v>1201</v>
      </c>
      <c r="G567" s="1380">
        <v>44576</v>
      </c>
      <c r="H567" s="1380">
        <v>44592</v>
      </c>
      <c r="I567" s="1176">
        <v>11.5</v>
      </c>
      <c r="J567" s="1176" t="s">
        <v>699</v>
      </c>
      <c r="K567" s="1177" t="s">
        <v>674</v>
      </c>
      <c r="L567" s="1178"/>
      <c r="M567" s="1179">
        <v>22000000</v>
      </c>
      <c r="N567" s="1376"/>
      <c r="O567" s="1174"/>
      <c r="P567" s="1207" t="s">
        <v>678</v>
      </c>
      <c r="Q567" s="1163"/>
      <c r="R567" s="1357"/>
      <c r="S567" s="1357"/>
      <c r="T567" s="1357">
        <f>+Tabla16[[#This Row],[CDPS A 31 JULIO 2022]]-Tabla16[[#This Row],[CDP]]</f>
        <v>0</v>
      </c>
      <c r="U567" s="1357"/>
      <c r="V567" s="1357"/>
      <c r="W567" s="1357"/>
    </row>
    <row r="568" spans="1:23" s="1207" customFormat="1" ht="45" hidden="1" customHeight="1" x14ac:dyDescent="0.3">
      <c r="A568" s="1355">
        <v>2022584</v>
      </c>
      <c r="B568" s="1172" t="s">
        <v>459</v>
      </c>
      <c r="C568" s="1356"/>
      <c r="D568" s="1190" t="s">
        <v>701</v>
      </c>
      <c r="E568" s="1174" t="s">
        <v>1202</v>
      </c>
      <c r="F568" s="1379" t="s">
        <v>1203</v>
      </c>
      <c r="G568" s="1380">
        <v>44747</v>
      </c>
      <c r="H568" s="1380">
        <v>44774</v>
      </c>
      <c r="I568" s="1176">
        <v>6</v>
      </c>
      <c r="J568" s="1176" t="s">
        <v>673</v>
      </c>
      <c r="K568" s="1177" t="s">
        <v>674</v>
      </c>
      <c r="L568" s="1178"/>
      <c r="M568" s="1179">
        <v>700102000</v>
      </c>
      <c r="N568" s="1376"/>
      <c r="O568" s="1174"/>
      <c r="P568" s="1207" t="s">
        <v>678</v>
      </c>
      <c r="Q568" s="1163"/>
      <c r="R568" s="1357"/>
      <c r="S568" s="1357"/>
      <c r="T568" s="1357">
        <f>+Tabla16[[#This Row],[CDPS A 31 JULIO 2022]]-Tabla16[[#This Row],[CDP]]</f>
        <v>0</v>
      </c>
      <c r="U568" s="1357"/>
      <c r="V568" s="1357"/>
      <c r="W568" s="1357"/>
    </row>
    <row r="569" spans="1:23" s="1207" customFormat="1" ht="45" hidden="1" customHeight="1" x14ac:dyDescent="0.3">
      <c r="A569" s="1355">
        <v>2022585</v>
      </c>
      <c r="B569" s="1172" t="s">
        <v>459</v>
      </c>
      <c r="C569" s="1356"/>
      <c r="D569" s="1190" t="s">
        <v>695</v>
      </c>
      <c r="E569" s="1174" t="s">
        <v>1204</v>
      </c>
      <c r="F569" s="1379" t="s">
        <v>1205</v>
      </c>
      <c r="G569" s="1380">
        <v>44713</v>
      </c>
      <c r="H569" s="1380">
        <v>44742</v>
      </c>
      <c r="I569" s="1176">
        <v>6</v>
      </c>
      <c r="J569" s="1176" t="s">
        <v>645</v>
      </c>
      <c r="K569" s="1177" t="s">
        <v>674</v>
      </c>
      <c r="L569" s="1178"/>
      <c r="M569" s="1179">
        <f>40000000-18067800+18067800</f>
        <v>40000000</v>
      </c>
      <c r="N569" s="1376"/>
      <c r="O569" s="1174"/>
      <c r="P569" s="1207" t="s">
        <v>678</v>
      </c>
      <c r="Q569" s="1163"/>
      <c r="R569" s="1357"/>
      <c r="S569" s="1357"/>
      <c r="T569" s="1357">
        <f>+Tabla16[[#This Row],[CDPS A 31 JULIO 2022]]-Tabla16[[#This Row],[CDP]]</f>
        <v>0</v>
      </c>
      <c r="U569" s="1357"/>
      <c r="V569" s="1357"/>
      <c r="W569" s="1357"/>
    </row>
    <row r="570" spans="1:23" s="1207" customFormat="1" ht="45" hidden="1" customHeight="1" x14ac:dyDescent="0.3">
      <c r="A570" s="1355">
        <v>2022586</v>
      </c>
      <c r="B570" s="1172" t="s">
        <v>459</v>
      </c>
      <c r="C570" s="1356"/>
      <c r="D570" s="1190" t="s">
        <v>695</v>
      </c>
      <c r="E570" s="1174" t="s">
        <v>1206</v>
      </c>
      <c r="F570" s="1379" t="s">
        <v>1207</v>
      </c>
      <c r="G570" s="1380">
        <v>44621</v>
      </c>
      <c r="H570" s="1380">
        <v>44651</v>
      </c>
      <c r="I570" s="1176">
        <v>9</v>
      </c>
      <c r="J570" s="1176" t="s">
        <v>645</v>
      </c>
      <c r="K570" s="1177" t="s">
        <v>674</v>
      </c>
      <c r="L570" s="1178"/>
      <c r="M570" s="1179">
        <v>870000000</v>
      </c>
      <c r="N570" s="1376"/>
      <c r="O570" s="1174"/>
      <c r="P570" s="1207" t="s">
        <v>678</v>
      </c>
      <c r="Q570" s="1163"/>
      <c r="R570" s="1357"/>
      <c r="S570" s="1357"/>
      <c r="T570" s="1357">
        <f>+Tabla16[[#This Row],[CDPS A 31 JULIO 2022]]-Tabla16[[#This Row],[CDP]]</f>
        <v>0</v>
      </c>
      <c r="U570" s="1357"/>
      <c r="V570" s="1357"/>
      <c r="W570" s="1357"/>
    </row>
    <row r="571" spans="1:23" s="1207" customFormat="1" ht="45" hidden="1" customHeight="1" x14ac:dyDescent="0.3">
      <c r="A571" s="1355">
        <v>2022587</v>
      </c>
      <c r="B571" s="1172" t="s">
        <v>459</v>
      </c>
      <c r="C571" s="1356"/>
      <c r="D571" s="1190" t="s">
        <v>695</v>
      </c>
      <c r="E571" s="1174" t="s">
        <v>1208</v>
      </c>
      <c r="F571" s="1379" t="s">
        <v>1209</v>
      </c>
      <c r="G571" s="1380">
        <v>44835</v>
      </c>
      <c r="H571" s="1380">
        <v>44865</v>
      </c>
      <c r="I571" s="1176" t="s">
        <v>1210</v>
      </c>
      <c r="J571" s="1176" t="s">
        <v>97</v>
      </c>
      <c r="K571" s="1177" t="s">
        <v>674</v>
      </c>
      <c r="L571" s="1178"/>
      <c r="M571" s="1179">
        <v>150000000</v>
      </c>
      <c r="N571" s="1376"/>
      <c r="O571" s="1174"/>
      <c r="P571" s="1207" t="s">
        <v>678</v>
      </c>
      <c r="Q571" s="1163"/>
      <c r="R571" s="1357"/>
      <c r="S571" s="1357"/>
      <c r="T571" s="1357">
        <f>+Tabla16[[#This Row],[CDPS A 31 JULIO 2022]]-Tabla16[[#This Row],[CDP]]</f>
        <v>0</v>
      </c>
      <c r="U571" s="1357"/>
      <c r="V571" s="1357"/>
      <c r="W571" s="1357"/>
    </row>
    <row r="572" spans="1:23" s="1207" customFormat="1" ht="45" hidden="1" customHeight="1" x14ac:dyDescent="0.3">
      <c r="A572" s="1355">
        <v>2022588</v>
      </c>
      <c r="B572" s="1172" t="s">
        <v>459</v>
      </c>
      <c r="C572" s="1356"/>
      <c r="D572" s="1190" t="s">
        <v>695</v>
      </c>
      <c r="E572" s="1174" t="s">
        <v>1211</v>
      </c>
      <c r="F572" s="1379" t="s">
        <v>1212</v>
      </c>
      <c r="G572" s="1380">
        <v>44682</v>
      </c>
      <c r="H572" s="1380">
        <v>44712</v>
      </c>
      <c r="I572" s="1176">
        <v>7</v>
      </c>
      <c r="J572" s="1176" t="s">
        <v>687</v>
      </c>
      <c r="K572" s="1177" t="s">
        <v>674</v>
      </c>
      <c r="L572" s="1178"/>
      <c r="M572" s="1179">
        <v>250000000</v>
      </c>
      <c r="N572" s="1376"/>
      <c r="O572" s="1174"/>
      <c r="P572" s="1207" t="s">
        <v>678</v>
      </c>
      <c r="Q572" s="1163"/>
      <c r="R572" s="1357"/>
      <c r="S572" s="1357"/>
      <c r="T572" s="1357">
        <f>+Tabla16[[#This Row],[CDPS A 31 JULIO 2022]]-Tabla16[[#This Row],[CDP]]</f>
        <v>0</v>
      </c>
      <c r="U572" s="1357"/>
      <c r="V572" s="1357"/>
      <c r="W572" s="1357"/>
    </row>
    <row r="573" spans="1:23" s="1207" customFormat="1" ht="45" hidden="1" customHeight="1" x14ac:dyDescent="0.3">
      <c r="A573" s="1355">
        <v>2022589</v>
      </c>
      <c r="B573" s="1172" t="s">
        <v>459</v>
      </c>
      <c r="C573" s="1356"/>
      <c r="D573" s="1190" t="s">
        <v>695</v>
      </c>
      <c r="E573" s="1388" t="s">
        <v>1213</v>
      </c>
      <c r="F573" s="1379" t="s">
        <v>1214</v>
      </c>
      <c r="G573" s="1380">
        <v>44621</v>
      </c>
      <c r="H573" s="1380">
        <v>44651</v>
      </c>
      <c r="I573" s="1176">
        <v>9</v>
      </c>
      <c r="J573" s="1176" t="s">
        <v>699</v>
      </c>
      <c r="K573" s="1177" t="s">
        <v>674</v>
      </c>
      <c r="L573" s="1178"/>
      <c r="M573" s="1179">
        <f>50000000-29250000-12597939</f>
        <v>8152061</v>
      </c>
      <c r="N573" s="1376"/>
      <c r="O573" s="1174"/>
      <c r="P573" s="1207" t="s">
        <v>678</v>
      </c>
      <c r="Q573" s="1163"/>
      <c r="R573" s="1357"/>
      <c r="S573" s="1357"/>
      <c r="T573" s="1357">
        <f>+Tabla16[[#This Row],[CDPS A 31 JULIO 2022]]-Tabla16[[#This Row],[CDP]]</f>
        <v>0</v>
      </c>
      <c r="U573" s="1357"/>
      <c r="V573" s="1357"/>
      <c r="W573" s="1357"/>
    </row>
    <row r="574" spans="1:23" s="1207" customFormat="1" ht="45" hidden="1" customHeight="1" x14ac:dyDescent="0.3">
      <c r="A574" s="1355">
        <v>2022590</v>
      </c>
      <c r="B574" s="1172" t="s">
        <v>459</v>
      </c>
      <c r="C574" s="1356"/>
      <c r="D574" s="1190" t="s">
        <v>695</v>
      </c>
      <c r="E574" s="1174" t="s">
        <v>1210</v>
      </c>
      <c r="F574" s="1379" t="s">
        <v>1215</v>
      </c>
      <c r="G574" s="1380">
        <v>44593</v>
      </c>
      <c r="H574" s="1380">
        <v>44620</v>
      </c>
      <c r="I574" s="1176">
        <v>12</v>
      </c>
      <c r="J574" s="1176" t="s">
        <v>680</v>
      </c>
      <c r="K574" s="1177" t="s">
        <v>674</v>
      </c>
      <c r="L574" s="1178"/>
      <c r="M574" s="1179">
        <f>2476000000-210554286-125041620</f>
        <v>2140404094</v>
      </c>
      <c r="N574" s="1376"/>
      <c r="O574" s="1174"/>
      <c r="P574" s="1207" t="s">
        <v>678</v>
      </c>
      <c r="Q574" s="1163"/>
      <c r="R574" s="1357"/>
      <c r="S574" s="1357"/>
      <c r="T574" s="1357">
        <f>+Tabla16[[#This Row],[CDPS A 31 JULIO 2022]]-Tabla16[[#This Row],[CDP]]</f>
        <v>0</v>
      </c>
      <c r="U574" s="1357"/>
      <c r="V574" s="1357"/>
      <c r="W574" s="1357"/>
    </row>
    <row r="575" spans="1:23" s="1207" customFormat="1" ht="45" hidden="1" customHeight="1" x14ac:dyDescent="0.3">
      <c r="A575" s="1355">
        <v>2022591</v>
      </c>
      <c r="B575" s="1172" t="s">
        <v>459</v>
      </c>
      <c r="C575" s="1356"/>
      <c r="D575" s="1190" t="s">
        <v>671</v>
      </c>
      <c r="E575" s="1174" t="s">
        <v>1216</v>
      </c>
      <c r="F575" s="1379" t="s">
        <v>1217</v>
      </c>
      <c r="G575" s="1380">
        <v>44562</v>
      </c>
      <c r="H575" s="1380">
        <v>44592</v>
      </c>
      <c r="I575" s="1176">
        <v>2</v>
      </c>
      <c r="J575" s="1176" t="s">
        <v>673</v>
      </c>
      <c r="K575" s="1177" t="s">
        <v>674</v>
      </c>
      <c r="L575" s="1178"/>
      <c r="M575" s="1179">
        <v>35000000</v>
      </c>
      <c r="N575" s="1376"/>
      <c r="O575" s="1174"/>
      <c r="P575" s="1298" t="s">
        <v>678</v>
      </c>
      <c r="Q575" s="1163"/>
      <c r="R575" s="1357"/>
      <c r="S575" s="1357"/>
      <c r="T575" s="1357">
        <f>+Tabla16[[#This Row],[CDPS A 31 JULIO 2022]]-Tabla16[[#This Row],[CDP]]</f>
        <v>0</v>
      </c>
      <c r="U575" s="1357"/>
      <c r="V575" s="1357"/>
      <c r="W575" s="1357"/>
    </row>
    <row r="576" spans="1:23" s="1207" customFormat="1" ht="45" hidden="1" customHeight="1" x14ac:dyDescent="0.3">
      <c r="A576" s="1355">
        <v>2022592</v>
      </c>
      <c r="B576" s="1172" t="s">
        <v>459</v>
      </c>
      <c r="C576" s="1356"/>
      <c r="D576" s="1190" t="s">
        <v>671</v>
      </c>
      <c r="E576" s="1174" t="s">
        <v>1216</v>
      </c>
      <c r="F576" s="1379" t="s">
        <v>1218</v>
      </c>
      <c r="G576" s="1380">
        <v>44562</v>
      </c>
      <c r="H576" s="1380">
        <v>44592</v>
      </c>
      <c r="I576" s="1176">
        <v>2</v>
      </c>
      <c r="J576" s="1176" t="s">
        <v>699</v>
      </c>
      <c r="K576" s="1177" t="s">
        <v>674</v>
      </c>
      <c r="L576" s="1178"/>
      <c r="M576" s="1179">
        <v>19810000</v>
      </c>
      <c r="N576" s="1376"/>
      <c r="O576" s="1174"/>
      <c r="P576" s="1207" t="s">
        <v>678</v>
      </c>
      <c r="Q576" s="1163"/>
      <c r="R576" s="1357"/>
      <c r="S576" s="1357"/>
      <c r="T576" s="1357">
        <f>+Tabla16[[#This Row],[CDPS A 31 JULIO 2022]]-Tabla16[[#This Row],[CDP]]</f>
        <v>0</v>
      </c>
      <c r="U576" s="1357"/>
      <c r="V576" s="1357"/>
      <c r="W576" s="1357"/>
    </row>
    <row r="577" spans="1:23" s="1207" customFormat="1" ht="45" hidden="1" customHeight="1" x14ac:dyDescent="0.3">
      <c r="A577" s="1355">
        <v>2022593</v>
      </c>
      <c r="B577" s="1172" t="s">
        <v>459</v>
      </c>
      <c r="C577" s="1356"/>
      <c r="D577" s="1190" t="s">
        <v>671</v>
      </c>
      <c r="E577" s="1174" t="s">
        <v>1219</v>
      </c>
      <c r="F577" s="1379" t="s">
        <v>1220</v>
      </c>
      <c r="G577" s="1380">
        <v>44562</v>
      </c>
      <c r="H577" s="1380">
        <v>44592</v>
      </c>
      <c r="I577" s="1176">
        <v>3.5</v>
      </c>
      <c r="J577" s="1176" t="s">
        <v>673</v>
      </c>
      <c r="K577" s="1177" t="s">
        <v>674</v>
      </c>
      <c r="L577" s="1178"/>
      <c r="M577" s="1179">
        <v>10000000</v>
      </c>
      <c r="N577" s="1376"/>
      <c r="O577" s="1174"/>
      <c r="P577" s="1207" t="s">
        <v>757</v>
      </c>
      <c r="Q577" s="1163"/>
      <c r="R577" s="1357"/>
      <c r="S577" s="1357"/>
      <c r="T577" s="1357">
        <f>+Tabla16[[#This Row],[CDPS A 31 JULIO 2022]]-Tabla16[[#This Row],[CDP]]</f>
        <v>0</v>
      </c>
      <c r="U577" s="1357"/>
      <c r="V577" s="1357"/>
      <c r="W577" s="1357"/>
    </row>
    <row r="578" spans="1:23" s="1207" customFormat="1" ht="45" hidden="1" customHeight="1" x14ac:dyDescent="0.3">
      <c r="A578" s="1355">
        <v>2022594</v>
      </c>
      <c r="B578" s="1172" t="s">
        <v>459</v>
      </c>
      <c r="C578" s="1356"/>
      <c r="D578" s="1190" t="s">
        <v>671</v>
      </c>
      <c r="E578" s="1174" t="s">
        <v>1221</v>
      </c>
      <c r="F578" s="1379" t="s">
        <v>1222</v>
      </c>
      <c r="G578" s="1380">
        <v>44774</v>
      </c>
      <c r="H578" s="1380">
        <v>44793</v>
      </c>
      <c r="I578" s="1176">
        <v>6</v>
      </c>
      <c r="J578" s="1176" t="s">
        <v>673</v>
      </c>
      <c r="K578" s="1177" t="s">
        <v>674</v>
      </c>
      <c r="L578" s="1178"/>
      <c r="M578" s="1179">
        <v>8386190</v>
      </c>
      <c r="N578" s="1376"/>
      <c r="O578" s="1174"/>
      <c r="P578" s="1389" t="s">
        <v>678</v>
      </c>
      <c r="Q578" s="1163"/>
      <c r="R578" s="1357"/>
      <c r="S578" s="1357"/>
      <c r="T578" s="1357">
        <f>+Tabla16[[#This Row],[CDPS A 31 JULIO 2022]]-Tabla16[[#This Row],[CDP]]</f>
        <v>0</v>
      </c>
      <c r="U578" s="1357"/>
      <c r="V578" s="1357"/>
      <c r="W578" s="1357"/>
    </row>
    <row r="579" spans="1:23" s="1207" customFormat="1" ht="45" hidden="1" customHeight="1" x14ac:dyDescent="0.3">
      <c r="A579" s="1355">
        <v>2022595</v>
      </c>
      <c r="B579" s="1172" t="s">
        <v>459</v>
      </c>
      <c r="C579" s="1356"/>
      <c r="D579" s="1190" t="s">
        <v>671</v>
      </c>
      <c r="E579" s="1174" t="s">
        <v>1223</v>
      </c>
      <c r="F579" s="1379" t="s">
        <v>1224</v>
      </c>
      <c r="G579" s="1380">
        <v>44743</v>
      </c>
      <c r="H579" s="1380">
        <v>44773</v>
      </c>
      <c r="I579" s="1176">
        <v>12</v>
      </c>
      <c r="J579" s="1176" t="s">
        <v>673</v>
      </c>
      <c r="K579" s="1177" t="s">
        <v>674</v>
      </c>
      <c r="L579" s="1178"/>
      <c r="M579" s="1179">
        <v>35000000</v>
      </c>
      <c r="N579" s="1376"/>
      <c r="O579" s="1174"/>
      <c r="P579" s="1207" t="s">
        <v>678</v>
      </c>
      <c r="Q579" s="1163"/>
      <c r="R579" s="1357"/>
      <c r="S579" s="1357"/>
      <c r="T579" s="1357">
        <f>+Tabla16[[#This Row],[CDPS A 31 JULIO 2022]]-Tabla16[[#This Row],[CDP]]</f>
        <v>0</v>
      </c>
      <c r="U579" s="1357"/>
      <c r="V579" s="1357"/>
      <c r="W579" s="1357"/>
    </row>
    <row r="580" spans="1:23" s="1207" customFormat="1" ht="45" hidden="1" customHeight="1" x14ac:dyDescent="0.3">
      <c r="A580" s="1355">
        <v>2022596</v>
      </c>
      <c r="B580" s="1172" t="s">
        <v>459</v>
      </c>
      <c r="C580" s="1356"/>
      <c r="D580" s="1190" t="s">
        <v>671</v>
      </c>
      <c r="E580" s="1174" t="s">
        <v>1225</v>
      </c>
      <c r="F580" s="1379" t="s">
        <v>1226</v>
      </c>
      <c r="G580" s="1380">
        <v>44743</v>
      </c>
      <c r="H580" s="1380">
        <v>44762</v>
      </c>
      <c r="I580" s="1176">
        <v>2</v>
      </c>
      <c r="J580" s="1176" t="s">
        <v>720</v>
      </c>
      <c r="K580" s="1177" t="s">
        <v>674</v>
      </c>
      <c r="L580" s="1178"/>
      <c r="M580" s="1179">
        <v>35000000</v>
      </c>
      <c r="N580" s="1376"/>
      <c r="O580" s="1174"/>
      <c r="P580" s="1207" t="s">
        <v>678</v>
      </c>
      <c r="Q580" s="1163"/>
      <c r="R580" s="1357"/>
      <c r="S580" s="1357"/>
      <c r="T580" s="1357">
        <f>+Tabla16[[#This Row],[CDPS A 31 JULIO 2022]]-Tabla16[[#This Row],[CDP]]</f>
        <v>0</v>
      </c>
      <c r="U580" s="1357"/>
      <c r="V580" s="1357"/>
      <c r="W580" s="1357" t="s">
        <v>1073</v>
      </c>
    </row>
    <row r="581" spans="1:23" s="1207" customFormat="1" ht="45" hidden="1" customHeight="1" x14ac:dyDescent="0.3">
      <c r="A581" s="1355">
        <v>2022597</v>
      </c>
      <c r="B581" s="1172" t="s">
        <v>459</v>
      </c>
      <c r="C581" s="1356"/>
      <c r="D581" s="1190" t="s">
        <v>671</v>
      </c>
      <c r="E581" s="1174" t="s">
        <v>1227</v>
      </c>
      <c r="F581" s="1379" t="s">
        <v>1228</v>
      </c>
      <c r="G581" s="1380">
        <v>44621</v>
      </c>
      <c r="H581" s="1380">
        <v>44651</v>
      </c>
      <c r="I581" s="1176">
        <v>6</v>
      </c>
      <c r="J581" s="1176" t="s">
        <v>720</v>
      </c>
      <c r="K581" s="1177" t="s">
        <v>674</v>
      </c>
      <c r="L581" s="1178"/>
      <c r="M581" s="1179">
        <f>300000000-81890487-68645289</f>
        <v>149464224</v>
      </c>
      <c r="N581" s="1376"/>
      <c r="O581" s="1174"/>
      <c r="P581" s="1207" t="s">
        <v>678</v>
      </c>
      <c r="Q581" s="1163"/>
      <c r="R581" s="1357"/>
      <c r="S581" s="1357"/>
      <c r="T581" s="1357">
        <f>+Tabla16[[#This Row],[CDPS A 31 JULIO 2022]]-Tabla16[[#This Row],[CDP]]</f>
        <v>0</v>
      </c>
      <c r="U581" s="1357"/>
      <c r="V581" s="1357"/>
      <c r="W581" s="1357"/>
    </row>
    <row r="582" spans="1:23" s="1207" customFormat="1" ht="45" hidden="1" customHeight="1" x14ac:dyDescent="0.3">
      <c r="A582" s="1355">
        <v>2022598</v>
      </c>
      <c r="B582" s="1172" t="s">
        <v>459</v>
      </c>
      <c r="C582" s="1356"/>
      <c r="D582" s="1190" t="s">
        <v>671</v>
      </c>
      <c r="E582" s="1174" t="s">
        <v>1229</v>
      </c>
      <c r="F582" s="1379" t="s">
        <v>1230</v>
      </c>
      <c r="G582" s="1380">
        <v>44562</v>
      </c>
      <c r="H582" s="1380">
        <v>44592</v>
      </c>
      <c r="I582" s="1176">
        <v>5.5</v>
      </c>
      <c r="J582" s="1176" t="s">
        <v>673</v>
      </c>
      <c r="K582" s="1177" t="s">
        <v>674</v>
      </c>
      <c r="L582" s="1178"/>
      <c r="M582" s="1179">
        <v>120473160</v>
      </c>
      <c r="N582" s="1376"/>
      <c r="O582" s="1174"/>
      <c r="P582" s="1207" t="s">
        <v>757</v>
      </c>
      <c r="Q582" s="1163"/>
      <c r="R582" s="1357"/>
      <c r="S582" s="1357"/>
      <c r="T582" s="1357">
        <f>+Tabla16[[#This Row],[CDPS A 31 JULIO 2022]]-Tabla16[[#This Row],[CDP]]</f>
        <v>0</v>
      </c>
      <c r="U582" s="1357"/>
      <c r="V582" s="1357"/>
      <c r="W582" s="1357"/>
    </row>
    <row r="583" spans="1:23" s="1207" customFormat="1" ht="45" hidden="1" customHeight="1" x14ac:dyDescent="0.3">
      <c r="A583" s="1355">
        <v>2022599</v>
      </c>
      <c r="B583" s="1172" t="s">
        <v>459</v>
      </c>
      <c r="C583" s="1356"/>
      <c r="D583" s="1190" t="s">
        <v>671</v>
      </c>
      <c r="E583" s="1174" t="s">
        <v>1231</v>
      </c>
      <c r="F583" s="1379" t="s">
        <v>1232</v>
      </c>
      <c r="G583" s="1380">
        <v>44713</v>
      </c>
      <c r="H583" s="1380">
        <v>44742</v>
      </c>
      <c r="I583" s="1176">
        <v>12</v>
      </c>
      <c r="J583" s="1176" t="s">
        <v>673</v>
      </c>
      <c r="K583" s="1177" t="s">
        <v>674</v>
      </c>
      <c r="L583" s="1178"/>
      <c r="M583" s="1179">
        <f>171518585+68645289</f>
        <v>240163874</v>
      </c>
      <c r="N583" s="1376"/>
      <c r="O583" s="1174"/>
      <c r="P583" s="1207" t="s">
        <v>678</v>
      </c>
      <c r="Q583" s="1163"/>
      <c r="R583" s="1357"/>
      <c r="S583" s="1357"/>
      <c r="T583" s="1357">
        <f>+Tabla16[[#This Row],[CDPS A 31 JULIO 2022]]-Tabla16[[#This Row],[CDP]]</f>
        <v>0</v>
      </c>
      <c r="U583" s="1357"/>
      <c r="V583" s="1357"/>
      <c r="W583" s="1357"/>
    </row>
    <row r="584" spans="1:23" s="1207" customFormat="1" ht="45" hidden="1" customHeight="1" x14ac:dyDescent="0.3">
      <c r="A584" s="1355">
        <v>2022600</v>
      </c>
      <c r="B584" s="1172" t="s">
        <v>459</v>
      </c>
      <c r="C584" s="1356"/>
      <c r="D584" s="1190" t="s">
        <v>671</v>
      </c>
      <c r="E584" s="1174" t="s">
        <v>1210</v>
      </c>
      <c r="F584" s="1379" t="s">
        <v>1233</v>
      </c>
      <c r="G584" s="1380" t="s">
        <v>1210</v>
      </c>
      <c r="H584" s="1380" t="s">
        <v>1210</v>
      </c>
      <c r="I584" s="1176" t="s">
        <v>1210</v>
      </c>
      <c r="J584" s="1176" t="s">
        <v>97</v>
      </c>
      <c r="K584" s="1177"/>
      <c r="L584" s="1178"/>
      <c r="M584" s="1179">
        <v>1613810</v>
      </c>
      <c r="N584" s="1376"/>
      <c r="O584" s="1174"/>
      <c r="P584" s="1207" t="s">
        <v>757</v>
      </c>
      <c r="Q584" s="1163"/>
      <c r="R584" s="1357"/>
      <c r="S584" s="1357"/>
      <c r="T584" s="1357">
        <f>+Tabla16[[#This Row],[CDPS A 31 JULIO 2022]]-Tabla16[[#This Row],[CDP]]</f>
        <v>0</v>
      </c>
      <c r="U584" s="1357"/>
      <c r="V584" s="1357"/>
      <c r="W584" s="1357"/>
    </row>
    <row r="585" spans="1:23" s="1207" customFormat="1" ht="45" hidden="1" customHeight="1" x14ac:dyDescent="0.3">
      <c r="A585" s="1355">
        <v>2022601</v>
      </c>
      <c r="B585" s="1172" t="s">
        <v>459</v>
      </c>
      <c r="C585" s="1356"/>
      <c r="D585" s="1190" t="s">
        <v>671</v>
      </c>
      <c r="E585" s="1174" t="s">
        <v>1210</v>
      </c>
      <c r="F585" s="1379" t="s">
        <v>1234</v>
      </c>
      <c r="G585" s="1380" t="s">
        <v>1210</v>
      </c>
      <c r="H585" s="1380" t="s">
        <v>1210</v>
      </c>
      <c r="I585" s="1176" t="s">
        <v>1210</v>
      </c>
      <c r="J585" s="1176" t="s">
        <v>97</v>
      </c>
      <c r="K585" s="1177"/>
      <c r="L585" s="1178"/>
      <c r="M585" s="1179">
        <v>8008255</v>
      </c>
      <c r="N585" s="1376"/>
      <c r="O585" s="1174"/>
      <c r="P585" s="1207" t="s">
        <v>757</v>
      </c>
      <c r="Q585" s="1163"/>
      <c r="R585" s="1357"/>
      <c r="S585" s="1357"/>
      <c r="T585" s="1357">
        <f>+Tabla16[[#This Row],[CDPS A 31 JULIO 2022]]-Tabla16[[#This Row],[CDP]]</f>
        <v>0</v>
      </c>
      <c r="U585" s="1357"/>
      <c r="V585" s="1357"/>
      <c r="W585" s="1357"/>
    </row>
    <row r="586" spans="1:23" s="1207" customFormat="1" ht="45" hidden="1" customHeight="1" x14ac:dyDescent="0.3">
      <c r="A586" s="1355">
        <v>2022602</v>
      </c>
      <c r="B586" s="1172">
        <v>7637</v>
      </c>
      <c r="C586" s="1356" t="s">
        <v>643</v>
      </c>
      <c r="D586" s="1190" t="s">
        <v>671</v>
      </c>
      <c r="E586" s="1174">
        <v>80111600</v>
      </c>
      <c r="F586" s="1379" t="s">
        <v>1235</v>
      </c>
      <c r="G586" s="1380">
        <v>44562</v>
      </c>
      <c r="H586" s="1380">
        <v>44592</v>
      </c>
      <c r="I586" s="1176">
        <v>0.5</v>
      </c>
      <c r="J586" s="1176" t="s">
        <v>673</v>
      </c>
      <c r="K586" s="1177" t="s">
        <v>674</v>
      </c>
      <c r="L586" s="1178" t="s">
        <v>675</v>
      </c>
      <c r="M586" s="1179">
        <v>3500000</v>
      </c>
      <c r="N586" s="1189" t="s">
        <v>676</v>
      </c>
      <c r="O586" s="1174" t="s">
        <v>677</v>
      </c>
      <c r="P586" s="1207" t="s">
        <v>757</v>
      </c>
      <c r="Q586" s="1163"/>
      <c r="R586" s="1269">
        <v>0</v>
      </c>
      <c r="S586" s="1357"/>
      <c r="T586" s="1357">
        <f>+Tabla16[[#This Row],[CDPS A 31 JULIO 2022]]-Tabla16[[#This Row],[CDP]]</f>
        <v>0</v>
      </c>
      <c r="U586" s="1357"/>
      <c r="V586" s="1357"/>
      <c r="W586" s="1357"/>
    </row>
    <row r="587" spans="1:23" s="1207" customFormat="1" ht="45" hidden="1" customHeight="1" x14ac:dyDescent="0.3">
      <c r="A587" s="1355">
        <v>2022603</v>
      </c>
      <c r="B587" s="1172">
        <v>7655</v>
      </c>
      <c r="C587" s="1356" t="s">
        <v>668</v>
      </c>
      <c r="D587" s="1190" t="s">
        <v>671</v>
      </c>
      <c r="E587" s="1174">
        <v>80111600</v>
      </c>
      <c r="F587" s="1379" t="s">
        <v>1236</v>
      </c>
      <c r="G587" s="1380">
        <v>44562</v>
      </c>
      <c r="H587" s="1380">
        <v>44592</v>
      </c>
      <c r="I587" s="1176">
        <v>6</v>
      </c>
      <c r="J587" s="1176" t="s">
        <v>673</v>
      </c>
      <c r="K587" s="1177" t="s">
        <v>674</v>
      </c>
      <c r="L587" s="1178" t="s">
        <v>675</v>
      </c>
      <c r="M587" s="1179">
        <v>42000000</v>
      </c>
      <c r="N587" s="1376" t="s">
        <v>790</v>
      </c>
      <c r="O587" s="1174" t="s">
        <v>778</v>
      </c>
      <c r="P587" s="1207" t="s">
        <v>678</v>
      </c>
      <c r="Q587" s="1163"/>
      <c r="R587" s="1269">
        <v>42000000</v>
      </c>
      <c r="S587" s="1357">
        <v>42000000</v>
      </c>
      <c r="T587" s="1357">
        <f>+Tabla16[[#This Row],[CDPS A 31 JULIO 2022]]-Tabla16[[#This Row],[CDP]]</f>
        <v>0</v>
      </c>
      <c r="U587" s="1357">
        <v>42000000</v>
      </c>
      <c r="V587" s="1357">
        <v>14000000</v>
      </c>
      <c r="W587" s="1357"/>
    </row>
    <row r="588" spans="1:23" s="1207" customFormat="1" ht="45" hidden="1" customHeight="1" x14ac:dyDescent="0.3">
      <c r="A588" s="1355">
        <v>2022604</v>
      </c>
      <c r="B588" s="1172">
        <v>7655</v>
      </c>
      <c r="C588" s="1356" t="s">
        <v>668</v>
      </c>
      <c r="D588" s="1190" t="s">
        <v>682</v>
      </c>
      <c r="E588" s="1174">
        <v>80111600</v>
      </c>
      <c r="F588" s="1379" t="s">
        <v>1237</v>
      </c>
      <c r="G588" s="1380">
        <v>44578</v>
      </c>
      <c r="H588" s="1380">
        <v>44578</v>
      </c>
      <c r="I588" s="1176">
        <v>11.5</v>
      </c>
      <c r="J588" s="1176" t="s">
        <v>673</v>
      </c>
      <c r="K588" s="1177" t="s">
        <v>674</v>
      </c>
      <c r="L588" s="1178" t="s">
        <v>675</v>
      </c>
      <c r="M588" s="1179">
        <v>28175000</v>
      </c>
      <c r="N588" s="1376" t="s">
        <v>783</v>
      </c>
      <c r="O588" s="1174" t="s">
        <v>778</v>
      </c>
      <c r="P588" s="1207" t="s">
        <v>678</v>
      </c>
      <c r="Q588" s="1163"/>
      <c r="R588" s="1269">
        <v>28175000</v>
      </c>
      <c r="S588" s="1357">
        <v>28175000</v>
      </c>
      <c r="T588" s="1357">
        <f>+Tabla16[[#This Row],[CDPS A 31 JULIO 2022]]-Tabla16[[#This Row],[CDP]]</f>
        <v>0</v>
      </c>
      <c r="U588" s="1357">
        <v>28175000</v>
      </c>
      <c r="V588" s="1357">
        <v>10126667</v>
      </c>
      <c r="W588" s="1357"/>
    </row>
    <row r="589" spans="1:23" s="1207" customFormat="1" ht="45" hidden="1" customHeight="1" x14ac:dyDescent="0.3">
      <c r="A589" s="1355">
        <v>2022605</v>
      </c>
      <c r="B589" s="1172">
        <v>7655</v>
      </c>
      <c r="C589" s="1356" t="s">
        <v>668</v>
      </c>
      <c r="D589" s="1190" t="s">
        <v>671</v>
      </c>
      <c r="E589" s="1174">
        <v>80111600</v>
      </c>
      <c r="F589" s="1379" t="s">
        <v>1238</v>
      </c>
      <c r="G589" s="1380">
        <v>44562</v>
      </c>
      <c r="H589" s="1380">
        <v>44592</v>
      </c>
      <c r="I589" s="1176">
        <v>10</v>
      </c>
      <c r="J589" s="1176" t="s">
        <v>673</v>
      </c>
      <c r="K589" s="1177" t="s">
        <v>674</v>
      </c>
      <c r="L589" s="1178" t="s">
        <v>675</v>
      </c>
      <c r="M589" s="1179">
        <f>(10*4500000)-9000000</f>
        <v>36000000</v>
      </c>
      <c r="N589" s="1376" t="s">
        <v>783</v>
      </c>
      <c r="O589" s="1174" t="s">
        <v>778</v>
      </c>
      <c r="P589" s="1207" t="s">
        <v>678</v>
      </c>
      <c r="Q589" s="1163"/>
      <c r="R589" s="1269">
        <v>36000000</v>
      </c>
      <c r="S589" s="1357">
        <v>36000000</v>
      </c>
      <c r="T589" s="1357">
        <f>+Tabla16[[#This Row],[CDPS A 31 JULIO 2022]]-Tabla16[[#This Row],[CDP]]</f>
        <v>0</v>
      </c>
      <c r="U589" s="1357">
        <v>36000000</v>
      </c>
      <c r="V589" s="1357">
        <v>18450000</v>
      </c>
      <c r="W589" s="1357"/>
    </row>
    <row r="590" spans="1:23" s="1207" customFormat="1" ht="45" hidden="1" customHeight="1" x14ac:dyDescent="0.3">
      <c r="A590" s="1355">
        <v>2022606</v>
      </c>
      <c r="B590" s="1172">
        <v>7655</v>
      </c>
      <c r="C590" s="1356" t="s">
        <v>668</v>
      </c>
      <c r="D590" s="1190" t="s">
        <v>682</v>
      </c>
      <c r="E590" s="1174">
        <v>80111600</v>
      </c>
      <c r="F590" s="1379" t="s">
        <v>1239</v>
      </c>
      <c r="G590" s="1380">
        <v>44582</v>
      </c>
      <c r="H590" s="1380">
        <v>44582</v>
      </c>
      <c r="I590" s="1176">
        <v>6</v>
      </c>
      <c r="J590" s="1176" t="s">
        <v>673</v>
      </c>
      <c r="K590" s="1177" t="s">
        <v>674</v>
      </c>
      <c r="L590" s="1178" t="s">
        <v>675</v>
      </c>
      <c r="M590" s="1179">
        <v>19200000</v>
      </c>
      <c r="N590" s="1376" t="s">
        <v>783</v>
      </c>
      <c r="O590" s="1174" t="s">
        <v>778</v>
      </c>
      <c r="P590" s="1207" t="s">
        <v>678</v>
      </c>
      <c r="Q590" s="1163"/>
      <c r="R590" s="1269">
        <v>19200000</v>
      </c>
      <c r="S590" s="1357">
        <v>19200000</v>
      </c>
      <c r="T590" s="1357">
        <f>+Tabla16[[#This Row],[CDPS A 31 JULIO 2022]]-Tabla16[[#This Row],[CDP]]</f>
        <v>0</v>
      </c>
      <c r="U590" s="1357">
        <v>19200000</v>
      </c>
      <c r="V590" s="1357">
        <v>12800000</v>
      </c>
      <c r="W590" s="1357"/>
    </row>
    <row r="591" spans="1:23" s="1207" customFormat="1" ht="45" hidden="1" customHeight="1" x14ac:dyDescent="0.3">
      <c r="A591" s="1355">
        <v>2022607</v>
      </c>
      <c r="B591" s="1172" t="s">
        <v>97</v>
      </c>
      <c r="C591" s="1356" t="s">
        <v>97</v>
      </c>
      <c r="D591" s="1190" t="s">
        <v>689</v>
      </c>
      <c r="E591" s="1174" t="s">
        <v>1240</v>
      </c>
      <c r="F591" s="1379" t="s">
        <v>1241</v>
      </c>
      <c r="G591" s="1380">
        <v>44606</v>
      </c>
      <c r="H591" s="1380"/>
      <c r="I591" s="1176">
        <v>17</v>
      </c>
      <c r="J591" s="1176" t="s">
        <v>680</v>
      </c>
      <c r="K591" s="1177" t="s">
        <v>97</v>
      </c>
      <c r="L591" s="1178" t="s">
        <v>97</v>
      </c>
      <c r="M591" s="1179">
        <v>0</v>
      </c>
      <c r="N591" s="1376" t="s">
        <v>97</v>
      </c>
      <c r="O591" s="1174" t="s">
        <v>97</v>
      </c>
      <c r="P591" s="1207" t="s">
        <v>678</v>
      </c>
      <c r="Q591" s="1163"/>
      <c r="R591" s="1357"/>
      <c r="S591" s="1357"/>
      <c r="T591" s="1357">
        <f>+Tabla16[[#This Row],[CDPS A 31 JULIO 2022]]-Tabla16[[#This Row],[CDP]]</f>
        <v>0</v>
      </c>
      <c r="U591" s="1357"/>
      <c r="V591" s="1357"/>
      <c r="W591" s="1357"/>
    </row>
    <row r="592" spans="1:23" s="1207" customFormat="1" ht="45" hidden="1" customHeight="1" x14ac:dyDescent="0.3">
      <c r="A592" s="1355">
        <v>2022608</v>
      </c>
      <c r="B592" s="1172">
        <v>7637</v>
      </c>
      <c r="C592" s="1356" t="s">
        <v>643</v>
      </c>
      <c r="D592" s="1190" t="s">
        <v>671</v>
      </c>
      <c r="E592" s="1174">
        <v>80111600</v>
      </c>
      <c r="F592" s="1379" t="s">
        <v>1242</v>
      </c>
      <c r="G592" s="1380">
        <v>44562</v>
      </c>
      <c r="H592" s="1380">
        <v>44592</v>
      </c>
      <c r="I592" s="1176">
        <v>10</v>
      </c>
      <c r="J592" s="1176" t="s">
        <v>673</v>
      </c>
      <c r="K592" s="1177" t="s">
        <v>674</v>
      </c>
      <c r="L592" s="1178" t="s">
        <v>675</v>
      </c>
      <c r="M592" s="1179">
        <v>23400000</v>
      </c>
      <c r="N592" s="1189" t="s">
        <v>676</v>
      </c>
      <c r="O592" s="1174" t="s">
        <v>677</v>
      </c>
      <c r="P592" s="1159" t="s">
        <v>678</v>
      </c>
      <c r="Q592" s="1163"/>
      <c r="R592" s="1269">
        <v>23400000</v>
      </c>
      <c r="S592" s="1357">
        <v>23400000</v>
      </c>
      <c r="T592" s="1357">
        <f>+Tabla16[[#This Row],[CDPS A 31 JULIO 2022]]-Tabla16[[#This Row],[CDP]]</f>
        <v>0</v>
      </c>
      <c r="U592" s="1357">
        <v>23400000</v>
      </c>
      <c r="V592" s="1357">
        <v>15600000</v>
      </c>
      <c r="W592" s="1357"/>
    </row>
    <row r="593" spans="1:23" s="1207" customFormat="1" ht="45" hidden="1" customHeight="1" x14ac:dyDescent="0.3">
      <c r="A593" s="1355">
        <v>2022609</v>
      </c>
      <c r="B593" s="1172">
        <v>7658</v>
      </c>
      <c r="C593" s="1356" t="s">
        <v>679</v>
      </c>
      <c r="D593" s="1190" t="s">
        <v>692</v>
      </c>
      <c r="E593" s="1174" t="s">
        <v>1243</v>
      </c>
      <c r="F593" s="1379" t="s">
        <v>1244</v>
      </c>
      <c r="G593" s="1231">
        <v>44621</v>
      </c>
      <c r="H593" s="1231">
        <v>44712</v>
      </c>
      <c r="I593" s="1176">
        <v>12</v>
      </c>
      <c r="J593" s="1176" t="s">
        <v>687</v>
      </c>
      <c r="K593" s="1177" t="s">
        <v>674</v>
      </c>
      <c r="L593" s="1178" t="s">
        <v>675</v>
      </c>
      <c r="M593" s="1179">
        <f>181080376-104794000-14822449</f>
        <v>61463927</v>
      </c>
      <c r="N593" s="1376" t="s">
        <v>768</v>
      </c>
      <c r="O593" s="1174" t="s">
        <v>767</v>
      </c>
      <c r="P593" s="1207" t="s">
        <v>678</v>
      </c>
      <c r="Q593" s="1163"/>
      <c r="R593" s="1357">
        <v>61463927</v>
      </c>
      <c r="S593" s="1357">
        <v>61463927</v>
      </c>
      <c r="T593" s="1357">
        <f>+Tabla16[[#This Row],[CDPS A 31 JULIO 2022]]-Tabla16[[#This Row],[CDP]]</f>
        <v>0</v>
      </c>
      <c r="U593" s="1357">
        <v>61463927</v>
      </c>
      <c r="V593" s="1357">
        <v>11545689</v>
      </c>
      <c r="W593" s="1357"/>
    </row>
    <row r="594" spans="1:23" s="1207" customFormat="1" ht="45" hidden="1" customHeight="1" x14ac:dyDescent="0.3">
      <c r="A594" s="1355">
        <v>2022610</v>
      </c>
      <c r="B594" s="1172" t="s">
        <v>459</v>
      </c>
      <c r="C594" s="1356"/>
      <c r="D594" s="1190" t="s">
        <v>671</v>
      </c>
      <c r="E594" s="1174" t="s">
        <v>1227</v>
      </c>
      <c r="F594" s="1379" t="s">
        <v>1245</v>
      </c>
      <c r="G594" s="1380">
        <v>44593</v>
      </c>
      <c r="H594" s="1380">
        <v>44620</v>
      </c>
      <c r="I594" s="1176">
        <v>2.1</v>
      </c>
      <c r="J594" s="1176" t="s">
        <v>720</v>
      </c>
      <c r="K594" s="1177" t="s">
        <v>674</v>
      </c>
      <c r="L594" s="1178"/>
      <c r="M594" s="1179">
        <v>81890487</v>
      </c>
      <c r="N594" s="1376"/>
      <c r="O594" s="1174"/>
      <c r="P594" s="1207" t="s">
        <v>757</v>
      </c>
      <c r="Q594" s="1163"/>
      <c r="R594" s="1357"/>
      <c r="S594" s="1357"/>
      <c r="T594" s="1357">
        <f>+Tabla16[[#This Row],[CDPS A 31 JULIO 2022]]-Tabla16[[#This Row],[CDP]]</f>
        <v>0</v>
      </c>
      <c r="U594" s="1357"/>
      <c r="V594" s="1357"/>
      <c r="W594" s="1357"/>
    </row>
    <row r="595" spans="1:23" s="1207" customFormat="1" ht="45" hidden="1" customHeight="1" x14ac:dyDescent="0.3">
      <c r="A595" s="1355">
        <v>2022611</v>
      </c>
      <c r="B595" s="1172">
        <v>7658</v>
      </c>
      <c r="C595" s="1356" t="s">
        <v>679</v>
      </c>
      <c r="D595" s="1190" t="s">
        <v>692</v>
      </c>
      <c r="E595" s="1174"/>
      <c r="F595" s="1379" t="s">
        <v>1131</v>
      </c>
      <c r="G595" s="1380"/>
      <c r="H595" s="1380"/>
      <c r="I595" s="1176"/>
      <c r="J595" s="1176" t="s">
        <v>97</v>
      </c>
      <c r="K595" s="1177" t="s">
        <v>674</v>
      </c>
      <c r="L595" s="1178" t="s">
        <v>675</v>
      </c>
      <c r="M595" s="1179">
        <f>560000+1100000+6700000+6500000+18300000+13200000+19400000+14000000+1800000+20000000+29100000-10300000-9700000+8854126-40000000+14822449-126-16800000-16800000-16800000-2000067-13400000-2600000-600000-5942022-12000000+2307582+2280785+15200000+32668167+6305000-13475000-30000000-13200000</f>
        <v>9480894</v>
      </c>
      <c r="N595" s="1376" t="s">
        <v>768</v>
      </c>
      <c r="O595" s="1174" t="s">
        <v>767</v>
      </c>
      <c r="P595" s="1207" t="s">
        <v>748</v>
      </c>
      <c r="Q595" s="1163"/>
      <c r="R595" s="1357">
        <v>2000067</v>
      </c>
      <c r="S595" s="1357"/>
      <c r="T595" s="1357">
        <f>+Tabla16[[#This Row],[CDPS A 31 JULIO 2022]]-Tabla16[[#This Row],[CDP]]</f>
        <v>2000067</v>
      </c>
      <c r="U595" s="1357"/>
      <c r="V595" s="1357"/>
      <c r="W595" s="1357"/>
    </row>
    <row r="596" spans="1:23" s="1207" customFormat="1" ht="45" hidden="1" customHeight="1" x14ac:dyDescent="0.3">
      <c r="A596" s="1355">
        <v>2022611</v>
      </c>
      <c r="B596" s="1172">
        <v>7658</v>
      </c>
      <c r="C596" s="1356" t="s">
        <v>679</v>
      </c>
      <c r="D596" s="1190" t="s">
        <v>692</v>
      </c>
      <c r="E596" s="1174"/>
      <c r="F596" s="1379" t="s">
        <v>1131</v>
      </c>
      <c r="G596" s="1380"/>
      <c r="H596" s="1380"/>
      <c r="I596" s="1176"/>
      <c r="J596" s="1176" t="s">
        <v>97</v>
      </c>
      <c r="K596" s="1177" t="s">
        <v>982</v>
      </c>
      <c r="L596" s="1178" t="s">
        <v>675</v>
      </c>
      <c r="M596" s="1179">
        <v>2000067</v>
      </c>
      <c r="N596" s="1376" t="s">
        <v>768</v>
      </c>
      <c r="O596" s="1174" t="s">
        <v>767</v>
      </c>
      <c r="P596" s="1207" t="s">
        <v>748</v>
      </c>
      <c r="Q596" s="1163"/>
      <c r="R596" s="1357">
        <v>2000067</v>
      </c>
      <c r="S596" s="1357">
        <v>2000067</v>
      </c>
      <c r="T596" s="1357">
        <f>+Tabla16[[#This Row],[CDPS A 31 JULIO 2022]]-Tabla16[[#This Row],[CDP]]</f>
        <v>0</v>
      </c>
      <c r="U596" s="1357">
        <v>2000067</v>
      </c>
      <c r="V596" s="1357">
        <v>2000067</v>
      </c>
      <c r="W596" s="1357"/>
    </row>
    <row r="597" spans="1:23" s="1207" customFormat="1" ht="45" hidden="1" customHeight="1" x14ac:dyDescent="0.3">
      <c r="A597" s="1355">
        <v>2022613</v>
      </c>
      <c r="B597" s="1172">
        <v>7658</v>
      </c>
      <c r="C597" s="1356" t="s">
        <v>679</v>
      </c>
      <c r="D597" s="1190" t="s">
        <v>698</v>
      </c>
      <c r="E597" s="1174"/>
      <c r="F597" s="1379" t="s">
        <v>1246</v>
      </c>
      <c r="G597" s="1380">
        <v>44621</v>
      </c>
      <c r="H597" s="1380">
        <v>44651</v>
      </c>
      <c r="I597" s="1176" t="s">
        <v>97</v>
      </c>
      <c r="J597" s="1176" t="s">
        <v>97</v>
      </c>
      <c r="K597" s="1177" t="s">
        <v>674</v>
      </c>
      <c r="L597" s="1178" t="s">
        <v>1111</v>
      </c>
      <c r="M597" s="1179">
        <f>35781881+5918528</f>
        <v>41700409</v>
      </c>
      <c r="N597" s="1376" t="s">
        <v>779</v>
      </c>
      <c r="O597" s="1174" t="s">
        <v>771</v>
      </c>
      <c r="P597" s="1163" t="s">
        <v>748</v>
      </c>
      <c r="Q597" s="1163"/>
      <c r="R597" s="1357">
        <v>37691921</v>
      </c>
      <c r="S597" s="1357">
        <v>37691921</v>
      </c>
      <c r="T597" s="1357">
        <f>+Tabla16[[#This Row],[CDPS A 31 JULIO 2022]]-Tabla16[[#This Row],[CDP]]</f>
        <v>0</v>
      </c>
      <c r="U597" s="1357">
        <v>37691921</v>
      </c>
      <c r="V597" s="1357">
        <v>37691921</v>
      </c>
      <c r="W597" s="1357"/>
    </row>
    <row r="598" spans="1:23" s="1207" customFormat="1" ht="45" hidden="1" customHeight="1" x14ac:dyDescent="0.3">
      <c r="A598" s="1355">
        <v>2022614</v>
      </c>
      <c r="B598" s="1172">
        <v>7658</v>
      </c>
      <c r="C598" s="1356" t="s">
        <v>679</v>
      </c>
      <c r="D598" s="1190" t="s">
        <v>698</v>
      </c>
      <c r="E598" s="1174"/>
      <c r="F598" s="1379" t="s">
        <v>1247</v>
      </c>
      <c r="G598" s="1380">
        <v>44621</v>
      </c>
      <c r="H598" s="1380">
        <v>44651</v>
      </c>
      <c r="I598" s="1176" t="s">
        <v>97</v>
      </c>
      <c r="J598" s="1176" t="s">
        <v>97</v>
      </c>
      <c r="K598" s="1177" t="s">
        <v>674</v>
      </c>
      <c r="L598" s="1178" t="s">
        <v>1248</v>
      </c>
      <c r="M598" s="1179">
        <f>27886255+576000</f>
        <v>28462255</v>
      </c>
      <c r="N598" s="1376" t="s">
        <v>779</v>
      </c>
      <c r="O598" s="1174" t="s">
        <v>771</v>
      </c>
      <c r="P598" s="1163" t="s">
        <v>748</v>
      </c>
      <c r="Q598" s="1163"/>
      <c r="R598" s="1357">
        <v>28401676</v>
      </c>
      <c r="S598" s="1357">
        <v>28401676</v>
      </c>
      <c r="T598" s="1357">
        <f>+Tabla16[[#This Row],[CDPS A 31 JULIO 2022]]-Tabla16[[#This Row],[CDP]]</f>
        <v>0</v>
      </c>
      <c r="U598" s="1357">
        <v>28401676</v>
      </c>
      <c r="V598" s="1357">
        <v>28401676</v>
      </c>
      <c r="W598" s="1357"/>
    </row>
    <row r="599" spans="1:23" s="1207" customFormat="1" ht="45" hidden="1" customHeight="1" x14ac:dyDescent="0.3">
      <c r="A599" s="1355">
        <v>2022615</v>
      </c>
      <c r="B599" s="1172">
        <v>7658</v>
      </c>
      <c r="C599" s="1356" t="s">
        <v>679</v>
      </c>
      <c r="D599" s="1190" t="s">
        <v>698</v>
      </c>
      <c r="E599" s="1174"/>
      <c r="F599" s="1379" t="s">
        <v>1249</v>
      </c>
      <c r="G599" s="1380">
        <v>44621</v>
      </c>
      <c r="H599" s="1380">
        <v>44651</v>
      </c>
      <c r="I599" s="1176" t="s">
        <v>97</v>
      </c>
      <c r="J599" s="1176" t="s">
        <v>97</v>
      </c>
      <c r="K599" s="1177" t="s">
        <v>1250</v>
      </c>
      <c r="L599" s="1178" t="s">
        <v>957</v>
      </c>
      <c r="M599" s="1179">
        <v>46885058</v>
      </c>
      <c r="N599" s="1376" t="s">
        <v>784</v>
      </c>
      <c r="O599" s="1174" t="s">
        <v>771</v>
      </c>
      <c r="P599" s="1163" t="s">
        <v>748</v>
      </c>
      <c r="Q599" s="1163"/>
      <c r="R599" s="1357">
        <v>46885058</v>
      </c>
      <c r="S599" s="1357">
        <v>46885058</v>
      </c>
      <c r="T599" s="1357">
        <f>+Tabla16[[#This Row],[CDPS A 31 JULIO 2022]]-Tabla16[[#This Row],[CDP]]</f>
        <v>0</v>
      </c>
      <c r="U599" s="1357">
        <v>46885058</v>
      </c>
      <c r="V599" s="1357">
        <v>46885058</v>
      </c>
      <c r="W599" s="1357"/>
    </row>
    <row r="600" spans="1:23" s="1207" customFormat="1" ht="45" hidden="1" customHeight="1" x14ac:dyDescent="0.3">
      <c r="A600" s="1355">
        <v>2022616</v>
      </c>
      <c r="B600" s="1172">
        <v>7658</v>
      </c>
      <c r="C600" s="1356" t="s">
        <v>679</v>
      </c>
      <c r="D600" s="1190" t="s">
        <v>698</v>
      </c>
      <c r="E600" s="1174"/>
      <c r="F600" s="1379" t="s">
        <v>1251</v>
      </c>
      <c r="G600" s="1380">
        <v>44621</v>
      </c>
      <c r="H600" s="1380">
        <v>44651</v>
      </c>
      <c r="I600" s="1176" t="s">
        <v>97</v>
      </c>
      <c r="J600" s="1176" t="s">
        <v>97</v>
      </c>
      <c r="K600" s="1177" t="s">
        <v>674</v>
      </c>
      <c r="L600" s="1178" t="s">
        <v>1252</v>
      </c>
      <c r="M600" s="1179">
        <v>432800</v>
      </c>
      <c r="N600" s="1376" t="s">
        <v>779</v>
      </c>
      <c r="O600" s="1174" t="s">
        <v>771</v>
      </c>
      <c r="P600" s="1163" t="s">
        <v>748</v>
      </c>
      <c r="Q600" s="1163"/>
      <c r="R600" s="1357">
        <v>432800</v>
      </c>
      <c r="S600" s="1357">
        <v>432800</v>
      </c>
      <c r="T600" s="1357">
        <f>+Tabla16[[#This Row],[CDPS A 31 JULIO 2022]]-Tabla16[[#This Row],[CDP]]</f>
        <v>0</v>
      </c>
      <c r="U600" s="1357">
        <v>432800</v>
      </c>
      <c r="V600" s="1357">
        <v>432800</v>
      </c>
      <c r="W600" s="1357"/>
    </row>
    <row r="601" spans="1:23" s="1207" customFormat="1" ht="45" hidden="1" customHeight="1" x14ac:dyDescent="0.3">
      <c r="A601" s="1355">
        <v>2022617</v>
      </c>
      <c r="B601" s="1172">
        <v>7658</v>
      </c>
      <c r="C601" s="1356" t="s">
        <v>679</v>
      </c>
      <c r="D601" s="1190" t="s">
        <v>698</v>
      </c>
      <c r="E601" s="1174" t="s">
        <v>1122</v>
      </c>
      <c r="F601" s="1379" t="s">
        <v>1253</v>
      </c>
      <c r="G601" s="1380">
        <v>44593</v>
      </c>
      <c r="H601" s="1380">
        <v>44620</v>
      </c>
      <c r="I601" s="1176">
        <v>12</v>
      </c>
      <c r="J601" s="1176" t="s">
        <v>696</v>
      </c>
      <c r="K601" s="1177" t="s">
        <v>674</v>
      </c>
      <c r="L601" s="1178" t="s">
        <v>981</v>
      </c>
      <c r="M601" s="1179">
        <v>175000000</v>
      </c>
      <c r="N601" s="1376" t="s">
        <v>784</v>
      </c>
      <c r="O601" s="1174" t="s">
        <v>771</v>
      </c>
      <c r="P601" s="1163" t="s">
        <v>748</v>
      </c>
      <c r="Q601" s="1163"/>
      <c r="R601" s="1357">
        <v>175000000</v>
      </c>
      <c r="S601" s="1357">
        <v>175000000</v>
      </c>
      <c r="T601" s="1357">
        <f>+Tabla16[[#This Row],[CDPS A 31 JULIO 2022]]-Tabla16[[#This Row],[CDP]]</f>
        <v>0</v>
      </c>
      <c r="U601" s="1357">
        <v>175000000</v>
      </c>
      <c r="V601" s="1357">
        <v>19650698</v>
      </c>
      <c r="W601" s="1357"/>
    </row>
    <row r="602" spans="1:23" s="1207" customFormat="1" ht="45" hidden="1" customHeight="1" x14ac:dyDescent="0.3">
      <c r="A602" s="1355">
        <v>2022618</v>
      </c>
      <c r="B602" s="1172" t="s">
        <v>459</v>
      </c>
      <c r="C602" s="1356" t="s">
        <v>459</v>
      </c>
      <c r="D602" s="1190" t="s">
        <v>695</v>
      </c>
      <c r="E602" s="1174">
        <v>86111604</v>
      </c>
      <c r="F602" s="1379" t="s">
        <v>1254</v>
      </c>
      <c r="G602" s="1380">
        <v>44682</v>
      </c>
      <c r="H602" s="1380">
        <v>44681</v>
      </c>
      <c r="I602" s="1176">
        <v>5</v>
      </c>
      <c r="J602" s="1176" t="s">
        <v>699</v>
      </c>
      <c r="K602" s="1177" t="s">
        <v>770</v>
      </c>
      <c r="L602" s="1178"/>
      <c r="M602" s="1179">
        <v>29250000</v>
      </c>
      <c r="N602" s="1376"/>
      <c r="O602" s="1174"/>
      <c r="P602" s="1163" t="s">
        <v>678</v>
      </c>
      <c r="Q602" s="1163"/>
      <c r="R602" s="1357"/>
      <c r="S602" s="1357"/>
      <c r="T602" s="1357">
        <f>+Tabla16[[#This Row],[CDPS A 31 JULIO 2022]]-Tabla16[[#This Row],[CDP]]</f>
        <v>0</v>
      </c>
      <c r="U602" s="1357"/>
      <c r="V602" s="1357"/>
      <c r="W602" s="1357"/>
    </row>
    <row r="603" spans="1:23" s="1207" customFormat="1" ht="45" hidden="1" customHeight="1" x14ac:dyDescent="0.3">
      <c r="A603" s="1355">
        <v>2022619</v>
      </c>
      <c r="B603" s="1172">
        <v>7637</v>
      </c>
      <c r="C603" s="1356" t="s">
        <v>643</v>
      </c>
      <c r="D603" s="1190" t="s">
        <v>671</v>
      </c>
      <c r="E603" s="1174" t="s">
        <v>1255</v>
      </c>
      <c r="F603" s="1379" t="s">
        <v>1256</v>
      </c>
      <c r="G603" s="1380">
        <v>44652</v>
      </c>
      <c r="H603" s="1380">
        <v>44712</v>
      </c>
      <c r="I603" s="1176">
        <v>12</v>
      </c>
      <c r="J603" s="1176" t="s">
        <v>699</v>
      </c>
      <c r="K603" s="1177" t="s">
        <v>674</v>
      </c>
      <c r="L603" s="1178" t="s">
        <v>729</v>
      </c>
      <c r="M603" s="1179">
        <f>8000000-848867</f>
        <v>7151133</v>
      </c>
      <c r="N603" s="1189" t="s">
        <v>765</v>
      </c>
      <c r="O603" s="1174" t="s">
        <v>677</v>
      </c>
      <c r="P603" s="1207" t="s">
        <v>678</v>
      </c>
      <c r="Q603" s="1163"/>
      <c r="R603" s="1269">
        <v>8000000</v>
      </c>
      <c r="S603" s="1357">
        <v>8000000</v>
      </c>
      <c r="T603" s="1357">
        <f>+Tabla16[[#This Row],[CDPS A 31 JULIO 2022]]-Tabla16[[#This Row],[CDP]]</f>
        <v>0</v>
      </c>
      <c r="U603" s="1357"/>
      <c r="V603" s="1357"/>
      <c r="W603" s="1357"/>
    </row>
    <row r="604" spans="1:23" s="1207" customFormat="1" ht="45" hidden="1" customHeight="1" x14ac:dyDescent="0.3">
      <c r="A604" s="1355">
        <v>2022620</v>
      </c>
      <c r="B604" s="1172">
        <v>7658</v>
      </c>
      <c r="C604" s="1356" t="s">
        <v>679</v>
      </c>
      <c r="D604" s="1190" t="s">
        <v>698</v>
      </c>
      <c r="E604" s="1174" t="s">
        <v>1257</v>
      </c>
      <c r="F604" s="1379" t="s">
        <v>1258</v>
      </c>
      <c r="G604" s="1380">
        <v>44621</v>
      </c>
      <c r="H604" s="1380">
        <v>44630</v>
      </c>
      <c r="I604" s="1176">
        <v>1</v>
      </c>
      <c r="J604" s="1176" t="s">
        <v>696</v>
      </c>
      <c r="K604" s="1177" t="s">
        <v>674</v>
      </c>
      <c r="L604" s="1178" t="s">
        <v>981</v>
      </c>
      <c r="M604" s="1179">
        <f>8000000-313321</f>
        <v>7686679</v>
      </c>
      <c r="N604" s="1376" t="s">
        <v>784</v>
      </c>
      <c r="O604" s="1174" t="s">
        <v>771</v>
      </c>
      <c r="P604" s="1163" t="s">
        <v>748</v>
      </c>
      <c r="Q604" s="1163"/>
      <c r="R604" s="1357">
        <v>7686679</v>
      </c>
      <c r="S604" s="1357">
        <v>7686679</v>
      </c>
      <c r="T604" s="1357">
        <f>+Tabla16[[#This Row],[CDPS A 31 JULIO 2022]]-Tabla16[[#This Row],[CDP]]</f>
        <v>0</v>
      </c>
      <c r="U604" s="1357">
        <v>7686679</v>
      </c>
      <c r="V604" s="1357">
        <v>7686499</v>
      </c>
      <c r="W604" s="1357"/>
    </row>
    <row r="605" spans="1:23" s="1207" customFormat="1" ht="45" hidden="1" customHeight="1" x14ac:dyDescent="0.3">
      <c r="A605" s="1355">
        <v>2022621</v>
      </c>
      <c r="B605" s="1172" t="s">
        <v>459</v>
      </c>
      <c r="C605" s="1356"/>
      <c r="D605" s="1190" t="s">
        <v>695</v>
      </c>
      <c r="E605" s="1388" t="s">
        <v>1259</v>
      </c>
      <c r="F605" s="1379" t="s">
        <v>1260</v>
      </c>
      <c r="G605" s="1380">
        <v>44621</v>
      </c>
      <c r="H605" s="1380">
        <v>44681</v>
      </c>
      <c r="I605" s="1176">
        <v>4</v>
      </c>
      <c r="J605" s="1176" t="s">
        <v>699</v>
      </c>
      <c r="K605" s="1177" t="s">
        <v>770</v>
      </c>
      <c r="L605" s="1178"/>
      <c r="M605" s="1179">
        <v>12597939</v>
      </c>
      <c r="N605" s="1376"/>
      <c r="O605" s="1174"/>
      <c r="P605" s="1207" t="s">
        <v>678</v>
      </c>
      <c r="Q605" s="1163"/>
      <c r="R605" s="1357"/>
      <c r="S605" s="1357"/>
      <c r="T605" s="1357">
        <f>+Tabla16[[#This Row],[CDPS A 31 JULIO 2022]]-Tabla16[[#This Row],[CDP]]</f>
        <v>0</v>
      </c>
      <c r="U605" s="1357"/>
      <c r="V605" s="1357"/>
      <c r="W605" s="1357"/>
    </row>
    <row r="606" spans="1:23" s="1207" customFormat="1" ht="45" hidden="1" customHeight="1" x14ac:dyDescent="0.3">
      <c r="A606" s="1358">
        <v>2022622</v>
      </c>
      <c r="B606" s="1359">
        <v>7658</v>
      </c>
      <c r="C606" s="1360" t="s">
        <v>679</v>
      </c>
      <c r="D606" s="1381" t="s">
        <v>689</v>
      </c>
      <c r="E606" s="1382" t="s">
        <v>1261</v>
      </c>
      <c r="F606" s="1383" t="s">
        <v>1262</v>
      </c>
      <c r="G606" s="1277">
        <v>44795</v>
      </c>
      <c r="H606" s="1277">
        <v>44770</v>
      </c>
      <c r="I606" s="1204">
        <v>4</v>
      </c>
      <c r="J606" s="1176" t="s">
        <v>696</v>
      </c>
      <c r="K606" s="1177" t="s">
        <v>674</v>
      </c>
      <c r="L606" s="1178" t="s">
        <v>981</v>
      </c>
      <c r="M606" s="1249">
        <f>416500000+105559750</f>
        <v>522059750</v>
      </c>
      <c r="N606" s="1376" t="s">
        <v>772</v>
      </c>
      <c r="O606" s="1382" t="s">
        <v>771</v>
      </c>
      <c r="P606" s="1163" t="s">
        <v>678</v>
      </c>
      <c r="Q606" s="1163"/>
      <c r="R606" s="1269">
        <v>0</v>
      </c>
      <c r="S606" s="1357"/>
      <c r="T606" s="1357">
        <f>+Tabla16[[#This Row],[CDPS A 31 JULIO 2022]]-Tabla16[[#This Row],[CDP]]</f>
        <v>0</v>
      </c>
      <c r="U606" s="1357"/>
      <c r="V606" s="1357"/>
      <c r="W606" s="1357"/>
    </row>
    <row r="607" spans="1:23" s="1207" customFormat="1" ht="45" hidden="1" customHeight="1" x14ac:dyDescent="0.3">
      <c r="A607" s="1358">
        <v>2022623</v>
      </c>
      <c r="B607" s="1359">
        <v>7658</v>
      </c>
      <c r="C607" s="1360" t="s">
        <v>679</v>
      </c>
      <c r="D607" s="1381" t="s">
        <v>689</v>
      </c>
      <c r="E607" s="1359" t="s">
        <v>1263</v>
      </c>
      <c r="F607" s="1383" t="s">
        <v>1264</v>
      </c>
      <c r="G607" s="1277">
        <v>44666</v>
      </c>
      <c r="H607" s="1277">
        <v>44686</v>
      </c>
      <c r="I607" s="1204">
        <v>4</v>
      </c>
      <c r="J607" s="1176" t="s">
        <v>696</v>
      </c>
      <c r="K607" s="1177" t="s">
        <v>674</v>
      </c>
      <c r="L607" s="1178" t="s">
        <v>981</v>
      </c>
      <c r="M607" s="1249">
        <f>123500000+80000000+50000000+1500000</f>
        <v>255000000</v>
      </c>
      <c r="N607" s="1376" t="s">
        <v>772</v>
      </c>
      <c r="O607" s="1382" t="s">
        <v>771</v>
      </c>
      <c r="P607" s="1163" t="s">
        <v>678</v>
      </c>
      <c r="Q607" s="1163"/>
      <c r="R607" s="1357">
        <v>255000000</v>
      </c>
      <c r="S607" s="1357">
        <v>255000000</v>
      </c>
      <c r="T607" s="1357">
        <f>+Tabla16[[#This Row],[CDPS A 31 JULIO 2022]]-Tabla16[[#This Row],[CDP]]</f>
        <v>0</v>
      </c>
      <c r="U607" s="1357">
        <v>255000000</v>
      </c>
      <c r="V607" s="1357"/>
      <c r="W607" s="1357"/>
    </row>
    <row r="608" spans="1:23" s="1207" customFormat="1" ht="45" hidden="1" customHeight="1" x14ac:dyDescent="0.3">
      <c r="A608" s="1355">
        <v>2022624</v>
      </c>
      <c r="B608" s="1172">
        <v>7637</v>
      </c>
      <c r="C608" s="1356" t="s">
        <v>643</v>
      </c>
      <c r="D608" s="1190" t="s">
        <v>671</v>
      </c>
      <c r="E608" s="1174">
        <v>81111700</v>
      </c>
      <c r="F608" s="1379" t="s">
        <v>1265</v>
      </c>
      <c r="G608" s="1380">
        <v>44819</v>
      </c>
      <c r="H608" s="1380">
        <v>44849</v>
      </c>
      <c r="I608" s="1176">
        <v>2</v>
      </c>
      <c r="J608" s="1176" t="s">
        <v>720</v>
      </c>
      <c r="K608" s="1177" t="s">
        <v>674</v>
      </c>
      <c r="L608" s="1178" t="s">
        <v>735</v>
      </c>
      <c r="M608" s="1179">
        <v>5000000</v>
      </c>
      <c r="N608" s="1376" t="s">
        <v>676</v>
      </c>
      <c r="O608" s="1174" t="s">
        <v>677</v>
      </c>
      <c r="P608" s="1207" t="s">
        <v>678</v>
      </c>
      <c r="Q608" s="1163"/>
      <c r="R608" s="1269">
        <v>0</v>
      </c>
      <c r="S608" s="1357"/>
      <c r="T608" s="1357">
        <f>+Tabla16[[#This Row],[CDPS A 31 JULIO 2022]]-Tabla16[[#This Row],[CDP]]</f>
        <v>0</v>
      </c>
      <c r="U608" s="1357"/>
      <c r="V608" s="1357"/>
      <c r="W608" s="1357"/>
    </row>
    <row r="609" spans="1:23" s="1207" customFormat="1" ht="45" hidden="1" customHeight="1" x14ac:dyDescent="0.3">
      <c r="A609" s="1358">
        <v>2022626</v>
      </c>
      <c r="B609" s="1359">
        <v>7658</v>
      </c>
      <c r="C609" s="1360" t="s">
        <v>679</v>
      </c>
      <c r="D609" s="1381" t="s">
        <v>689</v>
      </c>
      <c r="E609" s="1382">
        <v>24101602</v>
      </c>
      <c r="F609" s="1383" t="s">
        <v>1266</v>
      </c>
      <c r="G609" s="1384">
        <v>44650</v>
      </c>
      <c r="H609" s="1384">
        <v>44713</v>
      </c>
      <c r="I609" s="1268">
        <v>4</v>
      </c>
      <c r="J609" s="1176" t="s">
        <v>696</v>
      </c>
      <c r="K609" s="1385" t="s">
        <v>770</v>
      </c>
      <c r="L609" s="1178" t="s">
        <v>981</v>
      </c>
      <c r="M609" s="1249">
        <v>180000000</v>
      </c>
      <c r="N609" s="1376" t="s">
        <v>772</v>
      </c>
      <c r="O609" s="1382" t="s">
        <v>771</v>
      </c>
      <c r="P609" s="1163" t="s">
        <v>678</v>
      </c>
      <c r="Q609" s="1163"/>
      <c r="R609" s="1357">
        <v>178400000</v>
      </c>
      <c r="S609" s="1357">
        <v>178400000</v>
      </c>
      <c r="T609" s="1357">
        <f>+Tabla16[[#This Row],[CDPS A 31 JULIO 2022]]-Tabla16[[#This Row],[CDP]]</f>
        <v>0</v>
      </c>
      <c r="U609" s="1357">
        <v>178400000</v>
      </c>
      <c r="V609" s="1357"/>
      <c r="W609" s="1357"/>
    </row>
    <row r="610" spans="1:23" s="1207" customFormat="1" ht="45" hidden="1" customHeight="1" x14ac:dyDescent="0.3">
      <c r="A610" s="1355">
        <v>2022631</v>
      </c>
      <c r="B610" s="1172">
        <v>7637</v>
      </c>
      <c r="C610" s="1356" t="s">
        <v>643</v>
      </c>
      <c r="D610" s="1190" t="s">
        <v>671</v>
      </c>
      <c r="E610" s="1202">
        <v>81112401</v>
      </c>
      <c r="F610" s="1202" t="s">
        <v>1267</v>
      </c>
      <c r="G610" s="1377">
        <v>44672</v>
      </c>
      <c r="H610" s="1377">
        <v>44680</v>
      </c>
      <c r="I610" s="1176">
        <v>2</v>
      </c>
      <c r="J610" s="1176" t="s">
        <v>720</v>
      </c>
      <c r="K610" s="1177" t="s">
        <v>674</v>
      </c>
      <c r="L610" s="1178" t="s">
        <v>729</v>
      </c>
      <c r="M610" s="1179">
        <v>26723240</v>
      </c>
      <c r="N610" s="1376" t="s">
        <v>676</v>
      </c>
      <c r="O610" s="1174" t="s">
        <v>677</v>
      </c>
      <c r="P610" s="1207" t="s">
        <v>757</v>
      </c>
      <c r="Q610" s="1163" t="s">
        <v>1268</v>
      </c>
      <c r="R610" s="1269">
        <v>26723240</v>
      </c>
      <c r="S610" s="1357">
        <v>26723240</v>
      </c>
      <c r="T610" s="1357">
        <f>+Tabla16[[#This Row],[CDPS A 31 JULIO 2022]]-Tabla16[[#This Row],[CDP]]</f>
        <v>0</v>
      </c>
      <c r="U610" s="1357">
        <v>26723240</v>
      </c>
      <c r="V610" s="1357"/>
      <c r="W610" s="1357"/>
    </row>
    <row r="611" spans="1:23" s="1207" customFormat="1" ht="45" hidden="1" customHeight="1" x14ac:dyDescent="0.3">
      <c r="A611" s="1355">
        <v>2022632</v>
      </c>
      <c r="B611" s="1172">
        <v>7637</v>
      </c>
      <c r="C611" s="1356" t="s">
        <v>643</v>
      </c>
      <c r="D611" s="1190" t="s">
        <v>671</v>
      </c>
      <c r="E611" s="1202">
        <v>81112401</v>
      </c>
      <c r="F611" s="1202" t="s">
        <v>1269</v>
      </c>
      <c r="G611" s="1377">
        <v>44672</v>
      </c>
      <c r="H611" s="1377">
        <v>44680</v>
      </c>
      <c r="I611" s="1176">
        <v>2</v>
      </c>
      <c r="J611" s="1176" t="s">
        <v>720</v>
      </c>
      <c r="K611" s="1177" t="s">
        <v>674</v>
      </c>
      <c r="L611" s="1178" t="s">
        <v>729</v>
      </c>
      <c r="M611" s="1179">
        <v>1891777</v>
      </c>
      <c r="N611" s="1376" t="s">
        <v>676</v>
      </c>
      <c r="O611" s="1174" t="s">
        <v>677</v>
      </c>
      <c r="P611" s="1207" t="s">
        <v>757</v>
      </c>
      <c r="Q611" s="1163" t="s">
        <v>1268</v>
      </c>
      <c r="R611" s="1269">
        <v>1891776</v>
      </c>
      <c r="S611" s="1357">
        <v>1891776</v>
      </c>
      <c r="T611" s="1357">
        <f>+Tabla16[[#This Row],[CDPS A 31 JULIO 2022]]-Tabla16[[#This Row],[CDP]]</f>
        <v>0</v>
      </c>
      <c r="U611" s="1357">
        <v>1891776</v>
      </c>
      <c r="V611" s="1357"/>
      <c r="W611" s="1357"/>
    </row>
    <row r="612" spans="1:23" s="1207" customFormat="1" ht="45" hidden="1" customHeight="1" x14ac:dyDescent="0.3">
      <c r="A612" s="1355">
        <v>2022633</v>
      </c>
      <c r="B612" s="1172">
        <v>7658</v>
      </c>
      <c r="C612" s="1356" t="s">
        <v>679</v>
      </c>
      <c r="D612" s="1190" t="s">
        <v>701</v>
      </c>
      <c r="E612" s="1202" t="s">
        <v>1020</v>
      </c>
      <c r="F612" s="1378" t="s">
        <v>1021</v>
      </c>
      <c r="G612" s="1377">
        <v>44652</v>
      </c>
      <c r="H612" s="1377">
        <v>44742</v>
      </c>
      <c r="I612" s="1176">
        <v>12</v>
      </c>
      <c r="J612" s="1176" t="s">
        <v>645</v>
      </c>
      <c r="K612" s="1177" t="s">
        <v>674</v>
      </c>
      <c r="L612" s="1178" t="s">
        <v>981</v>
      </c>
      <c r="M612" s="1179">
        <f>252916670+95000000+40000000</f>
        <v>387916670</v>
      </c>
      <c r="N612" s="1376" t="s">
        <v>776</v>
      </c>
      <c r="O612" s="1174" t="s">
        <v>771</v>
      </c>
      <c r="P612" s="1207" t="s">
        <v>678</v>
      </c>
      <c r="Q612" s="1163" t="s">
        <v>1270</v>
      </c>
      <c r="R612" s="1357">
        <v>363521602</v>
      </c>
      <c r="S612" s="1357">
        <v>363521602</v>
      </c>
      <c r="T612" s="1357">
        <f>+Tabla16[[#This Row],[CDPS A 31 JULIO 2022]]-Tabla16[[#This Row],[CDP]]</f>
        <v>0</v>
      </c>
      <c r="U612" s="1357"/>
      <c r="V612" s="1357"/>
      <c r="W612" s="1357"/>
    </row>
    <row r="613" spans="1:23" s="1207" customFormat="1" ht="45" hidden="1" customHeight="1" x14ac:dyDescent="0.3">
      <c r="A613" s="1355">
        <v>2022634</v>
      </c>
      <c r="B613" s="1172" t="s">
        <v>97</v>
      </c>
      <c r="C613" s="1356" t="s">
        <v>97</v>
      </c>
      <c r="D613" s="1190" t="s">
        <v>689</v>
      </c>
      <c r="E613" s="1174" t="s">
        <v>97</v>
      </c>
      <c r="F613" s="1379" t="s">
        <v>1271</v>
      </c>
      <c r="G613" s="1380">
        <v>44662</v>
      </c>
      <c r="H613" s="1380" t="s">
        <v>97</v>
      </c>
      <c r="I613" s="1176">
        <v>0.5</v>
      </c>
      <c r="J613" s="1176" t="s">
        <v>673</v>
      </c>
      <c r="K613" s="1177" t="s">
        <v>97</v>
      </c>
      <c r="L613" s="1178" t="s">
        <v>97</v>
      </c>
      <c r="M613" s="1179" t="s">
        <v>97</v>
      </c>
      <c r="N613" s="1376" t="s">
        <v>97</v>
      </c>
      <c r="O613" s="1174" t="s">
        <v>97</v>
      </c>
      <c r="P613" s="1207" t="s">
        <v>678</v>
      </c>
      <c r="R613" s="1357"/>
      <c r="S613" s="1357"/>
      <c r="T613" s="1357">
        <f>+Tabla16[[#This Row],[CDPS A 31 JULIO 2022]]-Tabla16[[#This Row],[CDP]]</f>
        <v>0</v>
      </c>
      <c r="U613" s="1357"/>
      <c r="V613" s="1357"/>
      <c r="W613" s="1357"/>
    </row>
    <row r="614" spans="1:23" s="1207" customFormat="1" ht="79.5" hidden="1" customHeight="1" x14ac:dyDescent="0.3">
      <c r="A614" s="1355">
        <v>2022635</v>
      </c>
      <c r="B614" s="1172" t="s">
        <v>97</v>
      </c>
      <c r="C614" s="1356" t="s">
        <v>97</v>
      </c>
      <c r="D614" s="1190" t="s">
        <v>689</v>
      </c>
      <c r="E614" s="1174" t="s">
        <v>97</v>
      </c>
      <c r="F614" s="1379" t="s">
        <v>1272</v>
      </c>
      <c r="G614" s="1380">
        <v>44662</v>
      </c>
      <c r="H614" s="1380" t="s">
        <v>97</v>
      </c>
      <c r="I614" s="1176">
        <v>1</v>
      </c>
      <c r="J614" s="1176" t="s">
        <v>673</v>
      </c>
      <c r="K614" s="1177" t="s">
        <v>97</v>
      </c>
      <c r="L614" s="1178" t="s">
        <v>97</v>
      </c>
      <c r="M614" s="1179" t="s">
        <v>97</v>
      </c>
      <c r="N614" s="1376" t="s">
        <v>97</v>
      </c>
      <c r="O614" s="1174" t="s">
        <v>97</v>
      </c>
      <c r="P614" s="1207" t="s">
        <v>678</v>
      </c>
      <c r="R614" s="1357"/>
      <c r="S614" s="1357"/>
      <c r="T614" s="1357">
        <f>+Tabla16[[#This Row],[CDPS A 31 JULIO 2022]]-Tabla16[[#This Row],[CDP]]</f>
        <v>0</v>
      </c>
      <c r="U614" s="1357"/>
      <c r="V614" s="1357"/>
      <c r="W614" s="1357"/>
    </row>
    <row r="615" spans="1:23" s="1207" customFormat="1" ht="45" hidden="1" customHeight="1" x14ac:dyDescent="0.3">
      <c r="A615" s="1355">
        <v>2022637</v>
      </c>
      <c r="B615" s="1172">
        <v>7658</v>
      </c>
      <c r="C615" s="1356" t="s">
        <v>679</v>
      </c>
      <c r="D615" s="1190" t="s">
        <v>698</v>
      </c>
      <c r="E615" s="1202" t="s">
        <v>1273</v>
      </c>
      <c r="F615" s="1378" t="s">
        <v>1274</v>
      </c>
      <c r="G615" s="1390">
        <v>44676</v>
      </c>
      <c r="H615" s="1390">
        <v>44683</v>
      </c>
      <c r="I615" s="1176">
        <v>9</v>
      </c>
      <c r="J615" s="1176" t="s">
        <v>699</v>
      </c>
      <c r="K615" s="1177" t="s">
        <v>674</v>
      </c>
      <c r="L615" s="1178" t="s">
        <v>1105</v>
      </c>
      <c r="M615" s="1179">
        <v>10000000</v>
      </c>
      <c r="N615" s="1376" t="s">
        <v>779</v>
      </c>
      <c r="O615" s="1174" t="s">
        <v>771</v>
      </c>
      <c r="P615" s="1163" t="s">
        <v>678</v>
      </c>
      <c r="R615" s="1357">
        <v>10000000</v>
      </c>
      <c r="S615" s="1357">
        <v>10000000</v>
      </c>
      <c r="T615" s="1357">
        <f>+Tabla16[[#This Row],[CDPS A 31 JULIO 2022]]-Tabla16[[#This Row],[CDP]]</f>
        <v>0</v>
      </c>
      <c r="U615" s="1357"/>
      <c r="V615" s="1357"/>
      <c r="W615" s="1357"/>
    </row>
    <row r="616" spans="1:23" s="1207" customFormat="1" ht="45" hidden="1" customHeight="1" x14ac:dyDescent="0.3">
      <c r="A616" s="1355">
        <v>2022638</v>
      </c>
      <c r="B616" s="1172">
        <v>7658</v>
      </c>
      <c r="C616" s="1356" t="s">
        <v>679</v>
      </c>
      <c r="D616" s="1190" t="s">
        <v>695</v>
      </c>
      <c r="E616" s="1202">
        <v>80111600</v>
      </c>
      <c r="F616" s="1202" t="s">
        <v>1275</v>
      </c>
      <c r="G616" s="1377">
        <v>44688</v>
      </c>
      <c r="H616" s="1377">
        <v>44688</v>
      </c>
      <c r="I616" s="1176">
        <v>2.5</v>
      </c>
      <c r="J616" s="1176" t="s">
        <v>673</v>
      </c>
      <c r="K616" s="1177" t="s">
        <v>674</v>
      </c>
      <c r="L616" s="1178" t="s">
        <v>675</v>
      </c>
      <c r="M616" s="1179">
        <v>10500000</v>
      </c>
      <c r="N616" s="1376" t="s">
        <v>765</v>
      </c>
      <c r="O616" s="1174" t="s">
        <v>764</v>
      </c>
      <c r="P616" s="1163" t="s">
        <v>748</v>
      </c>
      <c r="R616" s="1357">
        <v>10500000</v>
      </c>
      <c r="S616" s="1357">
        <v>10500000</v>
      </c>
      <c r="T616" s="1357">
        <f>+Tabla16[[#This Row],[CDPS A 31 JULIO 2022]]-Tabla16[[#This Row],[CDP]]</f>
        <v>0</v>
      </c>
      <c r="U616" s="1357">
        <v>10500000</v>
      </c>
      <c r="V616" s="1357">
        <v>4200000</v>
      </c>
      <c r="W616" s="1357"/>
    </row>
    <row r="617" spans="1:23" s="1207" customFormat="1" ht="45" hidden="1" customHeight="1" x14ac:dyDescent="0.3">
      <c r="A617" s="1355">
        <v>2022639</v>
      </c>
      <c r="B617" s="1172">
        <v>7658</v>
      </c>
      <c r="C617" s="1356" t="s">
        <v>679</v>
      </c>
      <c r="D617" s="1190" t="s">
        <v>692</v>
      </c>
      <c r="E617" s="1174" t="s">
        <v>1051</v>
      </c>
      <c r="F617" s="1379" t="s">
        <v>1276</v>
      </c>
      <c r="G617" s="1380">
        <v>44682</v>
      </c>
      <c r="H617" s="1380">
        <v>44711</v>
      </c>
      <c r="I617" s="1176">
        <v>1</v>
      </c>
      <c r="J617" s="1176" t="s">
        <v>645</v>
      </c>
      <c r="K617" s="1177" t="s">
        <v>674</v>
      </c>
      <c r="L617" s="1178" t="s">
        <v>675</v>
      </c>
      <c r="M617" s="1179">
        <v>66036232</v>
      </c>
      <c r="N617" s="1376" t="s">
        <v>768</v>
      </c>
      <c r="O617" s="1174" t="s">
        <v>767</v>
      </c>
      <c r="P617" s="1207" t="s">
        <v>748</v>
      </c>
      <c r="R617" s="1357">
        <v>66036232</v>
      </c>
      <c r="S617" s="1357">
        <v>66036232</v>
      </c>
      <c r="T617" s="1357">
        <f>+Tabla16[[#This Row],[CDPS A 31 JULIO 2022]]-Tabla16[[#This Row],[CDP]]</f>
        <v>0</v>
      </c>
      <c r="U617" s="1357">
        <v>66036232</v>
      </c>
      <c r="V617" s="1357">
        <v>65695743</v>
      </c>
      <c r="W617" s="1357"/>
    </row>
    <row r="618" spans="1:23" s="1207" customFormat="1" ht="87.65" hidden="1" customHeight="1" x14ac:dyDescent="0.3">
      <c r="A618" s="1355">
        <v>2022640</v>
      </c>
      <c r="B618" s="1172">
        <v>7637</v>
      </c>
      <c r="C618" s="1356" t="s">
        <v>643</v>
      </c>
      <c r="D618" s="1190" t="s">
        <v>671</v>
      </c>
      <c r="E618" s="1174">
        <v>43222600</v>
      </c>
      <c r="F618" s="1379" t="s">
        <v>1277</v>
      </c>
      <c r="G618" s="1380">
        <v>44682</v>
      </c>
      <c r="H618" s="1380">
        <v>44712</v>
      </c>
      <c r="I618" s="1176">
        <v>6</v>
      </c>
      <c r="J618" s="1176" t="s">
        <v>696</v>
      </c>
      <c r="K618" s="1177" t="s">
        <v>770</v>
      </c>
      <c r="L618" s="1178" t="s">
        <v>735</v>
      </c>
      <c r="M618" s="1179">
        <v>278282277</v>
      </c>
      <c r="N618" s="1189" t="s">
        <v>676</v>
      </c>
      <c r="O618" s="1174" t="s">
        <v>677</v>
      </c>
      <c r="P618" s="1207" t="s">
        <v>678</v>
      </c>
      <c r="Q618" s="1163" t="s">
        <v>1278</v>
      </c>
      <c r="R618" s="1357">
        <v>556564554</v>
      </c>
      <c r="S618" s="1357">
        <v>556564554</v>
      </c>
      <c r="T618" s="1357">
        <f>+Tabla16[[#This Row],[CDPS A 31 JULIO 2022]]-Tabla16[[#This Row],[CDP]]</f>
        <v>0</v>
      </c>
      <c r="U618" s="1357"/>
      <c r="V618" s="1357"/>
      <c r="W618" s="1357"/>
    </row>
    <row r="619" spans="1:23" s="1207" customFormat="1" ht="45" hidden="1" customHeight="1" x14ac:dyDescent="0.3">
      <c r="A619" s="1355">
        <v>2022641</v>
      </c>
      <c r="B619" s="1172">
        <v>7658</v>
      </c>
      <c r="C619" s="1356" t="s">
        <v>679</v>
      </c>
      <c r="D619" s="1190" t="s">
        <v>692</v>
      </c>
      <c r="E619" s="1202">
        <v>80111600</v>
      </c>
      <c r="F619" s="1202" t="s">
        <v>1279</v>
      </c>
      <c r="G619" s="1380">
        <v>44682</v>
      </c>
      <c r="H619" s="1380">
        <v>44712</v>
      </c>
      <c r="I619" s="1176">
        <v>2</v>
      </c>
      <c r="J619" s="1176" t="s">
        <v>673</v>
      </c>
      <c r="K619" s="1177" t="s">
        <v>674</v>
      </c>
      <c r="L619" s="1178" t="s">
        <v>675</v>
      </c>
      <c r="M619" s="1179">
        <v>10300000</v>
      </c>
      <c r="N619" s="1376" t="s">
        <v>768</v>
      </c>
      <c r="O619" s="1174" t="s">
        <v>767</v>
      </c>
      <c r="P619" s="1207" t="s">
        <v>748</v>
      </c>
      <c r="Q619" s="1163" t="s">
        <v>1280</v>
      </c>
      <c r="R619" s="1357">
        <v>10300000</v>
      </c>
      <c r="S619" s="1357">
        <v>10300000</v>
      </c>
      <c r="T619" s="1357">
        <f>+Tabla16[[#This Row],[CDPS A 31 JULIO 2022]]-Tabla16[[#This Row],[CDP]]</f>
        <v>0</v>
      </c>
      <c r="U619" s="1357">
        <v>10300000</v>
      </c>
      <c r="V619" s="1357">
        <v>3948333</v>
      </c>
      <c r="W619" s="1357"/>
    </row>
    <row r="620" spans="1:23" s="1207" customFormat="1" ht="45" customHeight="1" x14ac:dyDescent="0.3">
      <c r="A620" s="1398">
        <v>2022642</v>
      </c>
      <c r="B620" s="1399">
        <v>7658</v>
      </c>
      <c r="C620" s="1400" t="s">
        <v>679</v>
      </c>
      <c r="D620" s="1401" t="s">
        <v>692</v>
      </c>
      <c r="E620" s="1422">
        <v>80111600</v>
      </c>
      <c r="F620" s="1422" t="s">
        <v>4687</v>
      </c>
      <c r="G620" s="1404">
        <v>44819</v>
      </c>
      <c r="H620" s="1404">
        <v>44819</v>
      </c>
      <c r="I620" s="1405">
        <v>4</v>
      </c>
      <c r="J620" s="1405" t="s">
        <v>673</v>
      </c>
      <c r="K620" s="1406" t="s">
        <v>674</v>
      </c>
      <c r="L620" s="1407" t="s">
        <v>675</v>
      </c>
      <c r="M620" s="1408">
        <f>(6*4500000)-8950000-4550000</f>
        <v>13500000</v>
      </c>
      <c r="N620" s="1409" t="s">
        <v>768</v>
      </c>
      <c r="O620" s="1402" t="s">
        <v>767</v>
      </c>
      <c r="P620" s="1410" t="s">
        <v>678</v>
      </c>
      <c r="Q620" s="1163"/>
      <c r="R620" s="1357">
        <v>27000000</v>
      </c>
      <c r="S620" s="1357">
        <v>27000000</v>
      </c>
      <c r="T620" s="1357">
        <f>+Tabla16[[#This Row],[CDPS A 31 JULIO 2022]]-Tabla16[[#This Row],[CDP]]</f>
        <v>0</v>
      </c>
      <c r="U620" s="1357"/>
      <c r="V620" s="1357"/>
      <c r="W620" s="1357"/>
    </row>
    <row r="621" spans="1:23" s="1207" customFormat="1" ht="45" hidden="1" customHeight="1" x14ac:dyDescent="0.3">
      <c r="A621" s="1355">
        <v>2022643</v>
      </c>
      <c r="B621" s="1172">
        <v>7658</v>
      </c>
      <c r="C621" s="1356" t="s">
        <v>679</v>
      </c>
      <c r="D621" s="1190" t="s">
        <v>692</v>
      </c>
      <c r="E621" s="1202">
        <v>80111600</v>
      </c>
      <c r="F621" s="1202" t="s">
        <v>1281</v>
      </c>
      <c r="G621" s="1380">
        <v>44743</v>
      </c>
      <c r="H621" s="1380">
        <v>44773</v>
      </c>
      <c r="I621" s="1176">
        <v>6</v>
      </c>
      <c r="J621" s="1176" t="s">
        <v>673</v>
      </c>
      <c r="K621" s="1177" t="s">
        <v>674</v>
      </c>
      <c r="L621" s="1178" t="s">
        <v>675</v>
      </c>
      <c r="M621" s="1179">
        <f t="shared" ref="M621:M636" si="0">2750000*6</f>
        <v>16500000</v>
      </c>
      <c r="N621" s="1376" t="s">
        <v>768</v>
      </c>
      <c r="O621" s="1174" t="s">
        <v>767</v>
      </c>
      <c r="P621" s="1207" t="s">
        <v>678</v>
      </c>
      <c r="Q621" s="1163"/>
      <c r="R621" s="1357">
        <v>16500000</v>
      </c>
      <c r="S621" s="1357">
        <v>16500000</v>
      </c>
      <c r="T621" s="1357">
        <f>+Tabla16[[#This Row],[CDPS A 31 JULIO 2022]]-Tabla16[[#This Row],[CDP]]</f>
        <v>0</v>
      </c>
      <c r="U621" s="1357"/>
      <c r="V621" s="1357"/>
      <c r="W621" s="1357"/>
    </row>
    <row r="622" spans="1:23" s="1207" customFormat="1" ht="45" hidden="1" customHeight="1" x14ac:dyDescent="0.3">
      <c r="A622" s="1355">
        <v>2022644</v>
      </c>
      <c r="B622" s="1172">
        <v>7658</v>
      </c>
      <c r="C622" s="1356" t="s">
        <v>679</v>
      </c>
      <c r="D622" s="1190" t="s">
        <v>692</v>
      </c>
      <c r="E622" s="1202">
        <v>80111600</v>
      </c>
      <c r="F622" s="1202" t="s">
        <v>1281</v>
      </c>
      <c r="G622" s="1380">
        <v>44743</v>
      </c>
      <c r="H622" s="1380">
        <v>44773</v>
      </c>
      <c r="I622" s="1176">
        <v>6</v>
      </c>
      <c r="J622" s="1176" t="s">
        <v>673</v>
      </c>
      <c r="K622" s="1177" t="s">
        <v>674</v>
      </c>
      <c r="L622" s="1178" t="s">
        <v>675</v>
      </c>
      <c r="M622" s="1179">
        <f t="shared" si="0"/>
        <v>16500000</v>
      </c>
      <c r="N622" s="1376" t="s">
        <v>768</v>
      </c>
      <c r="O622" s="1174" t="s">
        <v>767</v>
      </c>
      <c r="P622" s="1207" t="s">
        <v>678</v>
      </c>
      <c r="Q622" s="1163"/>
      <c r="R622" s="1357">
        <v>16500000</v>
      </c>
      <c r="S622" s="1357">
        <v>16500000</v>
      </c>
      <c r="T622" s="1357">
        <f>+Tabla16[[#This Row],[CDPS A 31 JULIO 2022]]-Tabla16[[#This Row],[CDP]]</f>
        <v>0</v>
      </c>
      <c r="U622" s="1357"/>
      <c r="V622" s="1357"/>
      <c r="W622" s="1357"/>
    </row>
    <row r="623" spans="1:23" s="1207" customFormat="1" ht="45" hidden="1" customHeight="1" x14ac:dyDescent="0.3">
      <c r="A623" s="1355">
        <v>2022645</v>
      </c>
      <c r="B623" s="1172">
        <v>7658</v>
      </c>
      <c r="C623" s="1356" t="s">
        <v>679</v>
      </c>
      <c r="D623" s="1190" t="s">
        <v>692</v>
      </c>
      <c r="E623" s="1202">
        <v>80111600</v>
      </c>
      <c r="F623" s="1202" t="s">
        <v>1281</v>
      </c>
      <c r="G623" s="1380">
        <v>44743</v>
      </c>
      <c r="H623" s="1380">
        <v>44773</v>
      </c>
      <c r="I623" s="1176">
        <v>6</v>
      </c>
      <c r="J623" s="1176" t="s">
        <v>673</v>
      </c>
      <c r="K623" s="1177" t="s">
        <v>674</v>
      </c>
      <c r="L623" s="1178" t="s">
        <v>675</v>
      </c>
      <c r="M623" s="1179">
        <f t="shared" si="0"/>
        <v>16500000</v>
      </c>
      <c r="N623" s="1376" t="s">
        <v>768</v>
      </c>
      <c r="O623" s="1174" t="s">
        <v>767</v>
      </c>
      <c r="P623" s="1207" t="s">
        <v>678</v>
      </c>
      <c r="Q623" s="1163"/>
      <c r="R623" s="1357">
        <v>16500000</v>
      </c>
      <c r="S623" s="1357">
        <v>16500000</v>
      </c>
      <c r="T623" s="1357">
        <f>+Tabla16[[#This Row],[CDPS A 31 JULIO 2022]]-Tabla16[[#This Row],[CDP]]</f>
        <v>0</v>
      </c>
      <c r="U623" s="1357"/>
      <c r="V623" s="1357"/>
      <c r="W623" s="1357"/>
    </row>
    <row r="624" spans="1:23" s="1207" customFormat="1" ht="45" hidden="1" customHeight="1" x14ac:dyDescent="0.3">
      <c r="A624" s="1355">
        <v>2022646</v>
      </c>
      <c r="B624" s="1172">
        <v>7658</v>
      </c>
      <c r="C624" s="1356" t="s">
        <v>679</v>
      </c>
      <c r="D624" s="1190" t="s">
        <v>692</v>
      </c>
      <c r="E624" s="1202">
        <v>80111600</v>
      </c>
      <c r="F624" s="1202" t="s">
        <v>1281</v>
      </c>
      <c r="G624" s="1380">
        <v>44743</v>
      </c>
      <c r="H624" s="1380">
        <v>44773</v>
      </c>
      <c r="I624" s="1176">
        <v>6</v>
      </c>
      <c r="J624" s="1176" t="s">
        <v>673</v>
      </c>
      <c r="K624" s="1177" t="s">
        <v>674</v>
      </c>
      <c r="L624" s="1178" t="s">
        <v>675</v>
      </c>
      <c r="M624" s="1179">
        <f t="shared" si="0"/>
        <v>16500000</v>
      </c>
      <c r="N624" s="1376" t="s">
        <v>768</v>
      </c>
      <c r="O624" s="1174" t="s">
        <v>767</v>
      </c>
      <c r="P624" s="1207" t="s">
        <v>678</v>
      </c>
      <c r="Q624" s="1163"/>
      <c r="R624" s="1357">
        <v>16500000</v>
      </c>
      <c r="S624" s="1357">
        <v>16500000</v>
      </c>
      <c r="T624" s="1357">
        <f>+Tabla16[[#This Row],[CDPS A 31 JULIO 2022]]-Tabla16[[#This Row],[CDP]]</f>
        <v>0</v>
      </c>
      <c r="U624" s="1357"/>
      <c r="V624" s="1357"/>
      <c r="W624" s="1357"/>
    </row>
    <row r="625" spans="1:23" s="1207" customFormat="1" ht="45" hidden="1" customHeight="1" x14ac:dyDescent="0.3">
      <c r="A625" s="1355">
        <v>2022647</v>
      </c>
      <c r="B625" s="1172">
        <v>7658</v>
      </c>
      <c r="C625" s="1356" t="s">
        <v>679</v>
      </c>
      <c r="D625" s="1190" t="s">
        <v>692</v>
      </c>
      <c r="E625" s="1202">
        <v>80111600</v>
      </c>
      <c r="F625" s="1202" t="s">
        <v>1281</v>
      </c>
      <c r="G625" s="1380">
        <v>44743</v>
      </c>
      <c r="H625" s="1380">
        <v>44773</v>
      </c>
      <c r="I625" s="1176">
        <v>6</v>
      </c>
      <c r="J625" s="1176" t="s">
        <v>673</v>
      </c>
      <c r="K625" s="1177" t="s">
        <v>674</v>
      </c>
      <c r="L625" s="1178" t="s">
        <v>675</v>
      </c>
      <c r="M625" s="1179">
        <f t="shared" si="0"/>
        <v>16500000</v>
      </c>
      <c r="N625" s="1376" t="s">
        <v>768</v>
      </c>
      <c r="O625" s="1174" t="s">
        <v>767</v>
      </c>
      <c r="P625" s="1207" t="s">
        <v>678</v>
      </c>
      <c r="Q625" s="1163"/>
      <c r="R625" s="1357">
        <v>16500000</v>
      </c>
      <c r="S625" s="1357">
        <v>16500000</v>
      </c>
      <c r="T625" s="1357">
        <f>+Tabla16[[#This Row],[CDPS A 31 JULIO 2022]]-Tabla16[[#This Row],[CDP]]</f>
        <v>0</v>
      </c>
      <c r="U625" s="1357"/>
      <c r="V625" s="1357"/>
      <c r="W625" s="1357"/>
    </row>
    <row r="626" spans="1:23" s="1207" customFormat="1" ht="45" hidden="1" customHeight="1" x14ac:dyDescent="0.3">
      <c r="A626" s="1355">
        <v>2022648</v>
      </c>
      <c r="B626" s="1172">
        <v>7658</v>
      </c>
      <c r="C626" s="1356" t="s">
        <v>679</v>
      </c>
      <c r="D626" s="1190" t="s">
        <v>692</v>
      </c>
      <c r="E626" s="1202">
        <v>80111600</v>
      </c>
      <c r="F626" s="1202" t="s">
        <v>1281</v>
      </c>
      <c r="G626" s="1380">
        <v>44743</v>
      </c>
      <c r="H626" s="1380">
        <v>44773</v>
      </c>
      <c r="I626" s="1176">
        <v>6</v>
      </c>
      <c r="J626" s="1176" t="s">
        <v>673</v>
      </c>
      <c r="K626" s="1177" t="s">
        <v>674</v>
      </c>
      <c r="L626" s="1178" t="s">
        <v>675</v>
      </c>
      <c r="M626" s="1179">
        <f t="shared" si="0"/>
        <v>16500000</v>
      </c>
      <c r="N626" s="1376" t="s">
        <v>768</v>
      </c>
      <c r="O626" s="1174" t="s">
        <v>767</v>
      </c>
      <c r="P626" s="1207" t="s">
        <v>678</v>
      </c>
      <c r="Q626" s="1163"/>
      <c r="R626" s="1357">
        <v>16500000</v>
      </c>
      <c r="S626" s="1357">
        <v>16500000</v>
      </c>
      <c r="T626" s="1357">
        <f>+Tabla16[[#This Row],[CDPS A 31 JULIO 2022]]-Tabla16[[#This Row],[CDP]]</f>
        <v>0</v>
      </c>
      <c r="U626" s="1357"/>
      <c r="V626" s="1357"/>
      <c r="W626" s="1357"/>
    </row>
    <row r="627" spans="1:23" s="1207" customFormat="1" ht="45" hidden="1" customHeight="1" x14ac:dyDescent="0.3">
      <c r="A627" s="1355">
        <v>2022649</v>
      </c>
      <c r="B627" s="1172">
        <v>7658</v>
      </c>
      <c r="C627" s="1356" t="s">
        <v>679</v>
      </c>
      <c r="D627" s="1190" t="s">
        <v>692</v>
      </c>
      <c r="E627" s="1202">
        <v>80111600</v>
      </c>
      <c r="F627" s="1202" t="s">
        <v>1281</v>
      </c>
      <c r="G627" s="1380">
        <v>44743</v>
      </c>
      <c r="H627" s="1380">
        <v>44773</v>
      </c>
      <c r="I627" s="1176">
        <v>6</v>
      </c>
      <c r="J627" s="1176" t="s">
        <v>673</v>
      </c>
      <c r="K627" s="1177" t="s">
        <v>674</v>
      </c>
      <c r="L627" s="1178" t="s">
        <v>675</v>
      </c>
      <c r="M627" s="1179">
        <f t="shared" si="0"/>
        <v>16500000</v>
      </c>
      <c r="N627" s="1376" t="s">
        <v>768</v>
      </c>
      <c r="O627" s="1174" t="s">
        <v>767</v>
      </c>
      <c r="P627" s="1207" t="s">
        <v>678</v>
      </c>
      <c r="Q627" s="1163"/>
      <c r="R627" s="1357">
        <v>16500000</v>
      </c>
      <c r="S627" s="1357">
        <v>16500000</v>
      </c>
      <c r="T627" s="1357">
        <f>+Tabla16[[#This Row],[CDPS A 31 JULIO 2022]]-Tabla16[[#This Row],[CDP]]</f>
        <v>0</v>
      </c>
      <c r="U627" s="1357"/>
      <c r="V627" s="1357"/>
      <c r="W627" s="1357"/>
    </row>
    <row r="628" spans="1:23" s="1207" customFormat="1" ht="45" hidden="1" customHeight="1" x14ac:dyDescent="0.3">
      <c r="A628" s="1355">
        <v>2022650</v>
      </c>
      <c r="B628" s="1172">
        <v>7658</v>
      </c>
      <c r="C628" s="1356" t="s">
        <v>679</v>
      </c>
      <c r="D628" s="1190" t="s">
        <v>692</v>
      </c>
      <c r="E628" s="1202">
        <v>80111600</v>
      </c>
      <c r="F628" s="1202" t="s">
        <v>1281</v>
      </c>
      <c r="G628" s="1380">
        <v>44743</v>
      </c>
      <c r="H628" s="1380">
        <v>44773</v>
      </c>
      <c r="I628" s="1176">
        <v>6</v>
      </c>
      <c r="J628" s="1176" t="s">
        <v>673</v>
      </c>
      <c r="K628" s="1177" t="s">
        <v>674</v>
      </c>
      <c r="L628" s="1178" t="s">
        <v>675</v>
      </c>
      <c r="M628" s="1179">
        <f t="shared" si="0"/>
        <v>16500000</v>
      </c>
      <c r="N628" s="1376" t="s">
        <v>768</v>
      </c>
      <c r="O628" s="1174" t="s">
        <v>767</v>
      </c>
      <c r="P628" s="1207" t="s">
        <v>678</v>
      </c>
      <c r="Q628" s="1163"/>
      <c r="R628" s="1357">
        <v>16500000</v>
      </c>
      <c r="S628" s="1357">
        <v>16500000</v>
      </c>
      <c r="T628" s="1357">
        <f>+Tabla16[[#This Row],[CDPS A 31 JULIO 2022]]-Tabla16[[#This Row],[CDP]]</f>
        <v>0</v>
      </c>
      <c r="U628" s="1357"/>
      <c r="V628" s="1357"/>
      <c r="W628" s="1357"/>
    </row>
    <row r="629" spans="1:23" s="1207" customFormat="1" ht="45" hidden="1" customHeight="1" x14ac:dyDescent="0.3">
      <c r="A629" s="1355">
        <v>2022651</v>
      </c>
      <c r="B629" s="1172">
        <v>7658</v>
      </c>
      <c r="C629" s="1356" t="s">
        <v>679</v>
      </c>
      <c r="D629" s="1190" t="s">
        <v>692</v>
      </c>
      <c r="E629" s="1202">
        <v>80111600</v>
      </c>
      <c r="F629" s="1202" t="s">
        <v>1281</v>
      </c>
      <c r="G629" s="1380">
        <v>44743</v>
      </c>
      <c r="H629" s="1380">
        <v>44773</v>
      </c>
      <c r="I629" s="1176">
        <v>6</v>
      </c>
      <c r="J629" s="1176" t="s">
        <v>673</v>
      </c>
      <c r="K629" s="1177" t="s">
        <v>674</v>
      </c>
      <c r="L629" s="1178" t="s">
        <v>675</v>
      </c>
      <c r="M629" s="1179">
        <f t="shared" si="0"/>
        <v>16500000</v>
      </c>
      <c r="N629" s="1376" t="s">
        <v>768</v>
      </c>
      <c r="O629" s="1174" t="s">
        <v>767</v>
      </c>
      <c r="P629" s="1207" t="s">
        <v>678</v>
      </c>
      <c r="Q629" s="1163"/>
      <c r="R629" s="1357">
        <v>16500000</v>
      </c>
      <c r="S629" s="1357">
        <v>16500000</v>
      </c>
      <c r="T629" s="1357">
        <f>+Tabla16[[#This Row],[CDPS A 31 JULIO 2022]]-Tabla16[[#This Row],[CDP]]</f>
        <v>0</v>
      </c>
      <c r="U629" s="1357"/>
      <c r="V629" s="1357"/>
      <c r="W629" s="1357"/>
    </row>
    <row r="630" spans="1:23" s="1207" customFormat="1" ht="45" hidden="1" customHeight="1" x14ac:dyDescent="0.3">
      <c r="A630" s="1355">
        <v>2022652</v>
      </c>
      <c r="B630" s="1172">
        <v>7658</v>
      </c>
      <c r="C630" s="1356" t="s">
        <v>679</v>
      </c>
      <c r="D630" s="1190" t="s">
        <v>692</v>
      </c>
      <c r="E630" s="1202">
        <v>80111600</v>
      </c>
      <c r="F630" s="1202" t="s">
        <v>1281</v>
      </c>
      <c r="G630" s="1380">
        <v>44743</v>
      </c>
      <c r="H630" s="1380">
        <v>44773</v>
      </c>
      <c r="I630" s="1176">
        <v>6</v>
      </c>
      <c r="J630" s="1176" t="s">
        <v>673</v>
      </c>
      <c r="K630" s="1177" t="s">
        <v>674</v>
      </c>
      <c r="L630" s="1178" t="s">
        <v>675</v>
      </c>
      <c r="M630" s="1179">
        <f t="shared" si="0"/>
        <v>16500000</v>
      </c>
      <c r="N630" s="1376" t="s">
        <v>768</v>
      </c>
      <c r="O630" s="1174" t="s">
        <v>767</v>
      </c>
      <c r="P630" s="1207" t="s">
        <v>678</v>
      </c>
      <c r="Q630" s="1163"/>
      <c r="R630" s="1357">
        <v>16500000</v>
      </c>
      <c r="S630" s="1357">
        <v>16500000</v>
      </c>
      <c r="T630" s="1357">
        <f>+Tabla16[[#This Row],[CDPS A 31 JULIO 2022]]-Tabla16[[#This Row],[CDP]]</f>
        <v>0</v>
      </c>
      <c r="U630" s="1357"/>
      <c r="V630" s="1357"/>
      <c r="W630" s="1357"/>
    </row>
    <row r="631" spans="1:23" s="1207" customFormat="1" ht="45" hidden="1" customHeight="1" x14ac:dyDescent="0.3">
      <c r="A631" s="1355">
        <v>2022653</v>
      </c>
      <c r="B631" s="1172">
        <v>7658</v>
      </c>
      <c r="C631" s="1356" t="s">
        <v>679</v>
      </c>
      <c r="D631" s="1190" t="s">
        <v>692</v>
      </c>
      <c r="E631" s="1202">
        <v>80111600</v>
      </c>
      <c r="F631" s="1202" t="s">
        <v>1281</v>
      </c>
      <c r="G631" s="1380">
        <v>44743</v>
      </c>
      <c r="H631" s="1380">
        <v>44773</v>
      </c>
      <c r="I631" s="1176">
        <v>6</v>
      </c>
      <c r="J631" s="1176" t="s">
        <v>673</v>
      </c>
      <c r="K631" s="1177" t="s">
        <v>674</v>
      </c>
      <c r="L631" s="1178" t="s">
        <v>675</v>
      </c>
      <c r="M631" s="1179">
        <f t="shared" si="0"/>
        <v>16500000</v>
      </c>
      <c r="N631" s="1376" t="s">
        <v>768</v>
      </c>
      <c r="O631" s="1174" t="s">
        <v>767</v>
      </c>
      <c r="P631" s="1207" t="s">
        <v>678</v>
      </c>
      <c r="Q631" s="1163"/>
      <c r="R631" s="1357">
        <v>16500000</v>
      </c>
      <c r="S631" s="1357">
        <v>16500000</v>
      </c>
      <c r="T631" s="1357">
        <f>+Tabla16[[#This Row],[CDPS A 31 JULIO 2022]]-Tabla16[[#This Row],[CDP]]</f>
        <v>0</v>
      </c>
      <c r="U631" s="1357"/>
      <c r="V631" s="1357"/>
      <c r="W631" s="1357"/>
    </row>
    <row r="632" spans="1:23" s="1207" customFormat="1" ht="45" hidden="1" customHeight="1" x14ac:dyDescent="0.3">
      <c r="A632" s="1355">
        <v>2022654</v>
      </c>
      <c r="B632" s="1172">
        <v>7658</v>
      </c>
      <c r="C632" s="1356" t="s">
        <v>679</v>
      </c>
      <c r="D632" s="1190" t="s">
        <v>692</v>
      </c>
      <c r="E632" s="1202">
        <v>80111600</v>
      </c>
      <c r="F632" s="1202" t="s">
        <v>1281</v>
      </c>
      <c r="G632" s="1380">
        <v>44743</v>
      </c>
      <c r="H632" s="1380">
        <v>44773</v>
      </c>
      <c r="I632" s="1176">
        <v>6</v>
      </c>
      <c r="J632" s="1176" t="s">
        <v>673</v>
      </c>
      <c r="K632" s="1177" t="s">
        <v>674</v>
      </c>
      <c r="L632" s="1178" t="s">
        <v>675</v>
      </c>
      <c r="M632" s="1179">
        <f t="shared" si="0"/>
        <v>16500000</v>
      </c>
      <c r="N632" s="1376" t="s">
        <v>768</v>
      </c>
      <c r="O632" s="1174" t="s">
        <v>767</v>
      </c>
      <c r="P632" s="1207" t="s">
        <v>678</v>
      </c>
      <c r="Q632" s="1163"/>
      <c r="R632" s="1357">
        <v>16500000</v>
      </c>
      <c r="S632" s="1357">
        <v>16500000</v>
      </c>
      <c r="T632" s="1357">
        <f>+Tabla16[[#This Row],[CDPS A 31 JULIO 2022]]-Tabla16[[#This Row],[CDP]]</f>
        <v>0</v>
      </c>
      <c r="U632" s="1357"/>
      <c r="V632" s="1357"/>
      <c r="W632" s="1357"/>
    </row>
    <row r="633" spans="1:23" s="1207" customFormat="1" ht="45" hidden="1" customHeight="1" x14ac:dyDescent="0.3">
      <c r="A633" s="1355">
        <v>2022655</v>
      </c>
      <c r="B633" s="1172">
        <v>7658</v>
      </c>
      <c r="C633" s="1356" t="s">
        <v>679</v>
      </c>
      <c r="D633" s="1190" t="s">
        <v>692</v>
      </c>
      <c r="E633" s="1202">
        <v>80111600</v>
      </c>
      <c r="F633" s="1202" t="s">
        <v>1281</v>
      </c>
      <c r="G633" s="1380">
        <v>44743</v>
      </c>
      <c r="H633" s="1380">
        <v>44773</v>
      </c>
      <c r="I633" s="1176">
        <v>6</v>
      </c>
      <c r="J633" s="1176" t="s">
        <v>673</v>
      </c>
      <c r="K633" s="1177" t="s">
        <v>674</v>
      </c>
      <c r="L633" s="1178" t="s">
        <v>675</v>
      </c>
      <c r="M633" s="1179">
        <f t="shared" si="0"/>
        <v>16500000</v>
      </c>
      <c r="N633" s="1376" t="s">
        <v>768</v>
      </c>
      <c r="O633" s="1174" t="s">
        <v>767</v>
      </c>
      <c r="P633" s="1207" t="s">
        <v>678</v>
      </c>
      <c r="Q633" s="1163"/>
      <c r="R633" s="1357">
        <v>16500000</v>
      </c>
      <c r="S633" s="1357">
        <v>16500000</v>
      </c>
      <c r="T633" s="1357">
        <f>+Tabla16[[#This Row],[CDPS A 31 JULIO 2022]]-Tabla16[[#This Row],[CDP]]</f>
        <v>0</v>
      </c>
      <c r="U633" s="1357"/>
      <c r="V633" s="1357"/>
      <c r="W633" s="1357"/>
    </row>
    <row r="634" spans="1:23" s="1207" customFormat="1" ht="45" hidden="1" customHeight="1" x14ac:dyDescent="0.3">
      <c r="A634" s="1355">
        <v>2022656</v>
      </c>
      <c r="B634" s="1172">
        <v>7658</v>
      </c>
      <c r="C634" s="1356" t="s">
        <v>679</v>
      </c>
      <c r="D634" s="1190" t="s">
        <v>692</v>
      </c>
      <c r="E634" s="1202">
        <v>80111600</v>
      </c>
      <c r="F634" s="1202" t="s">
        <v>1281</v>
      </c>
      <c r="G634" s="1380">
        <v>44743</v>
      </c>
      <c r="H634" s="1380">
        <v>44773</v>
      </c>
      <c r="I634" s="1176">
        <v>6</v>
      </c>
      <c r="J634" s="1176" t="s">
        <v>673</v>
      </c>
      <c r="K634" s="1177" t="s">
        <v>674</v>
      </c>
      <c r="L634" s="1178" t="s">
        <v>675</v>
      </c>
      <c r="M634" s="1179">
        <f t="shared" si="0"/>
        <v>16500000</v>
      </c>
      <c r="N634" s="1376" t="s">
        <v>768</v>
      </c>
      <c r="O634" s="1174" t="s">
        <v>767</v>
      </c>
      <c r="P634" s="1207" t="s">
        <v>678</v>
      </c>
      <c r="Q634" s="1163"/>
      <c r="R634" s="1357">
        <v>16500000</v>
      </c>
      <c r="S634" s="1357">
        <v>16500000</v>
      </c>
      <c r="T634" s="1357">
        <f>+Tabla16[[#This Row],[CDPS A 31 JULIO 2022]]-Tabla16[[#This Row],[CDP]]</f>
        <v>0</v>
      </c>
      <c r="U634" s="1357"/>
      <c r="V634" s="1357"/>
      <c r="W634" s="1357"/>
    </row>
    <row r="635" spans="1:23" s="1207" customFormat="1" ht="45" hidden="1" customHeight="1" x14ac:dyDescent="0.3">
      <c r="A635" s="1355">
        <v>2022657</v>
      </c>
      <c r="B635" s="1172">
        <v>7658</v>
      </c>
      <c r="C635" s="1356" t="s">
        <v>679</v>
      </c>
      <c r="D635" s="1190" t="s">
        <v>692</v>
      </c>
      <c r="E635" s="1202">
        <v>80111600</v>
      </c>
      <c r="F635" s="1202" t="s">
        <v>1281</v>
      </c>
      <c r="G635" s="1380">
        <v>44743</v>
      </c>
      <c r="H635" s="1380">
        <v>44773</v>
      </c>
      <c r="I635" s="1176">
        <v>6</v>
      </c>
      <c r="J635" s="1176" t="s">
        <v>673</v>
      </c>
      <c r="K635" s="1177" t="s">
        <v>674</v>
      </c>
      <c r="L635" s="1178" t="s">
        <v>675</v>
      </c>
      <c r="M635" s="1179">
        <f t="shared" si="0"/>
        <v>16500000</v>
      </c>
      <c r="N635" s="1376" t="s">
        <v>768</v>
      </c>
      <c r="O635" s="1174" t="s">
        <v>767</v>
      </c>
      <c r="P635" s="1207" t="s">
        <v>678</v>
      </c>
      <c r="Q635" s="1163"/>
      <c r="R635" s="1357">
        <v>16500000</v>
      </c>
      <c r="S635" s="1357">
        <v>16500000</v>
      </c>
      <c r="T635" s="1357">
        <f>+Tabla16[[#This Row],[CDPS A 31 JULIO 2022]]-Tabla16[[#This Row],[CDP]]</f>
        <v>0</v>
      </c>
      <c r="U635" s="1357"/>
      <c r="V635" s="1357"/>
      <c r="W635" s="1357"/>
    </row>
    <row r="636" spans="1:23" s="1207" customFormat="1" ht="45" hidden="1" customHeight="1" x14ac:dyDescent="0.3">
      <c r="A636" s="1355">
        <v>2022658</v>
      </c>
      <c r="B636" s="1172">
        <v>7658</v>
      </c>
      <c r="C636" s="1356" t="s">
        <v>679</v>
      </c>
      <c r="D636" s="1190" t="s">
        <v>692</v>
      </c>
      <c r="E636" s="1202">
        <v>80111600</v>
      </c>
      <c r="F636" s="1202" t="s">
        <v>1281</v>
      </c>
      <c r="G636" s="1380">
        <v>44743</v>
      </c>
      <c r="H636" s="1380">
        <v>44773</v>
      </c>
      <c r="I636" s="1176">
        <v>6</v>
      </c>
      <c r="J636" s="1176" t="s">
        <v>673</v>
      </c>
      <c r="K636" s="1177" t="s">
        <v>674</v>
      </c>
      <c r="L636" s="1178" t="s">
        <v>675</v>
      </c>
      <c r="M636" s="1179">
        <f t="shared" si="0"/>
        <v>16500000</v>
      </c>
      <c r="N636" s="1376" t="s">
        <v>768</v>
      </c>
      <c r="O636" s="1174" t="s">
        <v>767</v>
      </c>
      <c r="P636" s="1207" t="s">
        <v>678</v>
      </c>
      <c r="Q636" s="1163"/>
      <c r="R636" s="1357">
        <v>16500000</v>
      </c>
      <c r="S636" s="1357">
        <v>16500000</v>
      </c>
      <c r="T636" s="1357">
        <f>+Tabla16[[#This Row],[CDPS A 31 JULIO 2022]]-Tabla16[[#This Row],[CDP]]</f>
        <v>0</v>
      </c>
      <c r="U636" s="1357"/>
      <c r="V636" s="1357"/>
      <c r="W636" s="1357"/>
    </row>
    <row r="637" spans="1:23" s="1207" customFormat="1" ht="45" hidden="1" customHeight="1" x14ac:dyDescent="0.3">
      <c r="A637" s="1355">
        <v>2022659</v>
      </c>
      <c r="B637" s="1172">
        <v>7658</v>
      </c>
      <c r="C637" s="1356" t="s">
        <v>679</v>
      </c>
      <c r="D637" s="1190" t="s">
        <v>692</v>
      </c>
      <c r="E637" s="1202">
        <v>80111600</v>
      </c>
      <c r="F637" s="1190" t="s">
        <v>1282</v>
      </c>
      <c r="G637" s="1380">
        <v>44682</v>
      </c>
      <c r="H637" s="1380">
        <v>44712</v>
      </c>
      <c r="I637" s="1176">
        <v>10</v>
      </c>
      <c r="J637" s="1176" t="s">
        <v>673</v>
      </c>
      <c r="K637" s="1177" t="s">
        <v>674</v>
      </c>
      <c r="L637" s="1178" t="s">
        <v>675</v>
      </c>
      <c r="M637" s="1179">
        <f>(4850000*2)-6305000</f>
        <v>3395000</v>
      </c>
      <c r="N637" s="1376" t="s">
        <v>768</v>
      </c>
      <c r="O637" s="1174" t="s">
        <v>767</v>
      </c>
      <c r="P637" s="1207" t="s">
        <v>748</v>
      </c>
      <c r="Q637" s="1163" t="s">
        <v>1283</v>
      </c>
      <c r="R637" s="1357">
        <v>9700000</v>
      </c>
      <c r="S637" s="1357">
        <v>9700000</v>
      </c>
      <c r="T637" s="1357">
        <f>+Tabla16[[#This Row],[CDPS A 31 JULIO 2022]]-Tabla16[[#This Row],[CDP]]</f>
        <v>0</v>
      </c>
      <c r="U637" s="1357">
        <v>9700000</v>
      </c>
      <c r="V637" s="1357"/>
      <c r="W637" s="1357"/>
    </row>
    <row r="638" spans="1:23" s="1207" customFormat="1" ht="45" hidden="1" customHeight="1" x14ac:dyDescent="0.3">
      <c r="A638" s="1355">
        <v>2022661</v>
      </c>
      <c r="B638" s="1172" t="s">
        <v>459</v>
      </c>
      <c r="C638" s="1356"/>
      <c r="D638" s="1190" t="s">
        <v>689</v>
      </c>
      <c r="E638" s="1174" t="s">
        <v>97</v>
      </c>
      <c r="F638" s="1379" t="s">
        <v>1284</v>
      </c>
      <c r="G638" s="1380">
        <v>44722</v>
      </c>
      <c r="H638" s="1380">
        <v>44697</v>
      </c>
      <c r="I638" s="1176">
        <v>2</v>
      </c>
      <c r="J638" s="1176" t="s">
        <v>645</v>
      </c>
      <c r="K638" s="1177" t="s">
        <v>674</v>
      </c>
      <c r="L638" s="1178" t="s">
        <v>97</v>
      </c>
      <c r="M638" s="1179">
        <f>225179326+82565753+110037631+22517933+45035865+10058010</f>
        <v>495394518</v>
      </c>
      <c r="N638" s="1376"/>
      <c r="O638" s="1174"/>
      <c r="P638" s="1207" t="s">
        <v>757</v>
      </c>
      <c r="R638" s="1357"/>
      <c r="S638" s="1357"/>
      <c r="T638" s="1357">
        <f>+Tabla16[[#This Row],[CDPS A 31 JULIO 2022]]-Tabla16[[#This Row],[CDP]]</f>
        <v>0</v>
      </c>
      <c r="U638" s="1357"/>
      <c r="V638" s="1357"/>
      <c r="W638" s="1357"/>
    </row>
    <row r="639" spans="1:23" s="1207" customFormat="1" ht="45" hidden="1" customHeight="1" x14ac:dyDescent="0.3">
      <c r="A639" s="1355">
        <v>2022662</v>
      </c>
      <c r="B639" s="1172" t="s">
        <v>459</v>
      </c>
      <c r="C639" s="1356"/>
      <c r="D639" s="1190" t="s">
        <v>689</v>
      </c>
      <c r="E639" s="1202" t="s">
        <v>1285</v>
      </c>
      <c r="F639" s="1190" t="s">
        <v>1286</v>
      </c>
      <c r="G639" s="1377">
        <v>44774</v>
      </c>
      <c r="H639" s="1377">
        <v>44742</v>
      </c>
      <c r="I639" s="1176">
        <v>8</v>
      </c>
      <c r="J639" s="1176" t="s">
        <v>699</v>
      </c>
      <c r="K639" s="1177" t="s">
        <v>674</v>
      </c>
      <c r="L639" s="1178"/>
      <c r="M639" s="1179">
        <v>41115467</v>
      </c>
      <c r="N639" s="1376"/>
      <c r="O639" s="1174"/>
      <c r="P639" s="1207" t="s">
        <v>678</v>
      </c>
      <c r="R639" s="1357"/>
      <c r="S639" s="1357"/>
      <c r="T639" s="1357">
        <f>+Tabla16[[#This Row],[CDPS A 31 JULIO 2022]]-Tabla16[[#This Row],[CDP]]</f>
        <v>0</v>
      </c>
      <c r="U639" s="1357"/>
      <c r="V639" s="1357"/>
      <c r="W639" s="1357"/>
    </row>
    <row r="640" spans="1:23" s="1207" customFormat="1" ht="45" customHeight="1" x14ac:dyDescent="0.3">
      <c r="A640" s="1398">
        <v>2022663</v>
      </c>
      <c r="B640" s="1399">
        <v>7658</v>
      </c>
      <c r="C640" s="1400" t="s">
        <v>679</v>
      </c>
      <c r="D640" s="1401" t="s">
        <v>689</v>
      </c>
      <c r="E640" s="1422" t="s">
        <v>1287</v>
      </c>
      <c r="F640" s="1426" t="s">
        <v>1288</v>
      </c>
      <c r="G640" s="1421">
        <v>44795</v>
      </c>
      <c r="H640" s="1421">
        <v>44711</v>
      </c>
      <c r="I640" s="1405">
        <v>6</v>
      </c>
      <c r="J640" s="1405" t="s">
        <v>696</v>
      </c>
      <c r="K640" s="1406" t="s">
        <v>674</v>
      </c>
      <c r="L640" s="1407" t="s">
        <v>981</v>
      </c>
      <c r="M640" s="1408">
        <f>500000000-200000000</f>
        <v>300000000</v>
      </c>
      <c r="N640" s="1409" t="s">
        <v>772</v>
      </c>
      <c r="O640" s="1402" t="s">
        <v>771</v>
      </c>
      <c r="P640" s="1411" t="s">
        <v>678</v>
      </c>
      <c r="R640" s="1269">
        <v>0</v>
      </c>
      <c r="S640" s="1357"/>
      <c r="T640" s="1357">
        <f>+Tabla16[[#This Row],[CDPS A 31 JULIO 2022]]-Tabla16[[#This Row],[CDP]]</f>
        <v>0</v>
      </c>
      <c r="U640" s="1357"/>
      <c r="V640" s="1357"/>
      <c r="W640" s="1357"/>
    </row>
    <row r="641" spans="1:23" s="1207" customFormat="1" ht="45" hidden="1" customHeight="1" x14ac:dyDescent="0.3">
      <c r="A641" s="1355">
        <v>2022664</v>
      </c>
      <c r="B641" s="1172">
        <v>7658</v>
      </c>
      <c r="C641" s="1356" t="s">
        <v>679</v>
      </c>
      <c r="D641" s="1190" t="s">
        <v>689</v>
      </c>
      <c r="E641" s="1202" t="s">
        <v>1289</v>
      </c>
      <c r="F641" s="1378" t="s">
        <v>1290</v>
      </c>
      <c r="G641" s="1377">
        <v>44732</v>
      </c>
      <c r="H641" s="1377">
        <v>44711</v>
      </c>
      <c r="I641" s="1176">
        <v>2</v>
      </c>
      <c r="J641" s="1176" t="s">
        <v>699</v>
      </c>
      <c r="K641" s="1177" t="s">
        <v>674</v>
      </c>
      <c r="L641" s="1178" t="s">
        <v>981</v>
      </c>
      <c r="M641" s="1179">
        <v>14000000</v>
      </c>
      <c r="N641" s="1376" t="s">
        <v>772</v>
      </c>
      <c r="O641" s="1174" t="s">
        <v>771</v>
      </c>
      <c r="P641" s="1163" t="s">
        <v>678</v>
      </c>
      <c r="R641" s="1357">
        <v>14000000</v>
      </c>
      <c r="S641" s="1357">
        <v>14000000</v>
      </c>
      <c r="T641" s="1357">
        <f>+Tabla16[[#This Row],[CDPS A 31 JULIO 2022]]-Tabla16[[#This Row],[CDP]]</f>
        <v>0</v>
      </c>
      <c r="U641" s="1357"/>
      <c r="V641" s="1357"/>
      <c r="W641" s="1357"/>
    </row>
    <row r="642" spans="1:23" s="1207" customFormat="1" ht="45" hidden="1" customHeight="1" x14ac:dyDescent="0.3">
      <c r="A642" s="1355">
        <v>2022665</v>
      </c>
      <c r="B642" s="1172">
        <v>7658</v>
      </c>
      <c r="C642" s="1356" t="s">
        <v>679</v>
      </c>
      <c r="D642" s="1190" t="s">
        <v>692</v>
      </c>
      <c r="E642" s="1202" t="s">
        <v>1291</v>
      </c>
      <c r="F642" s="1190" t="s">
        <v>1292</v>
      </c>
      <c r="G642" s="1377">
        <v>44748</v>
      </c>
      <c r="H642" s="1377">
        <v>44774</v>
      </c>
      <c r="I642" s="1176">
        <v>1</v>
      </c>
      <c r="J642" s="1176" t="s">
        <v>699</v>
      </c>
      <c r="K642" s="1177" t="s">
        <v>674</v>
      </c>
      <c r="L642" s="1178" t="s">
        <v>675</v>
      </c>
      <c r="M642" s="1179">
        <f>45000000-2280785</f>
        <v>42719215</v>
      </c>
      <c r="N642" s="1391" t="s">
        <v>768</v>
      </c>
      <c r="O642" s="1202" t="s">
        <v>767</v>
      </c>
      <c r="P642" s="1163" t="s">
        <v>678</v>
      </c>
      <c r="R642" s="1357">
        <v>42719215</v>
      </c>
      <c r="S642" s="1357">
        <v>45000000</v>
      </c>
      <c r="T642" s="1357">
        <f>+Tabla16[[#This Row],[CDPS A 31 JULIO 2022]]-Tabla16[[#This Row],[CDP]]</f>
        <v>-2280785</v>
      </c>
      <c r="U642" s="1357"/>
      <c r="V642" s="1357"/>
      <c r="W642" s="1357"/>
    </row>
    <row r="643" spans="1:23" s="1207" customFormat="1" ht="45" hidden="1" customHeight="1" x14ac:dyDescent="0.3">
      <c r="A643" s="1355">
        <v>2022666</v>
      </c>
      <c r="B643" s="1172">
        <v>7658</v>
      </c>
      <c r="C643" s="1356" t="s">
        <v>679</v>
      </c>
      <c r="D643" s="1190" t="s">
        <v>698</v>
      </c>
      <c r="E643" s="1174">
        <v>50192700</v>
      </c>
      <c r="F643" s="1379" t="s">
        <v>1293</v>
      </c>
      <c r="G643" s="1380">
        <v>44722</v>
      </c>
      <c r="H643" s="1380">
        <v>44722</v>
      </c>
      <c r="I643" s="1176">
        <v>3</v>
      </c>
      <c r="J643" s="1176" t="s">
        <v>699</v>
      </c>
      <c r="K643" s="1177" t="s">
        <v>674</v>
      </c>
      <c r="L643" s="1178" t="s">
        <v>1111</v>
      </c>
      <c r="M643" s="1179">
        <v>10000000</v>
      </c>
      <c r="N643" s="1376" t="s">
        <v>779</v>
      </c>
      <c r="O643" s="1174" t="s">
        <v>771</v>
      </c>
      <c r="P643" s="1163" t="s">
        <v>678</v>
      </c>
      <c r="R643" s="1357">
        <v>10000000</v>
      </c>
      <c r="S643" s="1357">
        <v>10000000</v>
      </c>
      <c r="T643" s="1357">
        <f>+Tabla16[[#This Row],[CDPS A 31 JULIO 2022]]-Tabla16[[#This Row],[CDP]]</f>
        <v>0</v>
      </c>
      <c r="U643" s="1357"/>
      <c r="V643" s="1357"/>
      <c r="W643" s="1357"/>
    </row>
    <row r="644" spans="1:23" s="1207" customFormat="1" ht="45" hidden="1" customHeight="1" x14ac:dyDescent="0.3">
      <c r="A644" s="1355">
        <v>2022667</v>
      </c>
      <c r="B644" s="1172">
        <v>7658</v>
      </c>
      <c r="C644" s="1356" t="s">
        <v>679</v>
      </c>
      <c r="D644" s="1190" t="s">
        <v>698</v>
      </c>
      <c r="E644" s="1174">
        <v>80111600</v>
      </c>
      <c r="F644" s="1379" t="s">
        <v>1294</v>
      </c>
      <c r="G644" s="1380">
        <v>44743</v>
      </c>
      <c r="H644" s="1380">
        <v>44757</v>
      </c>
      <c r="I644" s="1176">
        <v>6</v>
      </c>
      <c r="J644" s="1176" t="s">
        <v>673</v>
      </c>
      <c r="K644" s="1177" t="s">
        <v>674</v>
      </c>
      <c r="L644" s="1178" t="s">
        <v>675</v>
      </c>
      <c r="M644" s="1179">
        <v>15400000</v>
      </c>
      <c r="N644" s="1376" t="s">
        <v>784</v>
      </c>
      <c r="O644" s="1174" t="s">
        <v>771</v>
      </c>
      <c r="P644" s="1163" t="s">
        <v>678</v>
      </c>
      <c r="R644" s="1357">
        <v>15400000</v>
      </c>
      <c r="S644" s="1357"/>
      <c r="T644" s="1357">
        <f>+Tabla16[[#This Row],[CDPS A 31 JULIO 2022]]-Tabla16[[#This Row],[CDP]]</f>
        <v>15400000</v>
      </c>
      <c r="U644" s="1357"/>
      <c r="V644" s="1357"/>
      <c r="W644" s="1357"/>
    </row>
    <row r="645" spans="1:23" s="1207" customFormat="1" ht="45" hidden="1" customHeight="1" x14ac:dyDescent="0.3">
      <c r="A645" s="1355">
        <v>2022668</v>
      </c>
      <c r="B645" s="1172">
        <v>7637</v>
      </c>
      <c r="C645" s="1356" t="s">
        <v>643</v>
      </c>
      <c r="D645" s="1190" t="s">
        <v>671</v>
      </c>
      <c r="E645" s="1202">
        <v>81112401</v>
      </c>
      <c r="F645" s="1202" t="s">
        <v>1267</v>
      </c>
      <c r="G645" s="1377">
        <v>44713</v>
      </c>
      <c r="H645" s="1377">
        <v>44727</v>
      </c>
      <c r="I645" s="1176">
        <v>1</v>
      </c>
      <c r="J645" s="1176" t="s">
        <v>720</v>
      </c>
      <c r="K645" s="1177" t="s">
        <v>674</v>
      </c>
      <c r="L645" s="1178" t="s">
        <v>729</v>
      </c>
      <c r="M645" s="1179">
        <v>13361620</v>
      </c>
      <c r="N645" s="1189" t="s">
        <v>676</v>
      </c>
      <c r="O645" s="1174" t="s">
        <v>677</v>
      </c>
      <c r="P645" s="1163" t="s">
        <v>748</v>
      </c>
      <c r="R645" s="1269">
        <v>13361620</v>
      </c>
      <c r="S645" s="1357">
        <v>13361620</v>
      </c>
      <c r="T645" s="1357">
        <f>+Tabla16[[#This Row],[CDPS A 31 JULIO 2022]]-Tabla16[[#This Row],[CDP]]</f>
        <v>0</v>
      </c>
      <c r="U645" s="1357"/>
      <c r="V645" s="1357"/>
      <c r="W645" s="1357"/>
    </row>
    <row r="646" spans="1:23" s="1207" customFormat="1" ht="45" hidden="1" customHeight="1" x14ac:dyDescent="0.3">
      <c r="A646" s="1355">
        <v>2022669</v>
      </c>
      <c r="B646" s="1172">
        <v>7637</v>
      </c>
      <c r="C646" s="1356" t="s">
        <v>643</v>
      </c>
      <c r="D646" s="1190" t="s">
        <v>671</v>
      </c>
      <c r="E646" s="1174">
        <v>81112401</v>
      </c>
      <c r="F646" s="1379" t="s">
        <v>1295</v>
      </c>
      <c r="G646" s="1380">
        <v>44713</v>
      </c>
      <c r="H646" s="1380">
        <v>44727</v>
      </c>
      <c r="I646" s="1176">
        <v>1</v>
      </c>
      <c r="J646" s="1176" t="s">
        <v>720</v>
      </c>
      <c r="K646" s="1177" t="s">
        <v>674</v>
      </c>
      <c r="L646" s="1178" t="s">
        <v>729</v>
      </c>
      <c r="M646" s="1179">
        <v>945888</v>
      </c>
      <c r="N646" s="1189" t="s">
        <v>676</v>
      </c>
      <c r="O646" s="1174" t="s">
        <v>677</v>
      </c>
      <c r="P646" s="1163" t="s">
        <v>748</v>
      </c>
      <c r="R646" s="1269">
        <v>945888</v>
      </c>
      <c r="S646" s="1357">
        <v>945888</v>
      </c>
      <c r="T646" s="1357">
        <f>+Tabla16[[#This Row],[CDPS A 31 JULIO 2022]]-Tabla16[[#This Row],[CDP]]</f>
        <v>0</v>
      </c>
      <c r="U646" s="1357"/>
      <c r="V646" s="1357"/>
      <c r="W646" s="1357"/>
    </row>
    <row r="647" spans="1:23" s="1207" customFormat="1" ht="45" hidden="1" customHeight="1" x14ac:dyDescent="0.3">
      <c r="A647" s="1355">
        <v>2022670</v>
      </c>
      <c r="B647" s="1172">
        <v>7637</v>
      </c>
      <c r="C647" s="1356" t="s">
        <v>643</v>
      </c>
      <c r="D647" s="1173" t="s">
        <v>671</v>
      </c>
      <c r="E647" s="1174" t="s">
        <v>1296</v>
      </c>
      <c r="F647" s="1379" t="s">
        <v>1297</v>
      </c>
      <c r="G647" s="1380">
        <v>44774</v>
      </c>
      <c r="H647" s="1380">
        <v>44804</v>
      </c>
      <c r="I647" s="1176">
        <v>4</v>
      </c>
      <c r="J647" s="1176" t="s">
        <v>673</v>
      </c>
      <c r="K647" s="1177" t="s">
        <v>674</v>
      </c>
      <c r="L647" s="1178" t="s">
        <v>729</v>
      </c>
      <c r="M647" s="1179">
        <f>1281233+848867</f>
        <v>2130100</v>
      </c>
      <c r="N647" s="1189" t="s">
        <v>765</v>
      </c>
      <c r="O647" s="1174" t="s">
        <v>677</v>
      </c>
      <c r="P647" s="1163" t="s">
        <v>757</v>
      </c>
      <c r="R647" s="1269">
        <v>2130100</v>
      </c>
      <c r="S647" s="1357">
        <v>1281233</v>
      </c>
      <c r="T647" s="1357">
        <f>+Tabla16[[#This Row],[CDPS A 31 JULIO 2022]]-Tabla16[[#This Row],[CDP]]</f>
        <v>848867</v>
      </c>
      <c r="U647" s="1357"/>
      <c r="V647" s="1357"/>
      <c r="W647" s="1357"/>
    </row>
    <row r="648" spans="1:23" s="1207" customFormat="1" ht="45" hidden="1" customHeight="1" x14ac:dyDescent="0.3">
      <c r="A648" s="1355">
        <v>2022671</v>
      </c>
      <c r="B648" s="1172">
        <v>7637</v>
      </c>
      <c r="C648" s="1356" t="s">
        <v>643</v>
      </c>
      <c r="D648" s="1173" t="s">
        <v>671</v>
      </c>
      <c r="E648" s="1202">
        <v>40101701</v>
      </c>
      <c r="F648" s="1202" t="s">
        <v>1298</v>
      </c>
      <c r="G648" s="1377">
        <v>44727</v>
      </c>
      <c r="H648" s="1377">
        <v>44757</v>
      </c>
      <c r="I648" s="1176">
        <v>2</v>
      </c>
      <c r="J648" s="1176" t="s">
        <v>720</v>
      </c>
      <c r="K648" s="1177" t="s">
        <v>674</v>
      </c>
      <c r="L648" s="1268" t="s">
        <v>729</v>
      </c>
      <c r="M648" s="1179">
        <v>5000000</v>
      </c>
      <c r="N648" s="1189" t="s">
        <v>676</v>
      </c>
      <c r="O648" s="1174" t="s">
        <v>677</v>
      </c>
      <c r="P648" s="1163" t="s">
        <v>678</v>
      </c>
      <c r="R648" s="1269">
        <v>5000000</v>
      </c>
      <c r="S648" s="1357">
        <v>5000000</v>
      </c>
      <c r="T648" s="1357">
        <f>+Tabla16[[#This Row],[CDPS A 31 JULIO 2022]]-Tabla16[[#This Row],[CDP]]</f>
        <v>0</v>
      </c>
      <c r="U648" s="1357"/>
      <c r="V648" s="1357"/>
      <c r="W648" s="1357"/>
    </row>
    <row r="649" spans="1:23" s="1207" customFormat="1" ht="45" hidden="1" customHeight="1" x14ac:dyDescent="0.3">
      <c r="A649" s="1355">
        <v>2022672</v>
      </c>
      <c r="B649" s="1172">
        <v>7658</v>
      </c>
      <c r="C649" s="1356" t="s">
        <v>679</v>
      </c>
      <c r="D649" s="1190" t="s">
        <v>692</v>
      </c>
      <c r="E649" s="1202">
        <v>80111600</v>
      </c>
      <c r="F649" s="1190" t="s">
        <v>1299</v>
      </c>
      <c r="G649" s="1377">
        <v>44743</v>
      </c>
      <c r="H649" s="1377">
        <v>44926</v>
      </c>
      <c r="I649" s="1176">
        <v>5</v>
      </c>
      <c r="J649" s="1176" t="s">
        <v>673</v>
      </c>
      <c r="K649" s="1177" t="s">
        <v>674</v>
      </c>
      <c r="L649" s="1178" t="s">
        <v>675</v>
      </c>
      <c r="M649" s="1179">
        <f>8000000*5</f>
        <v>40000000</v>
      </c>
      <c r="N649" s="1391" t="s">
        <v>768</v>
      </c>
      <c r="O649" s="1202" t="s">
        <v>767</v>
      </c>
      <c r="P649" s="1163" t="s">
        <v>678</v>
      </c>
      <c r="Q649" s="1207" t="s">
        <v>1300</v>
      </c>
      <c r="R649" s="1357">
        <v>40000000</v>
      </c>
      <c r="S649" s="1357"/>
      <c r="T649" s="1357">
        <f>+Tabla16[[#This Row],[CDPS A 31 JULIO 2022]]-Tabla16[[#This Row],[CDP]]</f>
        <v>40000000</v>
      </c>
      <c r="U649" s="1357"/>
      <c r="V649" s="1357"/>
      <c r="W649" s="1357"/>
    </row>
    <row r="650" spans="1:23" s="1207" customFormat="1" ht="45" hidden="1" customHeight="1" x14ac:dyDescent="0.3">
      <c r="A650" s="1355">
        <v>2022673</v>
      </c>
      <c r="B650" s="1172">
        <v>7637</v>
      </c>
      <c r="C650" s="1356" t="s">
        <v>643</v>
      </c>
      <c r="D650" s="1190" t="s">
        <v>671</v>
      </c>
      <c r="E650" s="1202">
        <v>80111600</v>
      </c>
      <c r="F650" s="1202" t="s">
        <v>1301</v>
      </c>
      <c r="G650" s="1377">
        <v>44743</v>
      </c>
      <c r="H650" s="1377">
        <v>44773</v>
      </c>
      <c r="I650" s="1176">
        <v>3</v>
      </c>
      <c r="J650" s="1176" t="s">
        <v>673</v>
      </c>
      <c r="K650" s="1177" t="s">
        <v>674</v>
      </c>
      <c r="L650" s="1178" t="s">
        <v>675</v>
      </c>
      <c r="M650" s="1179">
        <v>20400000</v>
      </c>
      <c r="N650" s="1376" t="s">
        <v>676</v>
      </c>
      <c r="O650" s="1174" t="s">
        <v>677</v>
      </c>
      <c r="P650" s="1163" t="s">
        <v>757</v>
      </c>
      <c r="R650" s="1269">
        <v>20400000</v>
      </c>
      <c r="S650" s="1357"/>
      <c r="T650" s="1357">
        <f>+Tabla16[[#This Row],[CDPS A 31 JULIO 2022]]-Tabla16[[#This Row],[CDP]]</f>
        <v>20400000</v>
      </c>
      <c r="U650" s="1357"/>
      <c r="V650" s="1357"/>
      <c r="W650" s="1357"/>
    </row>
    <row r="651" spans="1:23" s="1207" customFormat="1" ht="45" hidden="1" customHeight="1" x14ac:dyDescent="0.3">
      <c r="A651" s="1355">
        <v>2022674</v>
      </c>
      <c r="B651" s="1172">
        <v>7637</v>
      </c>
      <c r="C651" s="1356" t="s">
        <v>643</v>
      </c>
      <c r="D651" s="1190" t="s">
        <v>671</v>
      </c>
      <c r="E651" s="1202">
        <v>80111600</v>
      </c>
      <c r="F651" s="1202" t="s">
        <v>1302</v>
      </c>
      <c r="G651" s="1377">
        <v>44743</v>
      </c>
      <c r="H651" s="1377">
        <v>44773</v>
      </c>
      <c r="I651" s="1176">
        <v>3</v>
      </c>
      <c r="J651" s="1176" t="s">
        <v>673</v>
      </c>
      <c r="K651" s="1177" t="s">
        <v>674</v>
      </c>
      <c r="L651" s="1178" t="s">
        <v>675</v>
      </c>
      <c r="M651" s="1179">
        <v>15000000</v>
      </c>
      <c r="N651" s="1376" t="s">
        <v>704</v>
      </c>
      <c r="O651" s="1174" t="s">
        <v>677</v>
      </c>
      <c r="P651" s="1163" t="s">
        <v>757</v>
      </c>
      <c r="R651" s="1269">
        <v>15000000</v>
      </c>
      <c r="S651" s="1357"/>
      <c r="T651" s="1357">
        <f>+Tabla16[[#This Row],[CDPS A 31 JULIO 2022]]-Tabla16[[#This Row],[CDP]]</f>
        <v>15000000</v>
      </c>
      <c r="U651" s="1357"/>
      <c r="V651" s="1357"/>
      <c r="W651" s="1357"/>
    </row>
    <row r="652" spans="1:23" s="1207" customFormat="1" ht="45" hidden="1" customHeight="1" x14ac:dyDescent="0.3">
      <c r="A652" s="1355">
        <v>2022675</v>
      </c>
      <c r="B652" s="1172">
        <v>7637</v>
      </c>
      <c r="C652" s="1356" t="s">
        <v>643</v>
      </c>
      <c r="D652" s="1190" t="s">
        <v>671</v>
      </c>
      <c r="E652" s="1202">
        <v>72151600</v>
      </c>
      <c r="F652" s="1202" t="s">
        <v>1303</v>
      </c>
      <c r="G652" s="1377">
        <v>44752</v>
      </c>
      <c r="H652" s="1377">
        <v>44746</v>
      </c>
      <c r="I652" s="1176">
        <v>2</v>
      </c>
      <c r="J652" s="1176" t="s">
        <v>673</v>
      </c>
      <c r="K652" s="1177" t="s">
        <v>674</v>
      </c>
      <c r="L652" s="1178" t="s">
        <v>735</v>
      </c>
      <c r="M652" s="1179">
        <v>29100000</v>
      </c>
      <c r="N652" s="1376" t="s">
        <v>676</v>
      </c>
      <c r="O652" s="1174" t="s">
        <v>677</v>
      </c>
      <c r="P652" s="1163" t="s">
        <v>678</v>
      </c>
      <c r="R652" s="1269">
        <v>0</v>
      </c>
      <c r="S652" s="1357"/>
      <c r="T652" s="1357">
        <f>+Tabla16[[#This Row],[CDPS A 31 JULIO 2022]]-Tabla16[[#This Row],[CDP]]</f>
        <v>0</v>
      </c>
      <c r="U652" s="1357"/>
      <c r="V652" s="1357"/>
      <c r="W652" s="1357"/>
    </row>
    <row r="653" spans="1:23" s="1207" customFormat="1" ht="45" hidden="1" customHeight="1" x14ac:dyDescent="0.3">
      <c r="A653" s="1355">
        <v>2022676</v>
      </c>
      <c r="B653" s="1172">
        <v>7637</v>
      </c>
      <c r="C653" s="1356" t="s">
        <v>643</v>
      </c>
      <c r="D653" s="1190" t="s">
        <v>671</v>
      </c>
      <c r="E653" s="1202" t="s">
        <v>1304</v>
      </c>
      <c r="F653" s="1202" t="s">
        <v>1305</v>
      </c>
      <c r="G653" s="1377">
        <v>44732</v>
      </c>
      <c r="H653" s="1377">
        <v>44752</v>
      </c>
      <c r="I653" s="1176">
        <v>4</v>
      </c>
      <c r="J653" s="1176" t="s">
        <v>696</v>
      </c>
      <c r="K653" s="1177" t="s">
        <v>674</v>
      </c>
      <c r="L653" s="1178" t="s">
        <v>735</v>
      </c>
      <c r="M653" s="1179">
        <v>23150000</v>
      </c>
      <c r="N653" s="1376" t="s">
        <v>676</v>
      </c>
      <c r="O653" s="1174" t="s">
        <v>677</v>
      </c>
      <c r="P653" s="1163" t="s">
        <v>757</v>
      </c>
      <c r="R653" s="1269">
        <v>23150000</v>
      </c>
      <c r="S653" s="1357"/>
      <c r="T653" s="1357">
        <f>+Tabla16[[#This Row],[CDPS A 31 JULIO 2022]]-Tabla16[[#This Row],[CDP]]</f>
        <v>23150000</v>
      </c>
      <c r="U653" s="1357"/>
      <c r="V653" s="1357"/>
      <c r="W653" s="1357"/>
    </row>
    <row r="654" spans="1:23" s="1207" customFormat="1" ht="45" customHeight="1" x14ac:dyDescent="0.3">
      <c r="A654" s="1398">
        <v>2022677</v>
      </c>
      <c r="B654" s="1399">
        <v>7637</v>
      </c>
      <c r="C654" s="1400" t="s">
        <v>643</v>
      </c>
      <c r="D654" s="1401" t="s">
        <v>671</v>
      </c>
      <c r="E654" s="1422" t="s">
        <v>1306</v>
      </c>
      <c r="F654" s="1426" t="s">
        <v>1307</v>
      </c>
      <c r="G654" s="1421">
        <v>44749</v>
      </c>
      <c r="H654" s="1421">
        <v>44781</v>
      </c>
      <c r="I654" s="1405">
        <v>6</v>
      </c>
      <c r="J654" s="1405" t="s">
        <v>683</v>
      </c>
      <c r="K654" s="1406" t="s">
        <v>674</v>
      </c>
      <c r="L654" s="1407" t="s">
        <v>735</v>
      </c>
      <c r="M654" s="1408">
        <f>120000000+10000000+55735449+12095659+7332250+146454551+1433712-35000000-10750000-230901243</f>
        <v>76400378</v>
      </c>
      <c r="N654" s="1409" t="s">
        <v>676</v>
      </c>
      <c r="O654" s="1402" t="s">
        <v>677</v>
      </c>
      <c r="P654" s="1411" t="s">
        <v>678</v>
      </c>
      <c r="R654" s="1269">
        <v>0</v>
      </c>
      <c r="S654" s="1357"/>
      <c r="T654" s="1357">
        <f>+Tabla16[[#This Row],[CDPS A 31 JULIO 2022]]-Tabla16[[#This Row],[CDP]]</f>
        <v>0</v>
      </c>
      <c r="U654" s="1357"/>
      <c r="V654" s="1357"/>
      <c r="W654" s="1357"/>
    </row>
    <row r="655" spans="1:23" s="1207" customFormat="1" ht="45" hidden="1" customHeight="1" x14ac:dyDescent="0.3">
      <c r="A655" s="1355">
        <v>2022678</v>
      </c>
      <c r="B655" s="1172">
        <v>7655</v>
      </c>
      <c r="C655" s="1356" t="s">
        <v>668</v>
      </c>
      <c r="D655" s="1190" t="s">
        <v>695</v>
      </c>
      <c r="E655" s="1202">
        <v>80111600</v>
      </c>
      <c r="F655" s="1190" t="s">
        <v>872</v>
      </c>
      <c r="G655" s="1377">
        <v>44725</v>
      </c>
      <c r="H655" s="1377">
        <v>44732</v>
      </c>
      <c r="I655" s="1176">
        <v>5</v>
      </c>
      <c r="J655" s="1176" t="s">
        <v>673</v>
      </c>
      <c r="K655" s="1177" t="s">
        <v>674</v>
      </c>
      <c r="L655" s="1178" t="s">
        <v>675</v>
      </c>
      <c r="M655" s="1179">
        <v>25000000</v>
      </c>
      <c r="N655" s="1391" t="s">
        <v>783</v>
      </c>
      <c r="O655" s="1202" t="s">
        <v>778</v>
      </c>
      <c r="P655" s="1163" t="s">
        <v>678</v>
      </c>
      <c r="R655" s="1269">
        <v>25000000</v>
      </c>
      <c r="S655" s="1357"/>
      <c r="T655" s="1357">
        <f>+Tabla16[[#This Row],[CDPS A 31 JULIO 2022]]-Tabla16[[#This Row],[CDP]]</f>
        <v>25000000</v>
      </c>
      <c r="U655" s="1357"/>
      <c r="V655" s="1357"/>
      <c r="W655" s="1357"/>
    </row>
    <row r="656" spans="1:23" s="1207" customFormat="1" ht="45" hidden="1" customHeight="1" x14ac:dyDescent="0.3">
      <c r="A656" s="1355">
        <v>2022679</v>
      </c>
      <c r="B656" s="1172">
        <v>7658</v>
      </c>
      <c r="C656" s="1356" t="s">
        <v>679</v>
      </c>
      <c r="D656" s="1190" t="s">
        <v>695</v>
      </c>
      <c r="E656" s="1202">
        <v>80111600</v>
      </c>
      <c r="F656" s="1190" t="s">
        <v>1308</v>
      </c>
      <c r="G656" s="1377">
        <v>44725</v>
      </c>
      <c r="H656" s="1377">
        <v>44732</v>
      </c>
      <c r="I656" s="1176">
        <v>5</v>
      </c>
      <c r="J656" s="1176" t="s">
        <v>673</v>
      </c>
      <c r="K656" s="1177" t="s">
        <v>674</v>
      </c>
      <c r="L656" s="1178" t="s">
        <v>675</v>
      </c>
      <c r="M656" s="1179">
        <f>4200000*5</f>
        <v>21000000</v>
      </c>
      <c r="N656" s="1391" t="s">
        <v>765</v>
      </c>
      <c r="O656" s="1202" t="s">
        <v>764</v>
      </c>
      <c r="P656" s="1163" t="s">
        <v>678</v>
      </c>
      <c r="R656" s="1357">
        <v>21000000</v>
      </c>
      <c r="S656" s="1357"/>
      <c r="T656" s="1357">
        <f>+Tabla16[[#This Row],[CDPS A 31 JULIO 2022]]-Tabla16[[#This Row],[CDP]]</f>
        <v>21000000</v>
      </c>
      <c r="U656" s="1357"/>
      <c r="V656" s="1357"/>
      <c r="W656" s="1357" t="s">
        <v>1081</v>
      </c>
    </row>
    <row r="657" spans="1:23" s="1207" customFormat="1" ht="45" hidden="1" customHeight="1" x14ac:dyDescent="0.3">
      <c r="A657" s="1355">
        <v>2022681</v>
      </c>
      <c r="B657" s="1172">
        <v>7658</v>
      </c>
      <c r="C657" s="1356" t="s">
        <v>679</v>
      </c>
      <c r="D657" s="1190" t="s">
        <v>701</v>
      </c>
      <c r="E657" s="1174">
        <v>80111600</v>
      </c>
      <c r="F657" s="1379" t="s">
        <v>1309</v>
      </c>
      <c r="G657" s="1380">
        <v>44743</v>
      </c>
      <c r="H657" s="1380">
        <v>44757</v>
      </c>
      <c r="I657" s="1176">
        <v>3</v>
      </c>
      <c r="J657" s="1176" t="s">
        <v>673</v>
      </c>
      <c r="K657" s="1177" t="s">
        <v>674</v>
      </c>
      <c r="L657" s="1178" t="s">
        <v>675</v>
      </c>
      <c r="M657" s="1179">
        <v>18000000</v>
      </c>
      <c r="N657" s="1376" t="s">
        <v>1024</v>
      </c>
      <c r="O657" s="1174" t="s">
        <v>771</v>
      </c>
      <c r="P657" s="1207" t="s">
        <v>678</v>
      </c>
      <c r="R657" s="1357">
        <v>12000000</v>
      </c>
      <c r="S657" s="1357"/>
      <c r="T657" s="1357">
        <f>+Tabla16[[#This Row],[CDPS A 31 JULIO 2022]]-Tabla16[[#This Row],[CDP]]</f>
        <v>12000000</v>
      </c>
      <c r="U657" s="1357"/>
      <c r="V657" s="1357"/>
      <c r="W657" s="1357"/>
    </row>
    <row r="658" spans="1:23" s="1207" customFormat="1" ht="45" hidden="1" customHeight="1" x14ac:dyDescent="0.3">
      <c r="A658" s="1355">
        <v>2022682</v>
      </c>
      <c r="B658" s="1172">
        <v>7658</v>
      </c>
      <c r="C658" s="1356" t="s">
        <v>679</v>
      </c>
      <c r="D658" s="1190" t="s">
        <v>701</v>
      </c>
      <c r="E658" s="1174">
        <v>80111600</v>
      </c>
      <c r="F658" s="1379" t="s">
        <v>1310</v>
      </c>
      <c r="G658" s="1380">
        <v>44778</v>
      </c>
      <c r="H658" s="1380">
        <v>44788</v>
      </c>
      <c r="I658" s="1176">
        <v>4.5</v>
      </c>
      <c r="J658" s="1176" t="s">
        <v>673</v>
      </c>
      <c r="K658" s="1177" t="s">
        <v>674</v>
      </c>
      <c r="L658" s="1178" t="s">
        <v>675</v>
      </c>
      <c r="M658" s="1179">
        <v>15075000</v>
      </c>
      <c r="N658" s="1376" t="s">
        <v>1024</v>
      </c>
      <c r="O658" s="1174" t="s">
        <v>771</v>
      </c>
      <c r="P658" s="1207" t="s">
        <v>678</v>
      </c>
      <c r="R658" s="1357">
        <v>15075000</v>
      </c>
      <c r="S658" s="1357"/>
      <c r="T658" s="1357">
        <f>+Tabla16[[#This Row],[CDPS A 31 JULIO 2022]]-Tabla16[[#This Row],[CDP]]</f>
        <v>15075000</v>
      </c>
      <c r="U658" s="1357"/>
      <c r="V658" s="1357"/>
      <c r="W658" s="1357"/>
    </row>
    <row r="659" spans="1:23" s="1207" customFormat="1" ht="45" hidden="1" customHeight="1" x14ac:dyDescent="0.3">
      <c r="A659" s="1355">
        <v>2022683</v>
      </c>
      <c r="B659" s="1172">
        <v>7658</v>
      </c>
      <c r="C659" s="1356" t="s">
        <v>679</v>
      </c>
      <c r="D659" s="1190" t="s">
        <v>692</v>
      </c>
      <c r="E659" s="1174">
        <v>80111600</v>
      </c>
      <c r="F659" s="1379" t="s">
        <v>1311</v>
      </c>
      <c r="G659" s="1380">
        <v>44743</v>
      </c>
      <c r="H659" s="1380">
        <v>44743</v>
      </c>
      <c r="I659" s="1176">
        <v>6</v>
      </c>
      <c r="J659" s="1176" t="s">
        <v>673</v>
      </c>
      <c r="K659" s="1177" t="s">
        <v>674</v>
      </c>
      <c r="L659" s="1178" t="s">
        <v>675</v>
      </c>
      <c r="M659" s="1179">
        <v>39000000</v>
      </c>
      <c r="N659" s="1376" t="s">
        <v>768</v>
      </c>
      <c r="O659" s="1174" t="s">
        <v>767</v>
      </c>
      <c r="P659" s="1163" t="s">
        <v>678</v>
      </c>
      <c r="R659" s="1357">
        <v>39000000</v>
      </c>
      <c r="S659" s="1357"/>
      <c r="T659" s="1357">
        <f>+Tabla16[[#This Row],[CDPS A 31 JULIO 2022]]-Tabla16[[#This Row],[CDP]]</f>
        <v>39000000</v>
      </c>
      <c r="U659" s="1357"/>
      <c r="V659" s="1357"/>
      <c r="W659" s="1357"/>
    </row>
    <row r="660" spans="1:23" s="1207" customFormat="1" ht="45" hidden="1" customHeight="1" x14ac:dyDescent="0.3">
      <c r="A660" s="1355">
        <v>2022684</v>
      </c>
      <c r="B660" s="1172">
        <v>7658</v>
      </c>
      <c r="C660" s="1356" t="s">
        <v>679</v>
      </c>
      <c r="D660" s="1190" t="s">
        <v>692</v>
      </c>
      <c r="E660" s="1174">
        <v>80111600</v>
      </c>
      <c r="F660" s="1379" t="s">
        <v>1085</v>
      </c>
      <c r="G660" s="1380">
        <v>44743</v>
      </c>
      <c r="H660" s="1380">
        <v>44743</v>
      </c>
      <c r="I660" s="1176">
        <v>6</v>
      </c>
      <c r="J660" s="1176" t="s">
        <v>673</v>
      </c>
      <c r="K660" s="1177" t="s">
        <v>674</v>
      </c>
      <c r="L660" s="1178" t="s">
        <v>675</v>
      </c>
      <c r="M660" s="1179">
        <v>16800000</v>
      </c>
      <c r="N660" s="1376" t="s">
        <v>768</v>
      </c>
      <c r="O660" s="1174" t="s">
        <v>767</v>
      </c>
      <c r="P660" s="1163" t="s">
        <v>678</v>
      </c>
      <c r="R660" s="1357">
        <v>14000000</v>
      </c>
      <c r="S660" s="1357"/>
      <c r="T660" s="1357">
        <f>+Tabla16[[#This Row],[CDPS A 31 JULIO 2022]]-Tabla16[[#This Row],[CDP]]</f>
        <v>14000000</v>
      </c>
      <c r="U660" s="1357"/>
      <c r="V660" s="1357"/>
      <c r="W660" s="1357"/>
    </row>
    <row r="661" spans="1:23" s="1207" customFormat="1" ht="45" hidden="1" customHeight="1" x14ac:dyDescent="0.3">
      <c r="A661" s="1355">
        <v>2022685</v>
      </c>
      <c r="B661" s="1172">
        <v>7658</v>
      </c>
      <c r="C661" s="1356" t="s">
        <v>679</v>
      </c>
      <c r="D661" s="1190" t="s">
        <v>692</v>
      </c>
      <c r="E661" s="1174">
        <v>80111600</v>
      </c>
      <c r="F661" s="1379" t="s">
        <v>1085</v>
      </c>
      <c r="G661" s="1380">
        <v>44743</v>
      </c>
      <c r="H661" s="1380">
        <v>44743</v>
      </c>
      <c r="I661" s="1176">
        <v>6</v>
      </c>
      <c r="J661" s="1176" t="s">
        <v>673</v>
      </c>
      <c r="K661" s="1177" t="s">
        <v>674</v>
      </c>
      <c r="L661" s="1178" t="s">
        <v>675</v>
      </c>
      <c r="M661" s="1179">
        <v>16800000</v>
      </c>
      <c r="N661" s="1376" t="s">
        <v>768</v>
      </c>
      <c r="O661" s="1174" t="s">
        <v>767</v>
      </c>
      <c r="P661" s="1163" t="s">
        <v>678</v>
      </c>
      <c r="R661" s="1357">
        <v>14000000</v>
      </c>
      <c r="S661" s="1357"/>
      <c r="T661" s="1357">
        <f>+Tabla16[[#This Row],[CDPS A 31 JULIO 2022]]-Tabla16[[#This Row],[CDP]]</f>
        <v>14000000</v>
      </c>
      <c r="U661" s="1357"/>
      <c r="V661" s="1357"/>
      <c r="W661" s="1357"/>
    </row>
    <row r="662" spans="1:23" s="1207" customFormat="1" ht="45" hidden="1" customHeight="1" x14ac:dyDescent="0.3">
      <c r="A662" s="1355">
        <v>2022686</v>
      </c>
      <c r="B662" s="1172">
        <v>7658</v>
      </c>
      <c r="C662" s="1356" t="s">
        <v>679</v>
      </c>
      <c r="D662" s="1190" t="s">
        <v>692</v>
      </c>
      <c r="E662" s="1174">
        <v>80111600</v>
      </c>
      <c r="F662" s="1379" t="s">
        <v>1085</v>
      </c>
      <c r="G662" s="1380">
        <v>44743</v>
      </c>
      <c r="H662" s="1380">
        <v>44743</v>
      </c>
      <c r="I662" s="1176">
        <v>6</v>
      </c>
      <c r="J662" s="1176" t="s">
        <v>673</v>
      </c>
      <c r="K662" s="1177" t="s">
        <v>674</v>
      </c>
      <c r="L662" s="1178" t="s">
        <v>675</v>
      </c>
      <c r="M662" s="1179">
        <v>16800000</v>
      </c>
      <c r="N662" s="1376" t="s">
        <v>768</v>
      </c>
      <c r="O662" s="1174" t="s">
        <v>767</v>
      </c>
      <c r="P662" s="1163" t="s">
        <v>678</v>
      </c>
      <c r="R662" s="1357">
        <v>14000000</v>
      </c>
      <c r="S662" s="1357"/>
      <c r="T662" s="1357">
        <f>+Tabla16[[#This Row],[CDPS A 31 JULIO 2022]]-Tabla16[[#This Row],[CDP]]</f>
        <v>14000000</v>
      </c>
      <c r="U662" s="1357"/>
      <c r="V662" s="1357"/>
      <c r="W662" s="1357"/>
    </row>
    <row r="663" spans="1:23" s="1207" customFormat="1" ht="45" customHeight="1" x14ac:dyDescent="0.3">
      <c r="A663" s="1398">
        <v>2022687</v>
      </c>
      <c r="B663" s="1399">
        <v>7637</v>
      </c>
      <c r="C663" s="1400" t="s">
        <v>643</v>
      </c>
      <c r="D663" s="1401" t="s">
        <v>671</v>
      </c>
      <c r="E663" s="1402">
        <v>45111616</v>
      </c>
      <c r="F663" s="1403" t="s">
        <v>1312</v>
      </c>
      <c r="G663" s="1404">
        <v>44757</v>
      </c>
      <c r="H663" s="1404">
        <v>44771</v>
      </c>
      <c r="I663" s="1405">
        <v>1</v>
      </c>
      <c r="J663" s="1405" t="s">
        <v>720</v>
      </c>
      <c r="K663" s="1406" t="s">
        <v>770</v>
      </c>
      <c r="L663" s="1407" t="s">
        <v>735</v>
      </c>
      <c r="M663" s="1408">
        <f>15317646</f>
        <v>15317646</v>
      </c>
      <c r="N663" s="1409" t="s">
        <v>676</v>
      </c>
      <c r="O663" s="1402" t="s">
        <v>677</v>
      </c>
      <c r="P663" s="1411" t="s">
        <v>678</v>
      </c>
      <c r="R663" s="1269">
        <v>0</v>
      </c>
      <c r="S663" s="1357"/>
      <c r="T663" s="1357">
        <f>+Tabla16[[#This Row],[CDPS A 31 JULIO 2022]]-Tabla16[[#This Row],[CDP]]</f>
        <v>0</v>
      </c>
      <c r="U663" s="1357"/>
      <c r="V663" s="1357"/>
      <c r="W663" s="1357"/>
    </row>
    <row r="664" spans="1:23" s="1207" customFormat="1" ht="45" hidden="1" customHeight="1" x14ac:dyDescent="0.3">
      <c r="A664" s="1355">
        <v>2022688</v>
      </c>
      <c r="B664" s="1172">
        <v>7658</v>
      </c>
      <c r="C664" s="1356" t="s">
        <v>679</v>
      </c>
      <c r="D664" s="1190" t="s">
        <v>695</v>
      </c>
      <c r="E664" s="1174">
        <v>80111600</v>
      </c>
      <c r="F664" s="1379" t="s">
        <v>1008</v>
      </c>
      <c r="G664" s="1380">
        <v>44739</v>
      </c>
      <c r="H664" s="1380">
        <v>44746</v>
      </c>
      <c r="I664" s="1176">
        <v>5</v>
      </c>
      <c r="J664" s="1176" t="s">
        <v>673</v>
      </c>
      <c r="K664" s="1177" t="s">
        <v>674</v>
      </c>
      <c r="L664" s="1178" t="s">
        <v>675</v>
      </c>
      <c r="M664" s="1179">
        <f>11550000+7700000</f>
        <v>19250000</v>
      </c>
      <c r="N664" s="1376" t="s">
        <v>765</v>
      </c>
      <c r="O664" s="1174" t="s">
        <v>764</v>
      </c>
      <c r="P664" s="1163" t="s">
        <v>678</v>
      </c>
      <c r="R664" s="1357">
        <v>19250000</v>
      </c>
      <c r="S664" s="1357"/>
      <c r="T664" s="1357">
        <f>+Tabla16[[#This Row],[CDPS A 31 JULIO 2022]]-Tabla16[[#This Row],[CDP]]</f>
        <v>19250000</v>
      </c>
      <c r="U664" s="1357"/>
      <c r="V664" s="1357"/>
      <c r="W664" s="1357"/>
    </row>
    <row r="665" spans="1:23" s="1207" customFormat="1" ht="45" hidden="1" customHeight="1" x14ac:dyDescent="0.3">
      <c r="A665" s="1355">
        <v>2022689</v>
      </c>
      <c r="B665" s="1172">
        <v>7655</v>
      </c>
      <c r="C665" s="1356" t="s">
        <v>668</v>
      </c>
      <c r="D665" s="1190" t="s">
        <v>669</v>
      </c>
      <c r="E665" s="1174">
        <v>80111600</v>
      </c>
      <c r="F665" s="1379" t="s">
        <v>918</v>
      </c>
      <c r="G665" s="1380">
        <v>44743</v>
      </c>
      <c r="H665" s="1380">
        <v>44760</v>
      </c>
      <c r="I665" s="1176">
        <v>5</v>
      </c>
      <c r="J665" s="1176" t="s">
        <v>673</v>
      </c>
      <c r="K665" s="1177" t="s">
        <v>674</v>
      </c>
      <c r="L665" s="1178" t="s">
        <v>675</v>
      </c>
      <c r="M665" s="1179">
        <v>35600000</v>
      </c>
      <c r="N665" s="1376" t="s">
        <v>783</v>
      </c>
      <c r="O665" s="1174" t="s">
        <v>778</v>
      </c>
      <c r="P665" s="1163" t="s">
        <v>678</v>
      </c>
      <c r="R665" s="1269">
        <v>35600000</v>
      </c>
      <c r="S665" s="1357"/>
      <c r="T665" s="1357">
        <f>+Tabla16[[#This Row],[CDPS A 31 JULIO 2022]]-Tabla16[[#This Row],[CDP]]</f>
        <v>35600000</v>
      </c>
      <c r="U665" s="1357"/>
      <c r="V665" s="1357"/>
      <c r="W665" s="1357"/>
    </row>
    <row r="666" spans="1:23" s="1207" customFormat="1" ht="45" hidden="1" customHeight="1" x14ac:dyDescent="0.3">
      <c r="A666" s="1355">
        <v>2022690</v>
      </c>
      <c r="B666" s="1172">
        <v>7655</v>
      </c>
      <c r="C666" s="1356" t="s">
        <v>668</v>
      </c>
      <c r="D666" s="1190" t="s">
        <v>669</v>
      </c>
      <c r="E666" s="1174">
        <v>80111600</v>
      </c>
      <c r="F666" s="1379" t="s">
        <v>927</v>
      </c>
      <c r="G666" s="1380">
        <v>44767</v>
      </c>
      <c r="H666" s="1380">
        <v>44775</v>
      </c>
      <c r="I666" s="1176">
        <v>5</v>
      </c>
      <c r="J666" s="1176" t="s">
        <v>673</v>
      </c>
      <c r="K666" s="1177" t="s">
        <v>674</v>
      </c>
      <c r="L666" s="1178" t="s">
        <v>675</v>
      </c>
      <c r="M666" s="1179">
        <v>24000000</v>
      </c>
      <c r="N666" s="1376" t="s">
        <v>783</v>
      </c>
      <c r="O666" s="1174" t="s">
        <v>778</v>
      </c>
      <c r="P666" s="1221" t="s">
        <v>678</v>
      </c>
      <c r="R666" s="1269">
        <v>24000000</v>
      </c>
      <c r="S666" s="1357"/>
      <c r="T666" s="1357">
        <f>+Tabla16[[#This Row],[CDPS A 31 JULIO 2022]]-Tabla16[[#This Row],[CDP]]</f>
        <v>24000000</v>
      </c>
      <c r="U666" s="1357"/>
      <c r="V666" s="1357"/>
      <c r="W666" s="1357"/>
    </row>
    <row r="667" spans="1:23" s="1207" customFormat="1" ht="45" hidden="1" customHeight="1" x14ac:dyDescent="0.3">
      <c r="A667" s="1355">
        <v>2022691</v>
      </c>
      <c r="B667" s="1172">
        <v>7655</v>
      </c>
      <c r="C667" s="1356" t="s">
        <v>668</v>
      </c>
      <c r="D667" s="1190" t="s">
        <v>669</v>
      </c>
      <c r="E667" s="1174">
        <v>80111600</v>
      </c>
      <c r="F667" s="1379" t="s">
        <v>1313</v>
      </c>
      <c r="G667" s="1380">
        <v>44767</v>
      </c>
      <c r="H667" s="1380">
        <v>44775</v>
      </c>
      <c r="I667" s="1176">
        <v>5</v>
      </c>
      <c r="J667" s="1176" t="s">
        <v>673</v>
      </c>
      <c r="K667" s="1177" t="s">
        <v>674</v>
      </c>
      <c r="L667" s="1178" t="s">
        <v>675</v>
      </c>
      <c r="M667" s="1179">
        <v>11500000</v>
      </c>
      <c r="N667" s="1376" t="s">
        <v>783</v>
      </c>
      <c r="O667" s="1174" t="s">
        <v>778</v>
      </c>
      <c r="P667" s="1221" t="s">
        <v>678</v>
      </c>
      <c r="R667" s="1269">
        <v>11500000</v>
      </c>
      <c r="S667" s="1357"/>
      <c r="T667" s="1357">
        <f>+Tabla16[[#This Row],[CDPS A 31 JULIO 2022]]-Tabla16[[#This Row],[CDP]]</f>
        <v>11500000</v>
      </c>
      <c r="U667" s="1357"/>
      <c r="V667" s="1357"/>
      <c r="W667" s="1357"/>
    </row>
    <row r="668" spans="1:23" s="1207" customFormat="1" ht="45" hidden="1" customHeight="1" x14ac:dyDescent="0.3">
      <c r="A668" s="1355">
        <v>2022692</v>
      </c>
      <c r="B668" s="1172">
        <v>7655</v>
      </c>
      <c r="C668" s="1356" t="s">
        <v>668</v>
      </c>
      <c r="D668" s="1190" t="s">
        <v>669</v>
      </c>
      <c r="E668" s="1174">
        <v>80111600</v>
      </c>
      <c r="F668" s="1379" t="s">
        <v>1314</v>
      </c>
      <c r="G668" s="1380">
        <v>44848</v>
      </c>
      <c r="H668" s="1380">
        <v>44848</v>
      </c>
      <c r="I668" s="1176">
        <v>2.5</v>
      </c>
      <c r="J668" s="1176" t="s">
        <v>673</v>
      </c>
      <c r="K668" s="1177" t="s">
        <v>674</v>
      </c>
      <c r="L668" s="1178" t="s">
        <v>675</v>
      </c>
      <c r="M668" s="1179">
        <v>8400000</v>
      </c>
      <c r="N668" s="1376" t="s">
        <v>783</v>
      </c>
      <c r="O668" s="1174" t="s">
        <v>778</v>
      </c>
      <c r="P668" s="1221" t="s">
        <v>678</v>
      </c>
      <c r="R668" s="1269">
        <v>0</v>
      </c>
      <c r="S668" s="1357"/>
      <c r="T668" s="1357">
        <f>+Tabla16[[#This Row],[CDPS A 31 JULIO 2022]]-Tabla16[[#This Row],[CDP]]</f>
        <v>0</v>
      </c>
      <c r="U668" s="1357"/>
      <c r="V668" s="1357"/>
      <c r="W668" s="1357"/>
    </row>
    <row r="669" spans="1:23" s="1207" customFormat="1" ht="45" hidden="1" customHeight="1" x14ac:dyDescent="0.3">
      <c r="A669" s="1355">
        <v>2022693</v>
      </c>
      <c r="B669" s="1172">
        <v>7655</v>
      </c>
      <c r="C669" s="1356" t="s">
        <v>668</v>
      </c>
      <c r="D669" s="1190" t="s">
        <v>695</v>
      </c>
      <c r="E669" s="1174">
        <v>80111600</v>
      </c>
      <c r="F669" s="1379" t="s">
        <v>865</v>
      </c>
      <c r="G669" s="1380">
        <v>44755</v>
      </c>
      <c r="H669" s="1380">
        <v>44763</v>
      </c>
      <c r="I669" s="1176">
        <v>5</v>
      </c>
      <c r="J669" s="1176" t="s">
        <v>673</v>
      </c>
      <c r="K669" s="1177" t="s">
        <v>674</v>
      </c>
      <c r="L669" s="1178" t="s">
        <v>675</v>
      </c>
      <c r="M669" s="1179">
        <f>7350000+4900000</f>
        <v>12250000</v>
      </c>
      <c r="N669" s="1376" t="s">
        <v>783</v>
      </c>
      <c r="O669" s="1174" t="s">
        <v>778</v>
      </c>
      <c r="P669" s="1163" t="s">
        <v>678</v>
      </c>
      <c r="R669" s="1269">
        <v>12250000</v>
      </c>
      <c r="S669" s="1357"/>
      <c r="T669" s="1357">
        <f>+Tabla16[[#This Row],[CDPS A 31 JULIO 2022]]-Tabla16[[#This Row],[CDP]]</f>
        <v>12250000</v>
      </c>
      <c r="U669" s="1357"/>
      <c r="V669" s="1357"/>
      <c r="W669" s="1357"/>
    </row>
    <row r="670" spans="1:23" s="1207" customFormat="1" ht="45" hidden="1" customHeight="1" x14ac:dyDescent="0.3">
      <c r="A670" s="1363">
        <v>2022694</v>
      </c>
      <c r="B670" s="1191">
        <v>7655</v>
      </c>
      <c r="C670" s="1364" t="s">
        <v>668</v>
      </c>
      <c r="D670" s="1392" t="s">
        <v>695</v>
      </c>
      <c r="E670" s="1284">
        <v>80111600</v>
      </c>
      <c r="F670" s="1444" t="s">
        <v>872</v>
      </c>
      <c r="G670" s="1393">
        <v>44760</v>
      </c>
      <c r="H670" s="1393">
        <v>44767</v>
      </c>
      <c r="I670" s="1285">
        <v>4</v>
      </c>
      <c r="J670" s="1285" t="s">
        <v>673</v>
      </c>
      <c r="K670" s="1394" t="s">
        <v>674</v>
      </c>
      <c r="L670" s="1286" t="s">
        <v>675</v>
      </c>
      <c r="M670" s="1196">
        <v>17388000</v>
      </c>
      <c r="N670" s="1395" t="s">
        <v>783</v>
      </c>
      <c r="O670" s="1284" t="s">
        <v>778</v>
      </c>
      <c r="P670" s="1163" t="s">
        <v>678</v>
      </c>
      <c r="R670" s="1269">
        <v>17388000</v>
      </c>
      <c r="S670" s="1357"/>
      <c r="T670" s="1357">
        <f>+Tabla16[[#This Row],[CDPS A 31 JULIO 2022]]-Tabla16[[#This Row],[CDP]]</f>
        <v>17388000</v>
      </c>
      <c r="U670" s="1357"/>
      <c r="V670" s="1357"/>
      <c r="W670" s="1357"/>
    </row>
    <row r="671" spans="1:23" s="1207" customFormat="1" ht="45" hidden="1" customHeight="1" x14ac:dyDescent="0.3">
      <c r="A671" s="1363">
        <v>2022695</v>
      </c>
      <c r="B671" s="1172">
        <v>7655</v>
      </c>
      <c r="C671" s="1356" t="s">
        <v>668</v>
      </c>
      <c r="D671" s="1190" t="s">
        <v>695</v>
      </c>
      <c r="E671" s="1174">
        <v>80111600</v>
      </c>
      <c r="F671" s="1379" t="s">
        <v>875</v>
      </c>
      <c r="G671" s="1380">
        <v>44767</v>
      </c>
      <c r="H671" s="1380">
        <v>44774</v>
      </c>
      <c r="I671" s="1176">
        <v>4</v>
      </c>
      <c r="J671" s="1176" t="s">
        <v>673</v>
      </c>
      <c r="K671" s="1177" t="s">
        <v>674</v>
      </c>
      <c r="L671" s="1178" t="s">
        <v>675</v>
      </c>
      <c r="M671" s="1179">
        <f>6800000+550000</f>
        <v>7350000</v>
      </c>
      <c r="N671" s="1376" t="s">
        <v>783</v>
      </c>
      <c r="O671" s="1174" t="s">
        <v>778</v>
      </c>
      <c r="P671" s="1221" t="s">
        <v>678</v>
      </c>
      <c r="R671" s="1269">
        <v>6800000</v>
      </c>
      <c r="S671" s="1357"/>
      <c r="T671" s="1357">
        <f>+Tabla16[[#This Row],[CDPS A 31 JULIO 2022]]-Tabla16[[#This Row],[CDP]]</f>
        <v>6800000</v>
      </c>
      <c r="U671" s="1357"/>
      <c r="V671" s="1357"/>
      <c r="W671" s="1357"/>
    </row>
    <row r="672" spans="1:23" s="1207" customFormat="1" ht="45" hidden="1" customHeight="1" x14ac:dyDescent="0.3">
      <c r="A672" s="1363">
        <v>2022696</v>
      </c>
      <c r="B672" s="1172">
        <v>7658</v>
      </c>
      <c r="C672" s="1356" t="s">
        <v>679</v>
      </c>
      <c r="D672" s="1190" t="s">
        <v>698</v>
      </c>
      <c r="E672" s="1174">
        <v>72101500</v>
      </c>
      <c r="F672" s="1379" t="s">
        <v>1315</v>
      </c>
      <c r="G672" s="1380">
        <v>44774</v>
      </c>
      <c r="H672" s="1380">
        <v>44788</v>
      </c>
      <c r="I672" s="1176">
        <v>6</v>
      </c>
      <c r="J672" s="1176" t="s">
        <v>673</v>
      </c>
      <c r="K672" s="1177" t="s">
        <v>674</v>
      </c>
      <c r="L672" s="1178" t="s">
        <v>957</v>
      </c>
      <c r="M672" s="1179">
        <v>28798000</v>
      </c>
      <c r="N672" s="1376" t="s">
        <v>784</v>
      </c>
      <c r="O672" s="1174" t="s">
        <v>771</v>
      </c>
      <c r="P672" s="1221" t="s">
        <v>678</v>
      </c>
      <c r="R672" s="1269">
        <v>0</v>
      </c>
      <c r="S672" s="1357"/>
      <c r="T672" s="1357">
        <f>+Tabla16[[#This Row],[CDPS A 31 JULIO 2022]]-Tabla16[[#This Row],[CDP]]</f>
        <v>0</v>
      </c>
      <c r="U672" s="1357"/>
      <c r="V672" s="1357"/>
      <c r="W672" s="1357"/>
    </row>
    <row r="673" spans="1:23" s="1207" customFormat="1" ht="45" hidden="1" customHeight="1" x14ac:dyDescent="0.3">
      <c r="A673" s="1363">
        <v>2022697</v>
      </c>
      <c r="B673" s="1172">
        <v>7658</v>
      </c>
      <c r="C673" s="1356" t="s">
        <v>679</v>
      </c>
      <c r="D673" s="1190" t="s">
        <v>698</v>
      </c>
      <c r="E673" s="1174" t="s">
        <v>1316</v>
      </c>
      <c r="F673" s="1379" t="s">
        <v>1317</v>
      </c>
      <c r="G673" s="1380">
        <v>44774</v>
      </c>
      <c r="H673" s="1380">
        <v>44788</v>
      </c>
      <c r="I673" s="1176">
        <v>6</v>
      </c>
      <c r="J673" s="1176" t="s">
        <v>673</v>
      </c>
      <c r="K673" s="1177" t="s">
        <v>674</v>
      </c>
      <c r="L673" s="1178" t="s">
        <v>957</v>
      </c>
      <c r="M673" s="1179">
        <v>46278754</v>
      </c>
      <c r="N673" s="1376" t="s">
        <v>784</v>
      </c>
      <c r="O673" s="1174" t="s">
        <v>771</v>
      </c>
      <c r="P673" s="1221" t="s">
        <v>678</v>
      </c>
      <c r="R673" s="1269">
        <v>0</v>
      </c>
      <c r="S673" s="1357"/>
      <c r="T673" s="1357">
        <f>+Tabla16[[#This Row],[CDPS A 31 JULIO 2022]]-Tabla16[[#This Row],[CDP]]</f>
        <v>0</v>
      </c>
      <c r="U673" s="1357"/>
      <c r="V673" s="1357"/>
      <c r="W673" s="1357"/>
    </row>
    <row r="674" spans="1:23" s="1207" customFormat="1" ht="45" hidden="1" customHeight="1" x14ac:dyDescent="0.3">
      <c r="A674" s="1363">
        <v>2022698</v>
      </c>
      <c r="B674" s="1172">
        <v>7658</v>
      </c>
      <c r="C674" s="1356" t="s">
        <v>679</v>
      </c>
      <c r="D674" s="1190" t="s">
        <v>698</v>
      </c>
      <c r="E674" s="1174" t="s">
        <v>1125</v>
      </c>
      <c r="F674" s="1379" t="s">
        <v>1318</v>
      </c>
      <c r="G674" s="1380">
        <v>44774</v>
      </c>
      <c r="H674" s="1380">
        <v>44788</v>
      </c>
      <c r="I674" s="1445">
        <v>6</v>
      </c>
      <c r="J674" s="1176" t="s">
        <v>673</v>
      </c>
      <c r="K674" s="1177" t="s">
        <v>674</v>
      </c>
      <c r="L674" s="1178" t="s">
        <v>957</v>
      </c>
      <c r="M674" s="1179">
        <f>80000000+19000000+1000000</f>
        <v>100000000</v>
      </c>
      <c r="N674" s="1376" t="s">
        <v>784</v>
      </c>
      <c r="O674" s="1174" t="s">
        <v>771</v>
      </c>
      <c r="P674" s="1163" t="s">
        <v>678</v>
      </c>
      <c r="R674" s="1269">
        <v>0</v>
      </c>
      <c r="S674" s="1357"/>
      <c r="T674" s="1357">
        <f>+Tabla16[[#This Row],[CDPS A 31 JULIO 2022]]-Tabla16[[#This Row],[CDP]]</f>
        <v>0</v>
      </c>
      <c r="U674" s="1357"/>
      <c r="V674" s="1357"/>
      <c r="W674" s="1357"/>
    </row>
    <row r="675" spans="1:23" s="1207" customFormat="1" ht="45" hidden="1" customHeight="1" x14ac:dyDescent="0.3">
      <c r="A675" s="1355">
        <v>2022699</v>
      </c>
      <c r="B675" s="1172">
        <v>7658</v>
      </c>
      <c r="C675" s="1356" t="s">
        <v>679</v>
      </c>
      <c r="D675" s="1190" t="s">
        <v>698</v>
      </c>
      <c r="E675" s="1174">
        <v>72101509</v>
      </c>
      <c r="F675" s="1379" t="s">
        <v>1319</v>
      </c>
      <c r="G675" s="1380">
        <v>44774</v>
      </c>
      <c r="H675" s="1380">
        <v>44788</v>
      </c>
      <c r="I675" s="1176">
        <v>6</v>
      </c>
      <c r="J675" s="1176" t="s">
        <v>673</v>
      </c>
      <c r="K675" s="1177" t="s">
        <v>674</v>
      </c>
      <c r="L675" s="1178" t="s">
        <v>957</v>
      </c>
      <c r="M675" s="1179">
        <f>40000000+30148267</f>
        <v>70148267</v>
      </c>
      <c r="N675" s="1376" t="s">
        <v>784</v>
      </c>
      <c r="O675" s="1174" t="s">
        <v>771</v>
      </c>
      <c r="P675" s="1163" t="s">
        <v>678</v>
      </c>
      <c r="R675" s="1269">
        <v>0</v>
      </c>
      <c r="S675" s="1357"/>
      <c r="T675" s="1357">
        <f>+Tabla16[[#This Row],[CDPS A 31 JULIO 2022]]-Tabla16[[#This Row],[CDP]]</f>
        <v>0</v>
      </c>
      <c r="U675" s="1357"/>
      <c r="V675" s="1357"/>
      <c r="W675" s="1357"/>
    </row>
    <row r="676" spans="1:23" s="1207" customFormat="1" ht="45" hidden="1" customHeight="1" x14ac:dyDescent="0.3">
      <c r="A676" s="1355">
        <v>2022700</v>
      </c>
      <c r="B676" s="1172">
        <v>7658</v>
      </c>
      <c r="C676" s="1356" t="s">
        <v>679</v>
      </c>
      <c r="D676" s="1190" t="s">
        <v>698</v>
      </c>
      <c r="E676" s="1174">
        <v>80111600</v>
      </c>
      <c r="F676" s="1379" t="s">
        <v>1320</v>
      </c>
      <c r="G676" s="1380">
        <v>44757</v>
      </c>
      <c r="H676" s="1380">
        <v>44762</v>
      </c>
      <c r="I676" s="1176">
        <v>6</v>
      </c>
      <c r="J676" s="1176" t="s">
        <v>673</v>
      </c>
      <c r="K676" s="1177" t="s">
        <v>674</v>
      </c>
      <c r="L676" s="1178" t="s">
        <v>675</v>
      </c>
      <c r="M676" s="1179">
        <v>20100000</v>
      </c>
      <c r="N676" s="1376" t="s">
        <v>779</v>
      </c>
      <c r="O676" s="1174" t="s">
        <v>771</v>
      </c>
      <c r="P676" s="1163" t="s">
        <v>678</v>
      </c>
      <c r="R676" s="1269">
        <v>0</v>
      </c>
      <c r="S676" s="1357"/>
      <c r="T676" s="1357">
        <f>+Tabla16[[#This Row],[CDPS A 31 JULIO 2022]]-Tabla16[[#This Row],[CDP]]</f>
        <v>0</v>
      </c>
      <c r="U676" s="1357"/>
      <c r="V676" s="1357"/>
      <c r="W676" s="1357"/>
    </row>
    <row r="677" spans="1:23" s="1207" customFormat="1" ht="45" hidden="1" customHeight="1" x14ac:dyDescent="0.3">
      <c r="A677" s="1355">
        <v>2022701</v>
      </c>
      <c r="B677" s="1172">
        <v>7658</v>
      </c>
      <c r="C677" s="1356" t="s">
        <v>679</v>
      </c>
      <c r="D677" s="1190" t="s">
        <v>698</v>
      </c>
      <c r="E677" s="1174">
        <v>80111600</v>
      </c>
      <c r="F677" s="1379" t="s">
        <v>1321</v>
      </c>
      <c r="G677" s="1380">
        <v>44757</v>
      </c>
      <c r="H677" s="1380">
        <v>44762</v>
      </c>
      <c r="I677" s="1176">
        <v>6</v>
      </c>
      <c r="J677" s="1176" t="s">
        <v>673</v>
      </c>
      <c r="K677" s="1177" t="s">
        <v>674</v>
      </c>
      <c r="L677" s="1178" t="s">
        <v>675</v>
      </c>
      <c r="M677" s="1179">
        <v>30000000</v>
      </c>
      <c r="N677" s="1376" t="s">
        <v>779</v>
      </c>
      <c r="O677" s="1174" t="s">
        <v>771</v>
      </c>
      <c r="P677" s="1163" t="s">
        <v>678</v>
      </c>
      <c r="R677" s="1357">
        <v>30000000</v>
      </c>
      <c r="S677" s="1357"/>
      <c r="T677" s="1357">
        <f>+Tabla16[[#This Row],[CDPS A 31 JULIO 2022]]-Tabla16[[#This Row],[CDP]]</f>
        <v>30000000</v>
      </c>
      <c r="U677" s="1357"/>
      <c r="V677" s="1357"/>
      <c r="W677" s="1357"/>
    </row>
    <row r="678" spans="1:23" s="1207" customFormat="1" ht="45" customHeight="1" x14ac:dyDescent="0.3">
      <c r="A678" s="1398">
        <v>2022702</v>
      </c>
      <c r="B678" s="1399">
        <v>7658</v>
      </c>
      <c r="C678" s="1400" t="s">
        <v>679</v>
      </c>
      <c r="D678" s="1401" t="s">
        <v>689</v>
      </c>
      <c r="E678" s="1402" t="s">
        <v>1322</v>
      </c>
      <c r="F678" s="1403" t="s">
        <v>1323</v>
      </c>
      <c r="G678" s="1404">
        <v>44757</v>
      </c>
      <c r="H678" s="1404">
        <v>44753</v>
      </c>
      <c r="I678" s="1405">
        <v>2.5</v>
      </c>
      <c r="J678" s="1405" t="s">
        <v>680</v>
      </c>
      <c r="K678" s="1406" t="s">
        <v>674</v>
      </c>
      <c r="L678" s="1407" t="s">
        <v>966</v>
      </c>
      <c r="M678" s="1408">
        <f>50011677-50011677</f>
        <v>0</v>
      </c>
      <c r="N678" s="1409" t="s">
        <v>772</v>
      </c>
      <c r="O678" s="1402" t="s">
        <v>771</v>
      </c>
      <c r="P678" s="1411" t="s">
        <v>757</v>
      </c>
      <c r="R678" s="1269">
        <v>0</v>
      </c>
      <c r="S678" s="1357"/>
      <c r="T678" s="1357">
        <f>+Tabla16[[#This Row],[CDPS A 31 JULIO 2022]]-Tabla16[[#This Row],[CDP]]</f>
        <v>0</v>
      </c>
      <c r="U678" s="1357"/>
      <c r="V678" s="1357"/>
      <c r="W678" s="1357"/>
    </row>
    <row r="679" spans="1:23" s="1207" customFormat="1" ht="45" customHeight="1" x14ac:dyDescent="0.3">
      <c r="A679" s="1398">
        <v>2022703</v>
      </c>
      <c r="B679" s="1399">
        <v>7658</v>
      </c>
      <c r="C679" s="1400" t="s">
        <v>679</v>
      </c>
      <c r="D679" s="1401" t="s">
        <v>689</v>
      </c>
      <c r="E679" s="1402" t="s">
        <v>1324</v>
      </c>
      <c r="F679" s="1403" t="s">
        <v>1325</v>
      </c>
      <c r="G679" s="1404">
        <v>44757</v>
      </c>
      <c r="H679" s="1404">
        <v>44753</v>
      </c>
      <c r="I679" s="1405">
        <v>2.5</v>
      </c>
      <c r="J679" s="1405" t="s">
        <v>1326</v>
      </c>
      <c r="K679" s="1406" t="s">
        <v>674</v>
      </c>
      <c r="L679" s="1407" t="s">
        <v>966</v>
      </c>
      <c r="M679" s="1408">
        <f>370857468-370857468</f>
        <v>0</v>
      </c>
      <c r="N679" s="1409" t="s">
        <v>772</v>
      </c>
      <c r="O679" s="1402" t="s">
        <v>771</v>
      </c>
      <c r="P679" s="1411" t="s">
        <v>757</v>
      </c>
      <c r="R679" s="1269">
        <v>0</v>
      </c>
      <c r="S679" s="1357"/>
      <c r="T679" s="1357">
        <f>+Tabla16[[#This Row],[CDPS A 31 JULIO 2022]]-Tabla16[[#This Row],[CDP]]</f>
        <v>0</v>
      </c>
      <c r="U679" s="1357"/>
      <c r="V679" s="1357"/>
      <c r="W679" s="1357"/>
    </row>
    <row r="680" spans="1:23" s="1207" customFormat="1" ht="45" hidden="1" customHeight="1" x14ac:dyDescent="0.3">
      <c r="A680" s="1355">
        <v>2022704</v>
      </c>
      <c r="B680" s="1172">
        <v>7658</v>
      </c>
      <c r="C680" s="1356" t="s">
        <v>679</v>
      </c>
      <c r="D680" s="1190" t="s">
        <v>689</v>
      </c>
      <c r="E680" s="1174">
        <v>80111600</v>
      </c>
      <c r="F680" s="1379" t="s">
        <v>1327</v>
      </c>
      <c r="G680" s="1380">
        <v>44770</v>
      </c>
      <c r="H680" s="1380">
        <v>44757</v>
      </c>
      <c r="I680" s="1176">
        <v>6</v>
      </c>
      <c r="J680" s="1176" t="s">
        <v>673</v>
      </c>
      <c r="K680" s="1177" t="s">
        <v>674</v>
      </c>
      <c r="L680" s="1178" t="s">
        <v>675</v>
      </c>
      <c r="M680" s="1179">
        <v>49200000</v>
      </c>
      <c r="N680" s="1376" t="s">
        <v>772</v>
      </c>
      <c r="O680" s="1174" t="s">
        <v>771</v>
      </c>
      <c r="P680" s="1163" t="s">
        <v>678</v>
      </c>
      <c r="R680" s="1357">
        <v>49200000</v>
      </c>
      <c r="S680" s="1357"/>
      <c r="T680" s="1357">
        <f>+Tabla16[[#This Row],[CDPS A 31 JULIO 2022]]-Tabla16[[#This Row],[CDP]]</f>
        <v>49200000</v>
      </c>
      <c r="U680" s="1357"/>
      <c r="V680" s="1357"/>
      <c r="W680" s="1357"/>
    </row>
    <row r="681" spans="1:23" s="1207" customFormat="1" ht="45" hidden="1" customHeight="1" x14ac:dyDescent="0.3">
      <c r="A681" s="1355">
        <v>2022705</v>
      </c>
      <c r="B681" s="1172">
        <v>7658</v>
      </c>
      <c r="C681" s="1356" t="s">
        <v>679</v>
      </c>
      <c r="D681" s="1190" t="s">
        <v>689</v>
      </c>
      <c r="E681" s="1174">
        <v>80111600</v>
      </c>
      <c r="F681" s="1379" t="s">
        <v>1328</v>
      </c>
      <c r="G681" s="1380">
        <v>44770</v>
      </c>
      <c r="H681" s="1380">
        <v>44757</v>
      </c>
      <c r="I681" s="1176">
        <v>6</v>
      </c>
      <c r="J681" s="1176" t="s">
        <v>673</v>
      </c>
      <c r="K681" s="1177" t="s">
        <v>674</v>
      </c>
      <c r="L681" s="1178" t="s">
        <v>675</v>
      </c>
      <c r="M681" s="1179">
        <v>36000000</v>
      </c>
      <c r="N681" s="1376" t="s">
        <v>772</v>
      </c>
      <c r="O681" s="1174" t="s">
        <v>771</v>
      </c>
      <c r="P681" s="1163" t="s">
        <v>678</v>
      </c>
      <c r="R681" s="1357">
        <v>36000000</v>
      </c>
      <c r="S681" s="1357"/>
      <c r="T681" s="1357">
        <f>+Tabla16[[#This Row],[CDPS A 31 JULIO 2022]]-Tabla16[[#This Row],[CDP]]</f>
        <v>36000000</v>
      </c>
      <c r="U681" s="1357"/>
      <c r="V681" s="1357"/>
      <c r="W681" s="1357"/>
    </row>
    <row r="682" spans="1:23" s="1207" customFormat="1" ht="45" customHeight="1" x14ac:dyDescent="0.3">
      <c r="A682" s="1398">
        <v>2022706</v>
      </c>
      <c r="B682" s="1399">
        <v>7658</v>
      </c>
      <c r="C682" s="1400" t="s">
        <v>679</v>
      </c>
      <c r="D682" s="1401" t="s">
        <v>689</v>
      </c>
      <c r="E682" s="1402" t="s">
        <v>1329</v>
      </c>
      <c r="F682" s="1403" t="s">
        <v>1330</v>
      </c>
      <c r="G682" s="1404">
        <v>44859</v>
      </c>
      <c r="H682" s="1404">
        <v>44859</v>
      </c>
      <c r="I682" s="1405">
        <v>2</v>
      </c>
      <c r="J682" s="1405" t="s">
        <v>645</v>
      </c>
      <c r="K682" s="1406" t="s">
        <v>770</v>
      </c>
      <c r="L682" s="1407" t="s">
        <v>966</v>
      </c>
      <c r="M682" s="1408">
        <f>559000000+230000000+43007367</f>
        <v>832007367</v>
      </c>
      <c r="N682" s="1443" t="s">
        <v>788</v>
      </c>
      <c r="O682" s="1402" t="s">
        <v>775</v>
      </c>
      <c r="P682" s="1411" t="s">
        <v>757</v>
      </c>
      <c r="R682" s="1269">
        <v>0</v>
      </c>
      <c r="S682" s="1357"/>
      <c r="T682" s="1357">
        <f>+Tabla16[[#This Row],[CDPS A 31 JULIO 2022]]-Tabla16[[#This Row],[CDP]]</f>
        <v>0</v>
      </c>
      <c r="U682" s="1357"/>
      <c r="V682" s="1357"/>
      <c r="W682" s="1357"/>
    </row>
    <row r="683" spans="1:23" s="1207" customFormat="1" ht="45" hidden="1" customHeight="1" x14ac:dyDescent="0.3">
      <c r="A683" s="1355">
        <v>2022707</v>
      </c>
      <c r="B683" s="1172">
        <v>7655</v>
      </c>
      <c r="C683" s="1356" t="s">
        <v>668</v>
      </c>
      <c r="D683" s="1190" t="s">
        <v>689</v>
      </c>
      <c r="E683" s="1174" t="s">
        <v>780</v>
      </c>
      <c r="F683" s="1379" t="s">
        <v>1331</v>
      </c>
      <c r="G683" s="1380">
        <v>44762</v>
      </c>
      <c r="H683" s="1380">
        <v>44762</v>
      </c>
      <c r="I683" s="1176">
        <v>6</v>
      </c>
      <c r="J683" s="1176" t="s">
        <v>673</v>
      </c>
      <c r="K683" s="1177" t="s">
        <v>674</v>
      </c>
      <c r="L683" s="1178" t="s">
        <v>675</v>
      </c>
      <c r="M683" s="1179">
        <v>16800000</v>
      </c>
      <c r="N683" s="1376" t="s">
        <v>783</v>
      </c>
      <c r="O683" s="1174" t="s">
        <v>778</v>
      </c>
      <c r="P683" s="1298" t="s">
        <v>678</v>
      </c>
      <c r="R683" s="1269">
        <v>16800000</v>
      </c>
      <c r="S683" s="1357"/>
      <c r="T683" s="1357">
        <f>+Tabla16[[#This Row],[CDPS A 31 JULIO 2022]]-Tabla16[[#This Row],[CDP]]</f>
        <v>16800000</v>
      </c>
      <c r="U683" s="1357"/>
      <c r="V683" s="1357"/>
      <c r="W683" s="1357"/>
    </row>
    <row r="684" spans="1:23" s="1207" customFormat="1" ht="45" hidden="1" customHeight="1" x14ac:dyDescent="0.3">
      <c r="A684" s="1355">
        <v>2022708</v>
      </c>
      <c r="B684" s="1172">
        <v>7658</v>
      </c>
      <c r="C684" s="1356" t="s">
        <v>679</v>
      </c>
      <c r="D684" s="1190" t="s">
        <v>692</v>
      </c>
      <c r="E684" s="1174">
        <v>80111600</v>
      </c>
      <c r="F684" s="1379" t="s">
        <v>1085</v>
      </c>
      <c r="G684" s="1380">
        <v>44774</v>
      </c>
      <c r="H684" s="1380">
        <v>44804</v>
      </c>
      <c r="I684" s="1176">
        <v>4</v>
      </c>
      <c r="J684" s="1176" t="s">
        <v>673</v>
      </c>
      <c r="K684" s="1177" t="s">
        <v>674</v>
      </c>
      <c r="L684" s="1178" t="s">
        <v>675</v>
      </c>
      <c r="M684" s="1179">
        <v>13400000</v>
      </c>
      <c r="N684" s="1376" t="s">
        <v>768</v>
      </c>
      <c r="O684" s="1174" t="s">
        <v>767</v>
      </c>
      <c r="P684" s="1207" t="s">
        <v>678</v>
      </c>
      <c r="R684" s="1357">
        <v>13400000</v>
      </c>
      <c r="S684" s="1357"/>
      <c r="T684" s="1357">
        <f>+Tabla16[[#This Row],[CDPS A 31 JULIO 2022]]-Tabla16[[#This Row],[CDP]]</f>
        <v>13400000</v>
      </c>
      <c r="U684" s="1357"/>
      <c r="V684" s="1357"/>
      <c r="W684" s="1357" t="s">
        <v>1332</v>
      </c>
    </row>
    <row r="685" spans="1:23" s="1207" customFormat="1" ht="45" hidden="1" customHeight="1" x14ac:dyDescent="0.3">
      <c r="A685" s="1355">
        <v>2022709</v>
      </c>
      <c r="B685" s="1172">
        <v>7658</v>
      </c>
      <c r="C685" s="1356" t="s">
        <v>679</v>
      </c>
      <c r="D685" s="1190" t="s">
        <v>692</v>
      </c>
      <c r="E685" s="1174">
        <v>80111600</v>
      </c>
      <c r="F685" s="1379" t="s">
        <v>1085</v>
      </c>
      <c r="G685" s="1380">
        <v>44774</v>
      </c>
      <c r="H685" s="1380">
        <v>44804</v>
      </c>
      <c r="I685" s="1176">
        <v>4</v>
      </c>
      <c r="J685" s="1176" t="s">
        <v>673</v>
      </c>
      <c r="K685" s="1177" t="s">
        <v>674</v>
      </c>
      <c r="L685" s="1178" t="s">
        <v>675</v>
      </c>
      <c r="M685" s="1179">
        <v>13200000</v>
      </c>
      <c r="N685" s="1376" t="s">
        <v>768</v>
      </c>
      <c r="O685" s="1174" t="s">
        <v>767</v>
      </c>
      <c r="P685" s="1207" t="s">
        <v>678</v>
      </c>
      <c r="R685" s="1357">
        <v>13200000</v>
      </c>
      <c r="S685" s="1357"/>
      <c r="T685" s="1357">
        <f>+Tabla16[[#This Row],[CDPS A 31 JULIO 2022]]-Tabla16[[#This Row],[CDP]]</f>
        <v>13200000</v>
      </c>
      <c r="U685" s="1357"/>
      <c r="V685" s="1357"/>
      <c r="W685" s="1357" t="s">
        <v>1332</v>
      </c>
    </row>
    <row r="686" spans="1:23" s="1207" customFormat="1" ht="45" hidden="1" customHeight="1" x14ac:dyDescent="0.3">
      <c r="A686" s="1355">
        <v>2022710</v>
      </c>
      <c r="B686" s="1172">
        <v>7658</v>
      </c>
      <c r="C686" s="1356" t="s">
        <v>679</v>
      </c>
      <c r="D686" s="1190" t="s">
        <v>692</v>
      </c>
      <c r="E686" s="1174">
        <v>80111600</v>
      </c>
      <c r="F686" s="1379" t="s">
        <v>1092</v>
      </c>
      <c r="G686" s="1380">
        <v>44774</v>
      </c>
      <c r="H686" s="1380">
        <v>44804</v>
      </c>
      <c r="I686" s="1176">
        <v>4</v>
      </c>
      <c r="J686" s="1176" t="s">
        <v>673</v>
      </c>
      <c r="K686" s="1177" t="s">
        <v>674</v>
      </c>
      <c r="L686" s="1178" t="s">
        <v>675</v>
      </c>
      <c r="M686" s="1179">
        <v>19400000</v>
      </c>
      <c r="N686" s="1376" t="s">
        <v>768</v>
      </c>
      <c r="O686" s="1174" t="s">
        <v>767</v>
      </c>
      <c r="P686" s="1207" t="s">
        <v>678</v>
      </c>
      <c r="R686" s="1357">
        <v>19400000</v>
      </c>
      <c r="S686" s="1357"/>
      <c r="T686" s="1357">
        <f>+Tabla16[[#This Row],[CDPS A 31 JULIO 2022]]-Tabla16[[#This Row],[CDP]]</f>
        <v>19400000</v>
      </c>
      <c r="U686" s="1357"/>
      <c r="V686" s="1357"/>
      <c r="W686" s="1357" t="s">
        <v>1332</v>
      </c>
    </row>
    <row r="687" spans="1:23" s="1207" customFormat="1" ht="45" hidden="1" customHeight="1" x14ac:dyDescent="0.3">
      <c r="A687" s="1355">
        <v>2022711</v>
      </c>
      <c r="B687" s="1172">
        <v>7658</v>
      </c>
      <c r="C687" s="1356" t="s">
        <v>679</v>
      </c>
      <c r="D687" s="1190" t="s">
        <v>692</v>
      </c>
      <c r="E687" s="1174">
        <v>80111600</v>
      </c>
      <c r="F687" s="1379" t="s">
        <v>1092</v>
      </c>
      <c r="G687" s="1380">
        <v>44774</v>
      </c>
      <c r="H687" s="1380">
        <v>44804</v>
      </c>
      <c r="I687" s="1176">
        <v>4</v>
      </c>
      <c r="J687" s="1176" t="s">
        <v>673</v>
      </c>
      <c r="K687" s="1177" t="s">
        <v>674</v>
      </c>
      <c r="L687" s="1178" t="s">
        <v>675</v>
      </c>
      <c r="M687" s="1179">
        <v>14000000</v>
      </c>
      <c r="N687" s="1376" t="s">
        <v>768</v>
      </c>
      <c r="O687" s="1174" t="s">
        <v>767</v>
      </c>
      <c r="P687" s="1207" t="s">
        <v>678</v>
      </c>
      <c r="R687" s="1357">
        <v>14000000</v>
      </c>
      <c r="S687" s="1357"/>
      <c r="T687" s="1357">
        <f>+Tabla16[[#This Row],[CDPS A 31 JULIO 2022]]-Tabla16[[#This Row],[CDP]]</f>
        <v>14000000</v>
      </c>
      <c r="U687" s="1357"/>
      <c r="V687" s="1357"/>
      <c r="W687" s="1357"/>
    </row>
    <row r="688" spans="1:23" s="1207" customFormat="1" ht="45" hidden="1" customHeight="1" x14ac:dyDescent="0.3">
      <c r="A688" s="1355">
        <v>2022712</v>
      </c>
      <c r="B688" s="1172">
        <v>7658</v>
      </c>
      <c r="C688" s="1356" t="s">
        <v>679</v>
      </c>
      <c r="D688" s="1190" t="s">
        <v>692</v>
      </c>
      <c r="E688" s="1174">
        <v>80111600</v>
      </c>
      <c r="F688" s="1379" t="s">
        <v>1095</v>
      </c>
      <c r="G688" s="1380">
        <v>44774</v>
      </c>
      <c r="H688" s="1380">
        <v>44804</v>
      </c>
      <c r="I688" s="1176">
        <v>4</v>
      </c>
      <c r="J688" s="1176" t="s">
        <v>673</v>
      </c>
      <c r="K688" s="1177" t="s">
        <v>674</v>
      </c>
      <c r="L688" s="1178" t="s">
        <v>675</v>
      </c>
      <c r="M688" s="1179">
        <v>20000000</v>
      </c>
      <c r="N688" s="1376" t="s">
        <v>768</v>
      </c>
      <c r="O688" s="1174" t="s">
        <v>767</v>
      </c>
      <c r="P688" s="1207" t="s">
        <v>678</v>
      </c>
      <c r="R688" s="1357">
        <v>20000000</v>
      </c>
      <c r="S688" s="1357"/>
      <c r="T688" s="1357">
        <f>+Tabla16[[#This Row],[CDPS A 31 JULIO 2022]]-Tabla16[[#This Row],[CDP]]</f>
        <v>20000000</v>
      </c>
      <c r="U688" s="1357"/>
      <c r="V688" s="1357"/>
      <c r="W688" s="1357"/>
    </row>
    <row r="689" spans="1:23" s="1207" customFormat="1" ht="45" hidden="1" customHeight="1" x14ac:dyDescent="0.3">
      <c r="A689" s="1355">
        <v>2022713</v>
      </c>
      <c r="B689" s="1172">
        <v>7658</v>
      </c>
      <c r="C689" s="1356" t="s">
        <v>679</v>
      </c>
      <c r="D689" s="1190" t="s">
        <v>692</v>
      </c>
      <c r="E689" s="1174">
        <v>80111600</v>
      </c>
      <c r="F689" s="1379" t="s">
        <v>1101</v>
      </c>
      <c r="G689" s="1380">
        <v>44774</v>
      </c>
      <c r="H689" s="1380">
        <v>44804</v>
      </c>
      <c r="I689" s="1176">
        <v>4</v>
      </c>
      <c r="J689" s="1176" t="s">
        <v>673</v>
      </c>
      <c r="K689" s="1177" t="s">
        <v>674</v>
      </c>
      <c r="L689" s="1178" t="s">
        <v>675</v>
      </c>
      <c r="M689" s="1179">
        <v>32000000</v>
      </c>
      <c r="N689" s="1376" t="s">
        <v>768</v>
      </c>
      <c r="O689" s="1174" t="s">
        <v>767</v>
      </c>
      <c r="P689" s="1207" t="s">
        <v>678</v>
      </c>
      <c r="R689" s="1357">
        <v>32000000</v>
      </c>
      <c r="S689" s="1357"/>
      <c r="T689" s="1357">
        <f>+Tabla16[[#This Row],[CDPS A 31 JULIO 2022]]-Tabla16[[#This Row],[CDP]]</f>
        <v>32000000</v>
      </c>
      <c r="U689" s="1357"/>
      <c r="V689" s="1357"/>
      <c r="W689" s="1357" t="s">
        <v>1073</v>
      </c>
    </row>
    <row r="690" spans="1:23" s="1207" customFormat="1" ht="45" hidden="1" customHeight="1" x14ac:dyDescent="0.3">
      <c r="A690" s="1355">
        <v>2022714</v>
      </c>
      <c r="B690" s="1172">
        <v>7658</v>
      </c>
      <c r="C690" s="1356" t="s">
        <v>679</v>
      </c>
      <c r="D690" s="1190" t="s">
        <v>692</v>
      </c>
      <c r="E690" s="1174">
        <v>80111600</v>
      </c>
      <c r="F690" s="1379" t="s">
        <v>1102</v>
      </c>
      <c r="G690" s="1380">
        <v>44774</v>
      </c>
      <c r="H690" s="1380">
        <v>44804</v>
      </c>
      <c r="I690" s="1176">
        <v>4</v>
      </c>
      <c r="J690" s="1176" t="s">
        <v>673</v>
      </c>
      <c r="K690" s="1177" t="s">
        <v>674</v>
      </c>
      <c r="L690" s="1178" t="s">
        <v>675</v>
      </c>
      <c r="M690" s="1179">
        <v>18800000</v>
      </c>
      <c r="N690" s="1376" t="s">
        <v>768</v>
      </c>
      <c r="O690" s="1174" t="s">
        <v>767</v>
      </c>
      <c r="P690" s="1207" t="s">
        <v>678</v>
      </c>
      <c r="R690" s="1357">
        <v>18800000</v>
      </c>
      <c r="S690" s="1357"/>
      <c r="T690" s="1357">
        <f>+Tabla16[[#This Row],[CDPS A 31 JULIO 2022]]-Tabla16[[#This Row],[CDP]]</f>
        <v>18800000</v>
      </c>
      <c r="U690" s="1357"/>
      <c r="V690" s="1357"/>
      <c r="W690" s="1357" t="s">
        <v>1073</v>
      </c>
    </row>
    <row r="691" spans="1:23" s="1207" customFormat="1" ht="45" hidden="1" customHeight="1" x14ac:dyDescent="0.3">
      <c r="A691" s="1355">
        <v>2022715</v>
      </c>
      <c r="B691" s="1172">
        <v>7637</v>
      </c>
      <c r="C691" s="1356" t="s">
        <v>643</v>
      </c>
      <c r="D691" s="1190" t="s">
        <v>671</v>
      </c>
      <c r="E691" s="1174" t="s">
        <v>1333</v>
      </c>
      <c r="F691" s="1379" t="s">
        <v>1334</v>
      </c>
      <c r="G691" s="1380">
        <v>44770</v>
      </c>
      <c r="H691" s="1380">
        <v>44781</v>
      </c>
      <c r="I691" s="1176">
        <v>3</v>
      </c>
      <c r="J691" s="1176" t="s">
        <v>720</v>
      </c>
      <c r="K691" s="1177" t="s">
        <v>770</v>
      </c>
      <c r="L691" s="1178" t="s">
        <v>735</v>
      </c>
      <c r="M691" s="1179">
        <v>15000000</v>
      </c>
      <c r="N691" s="1189" t="s">
        <v>676</v>
      </c>
      <c r="O691" s="1174" t="s">
        <v>677</v>
      </c>
      <c r="P691" s="1207" t="s">
        <v>678</v>
      </c>
      <c r="R691" s="1269">
        <v>15000000</v>
      </c>
      <c r="S691" s="1357"/>
      <c r="T691" s="1357">
        <f>+Tabla16[[#This Row],[CDPS A 31 JULIO 2022]]-Tabla16[[#This Row],[CDP]]</f>
        <v>15000000</v>
      </c>
      <c r="U691" s="1357"/>
      <c r="V691" s="1357"/>
      <c r="W691" s="1357"/>
    </row>
    <row r="692" spans="1:23" s="1207" customFormat="1" ht="45" hidden="1" customHeight="1" x14ac:dyDescent="0.3">
      <c r="A692" s="1355">
        <v>2022716</v>
      </c>
      <c r="B692" s="1172">
        <v>7637</v>
      </c>
      <c r="C692" s="1356" t="s">
        <v>643</v>
      </c>
      <c r="D692" s="1190" t="s">
        <v>671</v>
      </c>
      <c r="E692" s="1174" t="s">
        <v>1335</v>
      </c>
      <c r="F692" s="1379" t="s">
        <v>1336</v>
      </c>
      <c r="G692" s="1380">
        <v>44782</v>
      </c>
      <c r="H692" s="1380">
        <v>44802</v>
      </c>
      <c r="I692" s="1176">
        <v>12</v>
      </c>
      <c r="J692" s="1176" t="s">
        <v>720</v>
      </c>
      <c r="K692" s="1177" t="s">
        <v>770</v>
      </c>
      <c r="L692" s="1178" t="s">
        <v>735</v>
      </c>
      <c r="M692" s="1179">
        <v>132000000</v>
      </c>
      <c r="N692" s="1189" t="s">
        <v>765</v>
      </c>
      <c r="O692" s="1174" t="s">
        <v>677</v>
      </c>
      <c r="P692" s="1207" t="s">
        <v>678</v>
      </c>
      <c r="R692" s="1269">
        <v>132000000</v>
      </c>
      <c r="S692" s="1357"/>
      <c r="T692" s="1357">
        <f>+Tabla16[[#This Row],[CDPS A 31 JULIO 2022]]-Tabla16[[#This Row],[CDP]]</f>
        <v>132000000</v>
      </c>
      <c r="U692" s="1357"/>
      <c r="V692" s="1357"/>
      <c r="W692" s="1357"/>
    </row>
    <row r="693" spans="1:23" s="1207" customFormat="1" ht="45" hidden="1" customHeight="1" x14ac:dyDescent="0.3">
      <c r="A693" s="1355">
        <v>2022717</v>
      </c>
      <c r="B693" s="1172">
        <v>7637</v>
      </c>
      <c r="C693" s="1356" t="s">
        <v>643</v>
      </c>
      <c r="D693" s="1190" t="s">
        <v>671</v>
      </c>
      <c r="E693" s="1174" t="s">
        <v>1337</v>
      </c>
      <c r="F693" s="1379" t="s">
        <v>1338</v>
      </c>
      <c r="G693" s="1380">
        <v>44770</v>
      </c>
      <c r="H693" s="1380">
        <v>44781</v>
      </c>
      <c r="I693" s="1176">
        <v>3</v>
      </c>
      <c r="J693" s="1176" t="s">
        <v>720</v>
      </c>
      <c r="K693" s="1177" t="s">
        <v>770</v>
      </c>
      <c r="L693" s="1178" t="s">
        <v>735</v>
      </c>
      <c r="M693" s="1179">
        <v>4000000</v>
      </c>
      <c r="N693" s="1189" t="s">
        <v>765</v>
      </c>
      <c r="O693" s="1174" t="s">
        <v>677</v>
      </c>
      <c r="P693" s="1207" t="s">
        <v>678</v>
      </c>
      <c r="R693" s="1269">
        <v>4000000</v>
      </c>
      <c r="S693" s="1357"/>
      <c r="T693" s="1357">
        <f>+Tabla16[[#This Row],[CDPS A 31 JULIO 2022]]-Tabla16[[#This Row],[CDP]]</f>
        <v>4000000</v>
      </c>
      <c r="U693" s="1357"/>
      <c r="V693" s="1357"/>
      <c r="W693" s="1357"/>
    </row>
    <row r="694" spans="1:23" s="1207" customFormat="1" ht="45" hidden="1" customHeight="1" x14ac:dyDescent="0.3">
      <c r="A694" s="1355">
        <v>2022718</v>
      </c>
      <c r="B694" s="1172">
        <v>7655</v>
      </c>
      <c r="C694" s="1356" t="s">
        <v>668</v>
      </c>
      <c r="D694" s="1190" t="s">
        <v>689</v>
      </c>
      <c r="E694" s="1174">
        <v>80111600</v>
      </c>
      <c r="F694" s="1379" t="s">
        <v>1339</v>
      </c>
      <c r="G694" s="1380">
        <v>44757</v>
      </c>
      <c r="H694" s="1380" t="s">
        <v>97</v>
      </c>
      <c r="I694" s="1176">
        <v>1</v>
      </c>
      <c r="J694" s="1176" t="s">
        <v>673</v>
      </c>
      <c r="K694" s="1177" t="s">
        <v>674</v>
      </c>
      <c r="L694" s="1178" t="s">
        <v>675</v>
      </c>
      <c r="M694" s="1179">
        <v>2750000</v>
      </c>
      <c r="N694" s="1376" t="s">
        <v>783</v>
      </c>
      <c r="O694" s="1174" t="s">
        <v>778</v>
      </c>
      <c r="P694" s="1207" t="s">
        <v>748</v>
      </c>
      <c r="R694" s="1269">
        <v>2750000</v>
      </c>
      <c r="S694" s="1357"/>
      <c r="T694" s="1357">
        <f>+Tabla16[[#This Row],[CDPS A 31 JULIO 2022]]-Tabla16[[#This Row],[CDP]]</f>
        <v>2750000</v>
      </c>
      <c r="U694" s="1357"/>
      <c r="V694" s="1357"/>
      <c r="W694" s="1357"/>
    </row>
    <row r="695" spans="1:23" s="1207" customFormat="1" ht="45" hidden="1" customHeight="1" x14ac:dyDescent="0.3">
      <c r="A695" s="1355">
        <v>2022719</v>
      </c>
      <c r="B695" s="1172">
        <v>7655</v>
      </c>
      <c r="C695" s="1356" t="s">
        <v>668</v>
      </c>
      <c r="D695" s="1190" t="s">
        <v>689</v>
      </c>
      <c r="E695" s="1174" t="s">
        <v>780</v>
      </c>
      <c r="F695" s="1379" t="s">
        <v>1340</v>
      </c>
      <c r="G695" s="1380">
        <v>44757</v>
      </c>
      <c r="H695" s="1380" t="s">
        <v>97</v>
      </c>
      <c r="I695" s="1176">
        <v>3</v>
      </c>
      <c r="J695" s="1176" t="s">
        <v>673</v>
      </c>
      <c r="K695" s="1177" t="s">
        <v>674</v>
      </c>
      <c r="L695" s="1178" t="s">
        <v>675</v>
      </c>
      <c r="M695" s="1179">
        <v>13500000</v>
      </c>
      <c r="N695" s="1376" t="s">
        <v>783</v>
      </c>
      <c r="O695" s="1174" t="s">
        <v>778</v>
      </c>
      <c r="P695" s="1207" t="s">
        <v>748</v>
      </c>
      <c r="R695" s="1269">
        <v>13500000</v>
      </c>
      <c r="S695" s="1357"/>
      <c r="T695" s="1357">
        <f>+Tabla16[[#This Row],[CDPS A 31 JULIO 2022]]-Tabla16[[#This Row],[CDP]]</f>
        <v>13500000</v>
      </c>
      <c r="U695" s="1357"/>
      <c r="V695" s="1357"/>
      <c r="W695" s="1357"/>
    </row>
    <row r="696" spans="1:23" s="1207" customFormat="1" ht="45" hidden="1" customHeight="1" x14ac:dyDescent="0.3">
      <c r="A696" s="1355">
        <v>2022720</v>
      </c>
      <c r="B696" s="1172">
        <v>7637</v>
      </c>
      <c r="C696" s="1356" t="s">
        <v>643</v>
      </c>
      <c r="D696" s="1190" t="s">
        <v>671</v>
      </c>
      <c r="E696" s="1174">
        <v>43233200</v>
      </c>
      <c r="F696" s="1379" t="s">
        <v>1341</v>
      </c>
      <c r="G696" s="1380">
        <v>44713</v>
      </c>
      <c r="H696" s="1380">
        <v>44772</v>
      </c>
      <c r="I696" s="1176">
        <v>3</v>
      </c>
      <c r="J696" s="1176" t="s">
        <v>720</v>
      </c>
      <c r="K696" s="1177" t="s">
        <v>674</v>
      </c>
      <c r="L696" s="1178" t="s">
        <v>735</v>
      </c>
      <c r="M696" s="1179">
        <v>35000000</v>
      </c>
      <c r="N696" s="1376" t="s">
        <v>704</v>
      </c>
      <c r="O696" s="1174" t="s">
        <v>677</v>
      </c>
      <c r="P696" s="1163" t="s">
        <v>678</v>
      </c>
      <c r="R696" s="1269">
        <v>35000000</v>
      </c>
      <c r="S696" s="1357"/>
      <c r="T696" s="1357">
        <f>+Tabla16[[#This Row],[CDPS A 31 JULIO 2022]]-Tabla16[[#This Row],[CDP]]</f>
        <v>35000000</v>
      </c>
      <c r="U696" s="1357"/>
      <c r="V696" s="1357"/>
      <c r="W696" s="1357"/>
    </row>
    <row r="697" spans="1:23" s="1207" customFormat="1" ht="45" hidden="1" customHeight="1" x14ac:dyDescent="0.3">
      <c r="A697" s="1355">
        <v>2022721</v>
      </c>
      <c r="B697" s="1172">
        <v>7655</v>
      </c>
      <c r="C697" s="1356" t="s">
        <v>668</v>
      </c>
      <c r="D697" s="1190" t="s">
        <v>671</v>
      </c>
      <c r="E697" s="1174">
        <v>80111600</v>
      </c>
      <c r="F697" s="1379" t="s">
        <v>1342</v>
      </c>
      <c r="G697" s="1380">
        <v>44743</v>
      </c>
      <c r="H697" s="1380">
        <v>44773</v>
      </c>
      <c r="I697" s="1176">
        <v>3</v>
      </c>
      <c r="J697" s="1176" t="s">
        <v>673</v>
      </c>
      <c r="K697" s="1177" t="s">
        <v>674</v>
      </c>
      <c r="L697" s="1178" t="s">
        <v>675</v>
      </c>
      <c r="M697" s="1179">
        <v>13500000</v>
      </c>
      <c r="N697" s="1376" t="s">
        <v>783</v>
      </c>
      <c r="O697" s="1174" t="s">
        <v>778</v>
      </c>
      <c r="P697" s="1163" t="s">
        <v>757</v>
      </c>
      <c r="R697" s="1269">
        <v>13500000</v>
      </c>
      <c r="S697" s="1357"/>
      <c r="T697" s="1357">
        <f>+Tabla16[[#This Row],[CDPS A 31 JULIO 2022]]-Tabla16[[#This Row],[CDP]]</f>
        <v>13500000</v>
      </c>
      <c r="U697" s="1357"/>
      <c r="V697" s="1357"/>
      <c r="W697" s="1357"/>
    </row>
    <row r="698" spans="1:23" s="1207" customFormat="1" ht="45" hidden="1" customHeight="1" x14ac:dyDescent="0.3">
      <c r="A698" s="1355">
        <v>2022722</v>
      </c>
      <c r="B698" s="1172">
        <v>7658</v>
      </c>
      <c r="C698" s="1356" t="s">
        <v>679</v>
      </c>
      <c r="D698" s="1190" t="s">
        <v>698</v>
      </c>
      <c r="E698" s="1174">
        <v>80111600</v>
      </c>
      <c r="F698" s="1379" t="s">
        <v>1343</v>
      </c>
      <c r="G698" s="1380">
        <v>44774</v>
      </c>
      <c r="H698" s="1380">
        <v>44774</v>
      </c>
      <c r="I698" s="1176">
        <v>6</v>
      </c>
      <c r="J698" s="1176" t="s">
        <v>673</v>
      </c>
      <c r="K698" s="1177" t="s">
        <v>674</v>
      </c>
      <c r="L698" s="1178" t="s">
        <v>675</v>
      </c>
      <c r="M698" s="1179">
        <v>33000000</v>
      </c>
      <c r="N698" s="1376" t="s">
        <v>779</v>
      </c>
      <c r="O698" s="1174" t="s">
        <v>771</v>
      </c>
      <c r="P698" s="1163" t="s">
        <v>678</v>
      </c>
      <c r="R698" s="1269">
        <v>0</v>
      </c>
      <c r="S698" s="1357"/>
      <c r="T698" s="1357">
        <f>+Tabla16[[#This Row],[CDPS A 31 JULIO 2022]]-Tabla16[[#This Row],[CDP]]</f>
        <v>0</v>
      </c>
      <c r="U698" s="1357"/>
      <c r="V698" s="1357"/>
      <c r="W698" s="1357"/>
    </row>
    <row r="699" spans="1:23" s="1207" customFormat="1" ht="45" hidden="1" customHeight="1" x14ac:dyDescent="0.3">
      <c r="A699" s="1355">
        <v>2022723</v>
      </c>
      <c r="B699" s="1172">
        <v>7655</v>
      </c>
      <c r="C699" s="1356" t="s">
        <v>668</v>
      </c>
      <c r="D699" s="1190" t="s">
        <v>682</v>
      </c>
      <c r="E699" s="1174">
        <v>80111600</v>
      </c>
      <c r="F699" s="1379" t="s">
        <v>1344</v>
      </c>
      <c r="G699" s="1380">
        <v>44774</v>
      </c>
      <c r="H699" s="1380">
        <v>44774</v>
      </c>
      <c r="I699" s="1176">
        <v>0.4</v>
      </c>
      <c r="J699" s="1176" t="s">
        <v>673</v>
      </c>
      <c r="K699" s="1177" t="s">
        <v>674</v>
      </c>
      <c r="L699" s="1178" t="s">
        <v>675</v>
      </c>
      <c r="M699" s="1179">
        <v>1363000</v>
      </c>
      <c r="N699" s="1376" t="s">
        <v>783</v>
      </c>
      <c r="O699" s="1174" t="s">
        <v>778</v>
      </c>
      <c r="P699" s="1163" t="s">
        <v>757</v>
      </c>
      <c r="R699" s="1269">
        <v>1363000</v>
      </c>
      <c r="S699" s="1357"/>
      <c r="T699" s="1357">
        <f>+Tabla16[[#This Row],[CDPS A 31 JULIO 2022]]-Tabla16[[#This Row],[CDP]]</f>
        <v>1363000</v>
      </c>
      <c r="U699" s="1357"/>
      <c r="V699" s="1357"/>
      <c r="W699" s="1357" t="s">
        <v>1345</v>
      </c>
    </row>
    <row r="700" spans="1:23" s="1207" customFormat="1" ht="45" hidden="1" customHeight="1" x14ac:dyDescent="0.3">
      <c r="A700" s="1355">
        <v>2022724</v>
      </c>
      <c r="B700" s="1172">
        <v>7658</v>
      </c>
      <c r="C700" s="1356" t="s">
        <v>679</v>
      </c>
      <c r="D700" s="1190" t="s">
        <v>689</v>
      </c>
      <c r="E700" s="1174">
        <v>80111600</v>
      </c>
      <c r="F700" s="1379" t="s">
        <v>945</v>
      </c>
      <c r="G700" s="1380">
        <v>44788</v>
      </c>
      <c r="H700" s="1380">
        <v>44783</v>
      </c>
      <c r="I700" s="1176">
        <v>6</v>
      </c>
      <c r="J700" s="1176" t="s">
        <v>673</v>
      </c>
      <c r="K700" s="1177" t="s">
        <v>674</v>
      </c>
      <c r="L700" s="1178" t="s">
        <v>675</v>
      </c>
      <c r="M700" s="1179">
        <v>43800000</v>
      </c>
      <c r="N700" s="1376" t="s">
        <v>772</v>
      </c>
      <c r="O700" s="1174" t="s">
        <v>771</v>
      </c>
      <c r="P700" s="1163" t="s">
        <v>678</v>
      </c>
      <c r="R700" s="1269">
        <v>0</v>
      </c>
      <c r="S700" s="1357"/>
      <c r="T700" s="1357">
        <f>+Tabla16[[#This Row],[CDPS A 31 JULIO 2022]]-Tabla16[[#This Row],[CDP]]</f>
        <v>0</v>
      </c>
      <c r="U700" s="1357"/>
      <c r="V700" s="1357"/>
      <c r="W700" s="1357"/>
    </row>
    <row r="701" spans="1:23" s="1207" customFormat="1" ht="45" hidden="1" customHeight="1" x14ac:dyDescent="0.3">
      <c r="A701" s="1355">
        <v>2022725</v>
      </c>
      <c r="B701" s="1172">
        <v>7658</v>
      </c>
      <c r="C701" s="1356" t="s">
        <v>679</v>
      </c>
      <c r="D701" s="1190" t="s">
        <v>689</v>
      </c>
      <c r="E701" s="1174">
        <v>80111600</v>
      </c>
      <c r="F701" s="1379" t="s">
        <v>945</v>
      </c>
      <c r="G701" s="1380">
        <v>44788</v>
      </c>
      <c r="H701" s="1380">
        <v>44783</v>
      </c>
      <c r="I701" s="1176">
        <v>6</v>
      </c>
      <c r="J701" s="1176" t="s">
        <v>673</v>
      </c>
      <c r="K701" s="1177" t="s">
        <v>674</v>
      </c>
      <c r="L701" s="1178" t="s">
        <v>675</v>
      </c>
      <c r="M701" s="1179">
        <v>43800000</v>
      </c>
      <c r="N701" s="1376" t="s">
        <v>772</v>
      </c>
      <c r="O701" s="1174" t="s">
        <v>771</v>
      </c>
      <c r="P701" s="1163" t="s">
        <v>678</v>
      </c>
      <c r="R701" s="1269">
        <v>0</v>
      </c>
      <c r="S701" s="1357"/>
      <c r="T701" s="1357">
        <f>+Tabla16[[#This Row],[CDPS A 31 JULIO 2022]]-Tabla16[[#This Row],[CDP]]</f>
        <v>0</v>
      </c>
      <c r="U701" s="1357"/>
      <c r="V701" s="1357"/>
      <c r="W701" s="1357"/>
    </row>
    <row r="702" spans="1:23" s="1207" customFormat="1" ht="45" hidden="1" customHeight="1" x14ac:dyDescent="0.3">
      <c r="A702" s="1355">
        <v>2022726</v>
      </c>
      <c r="B702" s="1172">
        <v>7658</v>
      </c>
      <c r="C702" s="1356" t="s">
        <v>679</v>
      </c>
      <c r="D702" s="1190" t="s">
        <v>689</v>
      </c>
      <c r="E702" s="1174">
        <v>80111600</v>
      </c>
      <c r="F702" s="1379" t="s">
        <v>945</v>
      </c>
      <c r="G702" s="1380">
        <v>44788</v>
      </c>
      <c r="H702" s="1380">
        <v>44783</v>
      </c>
      <c r="I702" s="1176">
        <v>6</v>
      </c>
      <c r="J702" s="1176" t="s">
        <v>673</v>
      </c>
      <c r="K702" s="1177" t="s">
        <v>674</v>
      </c>
      <c r="L702" s="1178" t="s">
        <v>675</v>
      </c>
      <c r="M702" s="1179">
        <v>43800000</v>
      </c>
      <c r="N702" s="1376" t="s">
        <v>772</v>
      </c>
      <c r="O702" s="1174" t="s">
        <v>771</v>
      </c>
      <c r="P702" s="1163" t="s">
        <v>678</v>
      </c>
      <c r="R702" s="1269">
        <v>0</v>
      </c>
      <c r="S702" s="1357"/>
      <c r="T702" s="1357">
        <f>+Tabla16[[#This Row],[CDPS A 31 JULIO 2022]]-Tabla16[[#This Row],[CDP]]</f>
        <v>0</v>
      </c>
      <c r="U702" s="1357"/>
      <c r="V702" s="1357"/>
      <c r="W702" s="1357"/>
    </row>
    <row r="703" spans="1:23" s="1207" customFormat="1" ht="45" hidden="1" customHeight="1" x14ac:dyDescent="0.3">
      <c r="A703" s="1355">
        <v>2022727</v>
      </c>
      <c r="B703" s="1172">
        <v>7658</v>
      </c>
      <c r="C703" s="1356" t="s">
        <v>679</v>
      </c>
      <c r="D703" s="1190" t="s">
        <v>689</v>
      </c>
      <c r="E703" s="1174">
        <v>80111600</v>
      </c>
      <c r="F703" s="1379" t="s">
        <v>945</v>
      </c>
      <c r="G703" s="1380">
        <v>44788</v>
      </c>
      <c r="H703" s="1380">
        <v>44783</v>
      </c>
      <c r="I703" s="1176">
        <v>6</v>
      </c>
      <c r="J703" s="1176" t="s">
        <v>673</v>
      </c>
      <c r="K703" s="1177" t="s">
        <v>674</v>
      </c>
      <c r="L703" s="1178" t="s">
        <v>675</v>
      </c>
      <c r="M703" s="1179">
        <v>43800000</v>
      </c>
      <c r="N703" s="1376" t="s">
        <v>772</v>
      </c>
      <c r="O703" s="1174" t="s">
        <v>771</v>
      </c>
      <c r="P703" s="1163" t="s">
        <v>678</v>
      </c>
      <c r="R703" s="1269">
        <v>0</v>
      </c>
      <c r="S703" s="1357"/>
      <c r="T703" s="1357">
        <f>+Tabla16[[#This Row],[CDPS A 31 JULIO 2022]]-Tabla16[[#This Row],[CDP]]</f>
        <v>0</v>
      </c>
      <c r="U703" s="1357"/>
      <c r="V703" s="1357"/>
      <c r="W703" s="1357"/>
    </row>
    <row r="704" spans="1:23" s="1207" customFormat="1" ht="45" hidden="1" customHeight="1" x14ac:dyDescent="0.3">
      <c r="A704" s="1355">
        <v>2022728</v>
      </c>
      <c r="B704" s="1172">
        <v>7658</v>
      </c>
      <c r="C704" s="1356" t="s">
        <v>679</v>
      </c>
      <c r="D704" s="1190" t="s">
        <v>689</v>
      </c>
      <c r="E704" s="1174">
        <v>80111600</v>
      </c>
      <c r="F704" s="1379" t="s">
        <v>945</v>
      </c>
      <c r="G704" s="1380">
        <v>44788</v>
      </c>
      <c r="H704" s="1380">
        <v>44783</v>
      </c>
      <c r="I704" s="1176">
        <v>6</v>
      </c>
      <c r="J704" s="1176" t="s">
        <v>673</v>
      </c>
      <c r="K704" s="1177" t="s">
        <v>674</v>
      </c>
      <c r="L704" s="1178" t="s">
        <v>675</v>
      </c>
      <c r="M704" s="1179">
        <v>43800000</v>
      </c>
      <c r="N704" s="1376" t="s">
        <v>772</v>
      </c>
      <c r="O704" s="1174" t="s">
        <v>771</v>
      </c>
      <c r="P704" s="1163" t="s">
        <v>678</v>
      </c>
      <c r="R704" s="1269">
        <v>0</v>
      </c>
      <c r="S704" s="1357"/>
      <c r="T704" s="1357">
        <f>+Tabla16[[#This Row],[CDPS A 31 JULIO 2022]]-Tabla16[[#This Row],[CDP]]</f>
        <v>0</v>
      </c>
      <c r="U704" s="1357"/>
      <c r="V704" s="1357"/>
      <c r="W704" s="1357"/>
    </row>
    <row r="705" spans="1:23" s="1207" customFormat="1" ht="45" hidden="1" customHeight="1" x14ac:dyDescent="0.3">
      <c r="A705" s="1355">
        <v>2022729</v>
      </c>
      <c r="B705" s="1172">
        <v>7658</v>
      </c>
      <c r="C705" s="1356" t="s">
        <v>679</v>
      </c>
      <c r="D705" s="1190" t="s">
        <v>689</v>
      </c>
      <c r="E705" s="1174">
        <v>80111600</v>
      </c>
      <c r="F705" s="1379" t="s">
        <v>945</v>
      </c>
      <c r="G705" s="1380">
        <v>44788</v>
      </c>
      <c r="H705" s="1380">
        <v>44783</v>
      </c>
      <c r="I705" s="1176">
        <v>6</v>
      </c>
      <c r="J705" s="1176" t="s">
        <v>673</v>
      </c>
      <c r="K705" s="1177" t="s">
        <v>674</v>
      </c>
      <c r="L705" s="1178" t="s">
        <v>675</v>
      </c>
      <c r="M705" s="1179">
        <v>43800000</v>
      </c>
      <c r="N705" s="1376" t="s">
        <v>772</v>
      </c>
      <c r="O705" s="1174" t="s">
        <v>771</v>
      </c>
      <c r="P705" s="1163" t="s">
        <v>678</v>
      </c>
      <c r="R705" s="1269">
        <v>0</v>
      </c>
      <c r="S705" s="1357"/>
      <c r="T705" s="1357">
        <f>+Tabla16[[#This Row],[CDPS A 31 JULIO 2022]]-Tabla16[[#This Row],[CDP]]</f>
        <v>0</v>
      </c>
      <c r="U705" s="1357"/>
      <c r="V705" s="1357"/>
      <c r="W705" s="1357"/>
    </row>
    <row r="706" spans="1:23" s="1207" customFormat="1" ht="45" hidden="1" customHeight="1" x14ac:dyDescent="0.3">
      <c r="A706" s="1355">
        <v>2022730</v>
      </c>
      <c r="B706" s="1172">
        <v>7658</v>
      </c>
      <c r="C706" s="1356" t="s">
        <v>679</v>
      </c>
      <c r="D706" s="1190" t="s">
        <v>689</v>
      </c>
      <c r="E706" s="1174">
        <v>80111600</v>
      </c>
      <c r="F706" s="1379" t="s">
        <v>1346</v>
      </c>
      <c r="G706" s="1380">
        <v>44788</v>
      </c>
      <c r="H706" s="1380">
        <v>44783</v>
      </c>
      <c r="I706" s="1176">
        <v>1</v>
      </c>
      <c r="J706" s="1176" t="s">
        <v>673</v>
      </c>
      <c r="K706" s="1177" t="s">
        <v>674</v>
      </c>
      <c r="L706" s="1178" t="s">
        <v>675</v>
      </c>
      <c r="M706" s="1179">
        <v>9500000</v>
      </c>
      <c r="N706" s="1376" t="s">
        <v>772</v>
      </c>
      <c r="O706" s="1174" t="s">
        <v>771</v>
      </c>
      <c r="P706" s="1163" t="s">
        <v>678</v>
      </c>
      <c r="R706" s="1269">
        <v>0</v>
      </c>
      <c r="S706" s="1357"/>
      <c r="T706" s="1357">
        <f>+Tabla16[[#This Row],[CDPS A 31 JULIO 2022]]-Tabla16[[#This Row],[CDP]]</f>
        <v>0</v>
      </c>
      <c r="U706" s="1357"/>
      <c r="V706" s="1357"/>
      <c r="W706" s="1357"/>
    </row>
    <row r="707" spans="1:23" s="1207" customFormat="1" ht="45" hidden="1" customHeight="1" x14ac:dyDescent="0.3">
      <c r="A707" s="1355">
        <v>2022731</v>
      </c>
      <c r="B707" s="1172" t="s">
        <v>459</v>
      </c>
      <c r="C707" s="1356"/>
      <c r="D707" s="1190" t="s">
        <v>689</v>
      </c>
      <c r="E707" s="1174" t="s">
        <v>1176</v>
      </c>
      <c r="F707" s="1379" t="s">
        <v>1347</v>
      </c>
      <c r="G707" s="1380">
        <v>44788</v>
      </c>
      <c r="H707" s="1380">
        <v>44783</v>
      </c>
      <c r="I707" s="1176">
        <v>3</v>
      </c>
      <c r="J707" s="1176" t="s">
        <v>699</v>
      </c>
      <c r="K707" s="1177" t="s">
        <v>674</v>
      </c>
      <c r="L707" s="1178"/>
      <c r="M707" s="1179">
        <v>15000000</v>
      </c>
      <c r="N707" s="1376"/>
      <c r="O707" s="1174"/>
      <c r="P707" s="1163" t="s">
        <v>757</v>
      </c>
      <c r="R707" s="1357"/>
      <c r="S707" s="1357"/>
      <c r="T707" s="1357">
        <f>+Tabla16[[#This Row],[CDPS A 31 JULIO 2022]]-Tabla16[[#This Row],[CDP]]</f>
        <v>0</v>
      </c>
      <c r="U707" s="1357"/>
      <c r="V707" s="1357"/>
      <c r="W707" s="1357"/>
    </row>
    <row r="708" spans="1:23" s="1207" customFormat="1" ht="45" hidden="1" customHeight="1" x14ac:dyDescent="0.3">
      <c r="A708" s="1355">
        <v>2022732</v>
      </c>
      <c r="B708" s="1172" t="s">
        <v>459</v>
      </c>
      <c r="C708" s="1356"/>
      <c r="D708" s="1190" t="s">
        <v>689</v>
      </c>
      <c r="E708" s="1174" t="s">
        <v>1184</v>
      </c>
      <c r="F708" s="1379" t="s">
        <v>1348</v>
      </c>
      <c r="G708" s="1380">
        <v>44782</v>
      </c>
      <c r="H708" s="1380">
        <v>44770</v>
      </c>
      <c r="I708" s="1176" t="s">
        <v>1349</v>
      </c>
      <c r="J708" s="1176" t="s">
        <v>645</v>
      </c>
      <c r="K708" s="1177" t="s">
        <v>43</v>
      </c>
      <c r="L708" s="1178"/>
      <c r="M708" s="1179">
        <v>348435865</v>
      </c>
      <c r="N708" s="1376"/>
      <c r="O708" s="1174"/>
      <c r="P708" s="1163" t="s">
        <v>757</v>
      </c>
      <c r="R708" s="1357"/>
      <c r="S708" s="1357"/>
      <c r="T708" s="1357">
        <f>+Tabla16[[#This Row],[CDPS A 31 JULIO 2022]]-Tabla16[[#This Row],[CDP]]</f>
        <v>0</v>
      </c>
      <c r="U708" s="1357"/>
      <c r="V708" s="1357"/>
      <c r="W708" s="1357"/>
    </row>
    <row r="709" spans="1:23" s="1207" customFormat="1" ht="45" hidden="1" customHeight="1" x14ac:dyDescent="0.3">
      <c r="A709" s="1355">
        <v>2022733</v>
      </c>
      <c r="B709" s="1172">
        <v>7637</v>
      </c>
      <c r="C709" s="1356" t="s">
        <v>643</v>
      </c>
      <c r="D709" s="1190" t="s">
        <v>671</v>
      </c>
      <c r="E709" s="1174">
        <v>72151500</v>
      </c>
      <c r="F709" s="1379" t="s">
        <v>1350</v>
      </c>
      <c r="G709" s="1380">
        <v>44778</v>
      </c>
      <c r="H709" s="1380">
        <v>44788</v>
      </c>
      <c r="I709" s="1176">
        <v>1</v>
      </c>
      <c r="J709" s="1176" t="s">
        <v>696</v>
      </c>
      <c r="K709" s="1177" t="s">
        <v>674</v>
      </c>
      <c r="L709" s="1178" t="s">
        <v>735</v>
      </c>
      <c r="M709" s="1179">
        <f>6500000+17750000+10750000</f>
        <v>35000000</v>
      </c>
      <c r="N709" s="1376" t="s">
        <v>676</v>
      </c>
      <c r="O709" s="1174" t="s">
        <v>677</v>
      </c>
      <c r="P709" s="1207" t="s">
        <v>757</v>
      </c>
      <c r="R709" s="1269">
        <v>0</v>
      </c>
      <c r="S709" s="1357"/>
      <c r="T709" s="1357">
        <f>+Tabla16[[#This Row],[CDPS A 31 JULIO 2022]]-Tabla16[[#This Row],[CDP]]</f>
        <v>0</v>
      </c>
      <c r="U709" s="1357"/>
      <c r="V709" s="1357"/>
      <c r="W709" s="1357"/>
    </row>
    <row r="710" spans="1:23" s="1207" customFormat="1" ht="45" customHeight="1" x14ac:dyDescent="0.3">
      <c r="A710" s="1398">
        <v>2022734</v>
      </c>
      <c r="B710" s="1399">
        <v>7655</v>
      </c>
      <c r="C710" s="1400" t="s">
        <v>668</v>
      </c>
      <c r="D710" s="1401" t="s">
        <v>671</v>
      </c>
      <c r="E710" s="1402">
        <v>80111600</v>
      </c>
      <c r="F710" s="1403" t="s">
        <v>4702</v>
      </c>
      <c r="G710" s="1404">
        <v>44788</v>
      </c>
      <c r="H710" s="1404">
        <v>44819</v>
      </c>
      <c r="I710" s="1405">
        <v>4.5</v>
      </c>
      <c r="J710" s="1405" t="s">
        <v>673</v>
      </c>
      <c r="K710" s="1406" t="s">
        <v>674</v>
      </c>
      <c r="L710" s="1407" t="s">
        <v>675</v>
      </c>
      <c r="M710" s="1408">
        <v>14400000</v>
      </c>
      <c r="N710" s="1409" t="s">
        <v>783</v>
      </c>
      <c r="O710" s="1402" t="s">
        <v>778</v>
      </c>
      <c r="P710" s="1410" t="s">
        <v>678</v>
      </c>
      <c r="R710" s="1269">
        <v>0</v>
      </c>
      <c r="S710" s="1357"/>
      <c r="T710" s="1357">
        <f>+Tabla16[[#This Row],[CDPS A 31 JULIO 2022]]-Tabla16[[#This Row],[CDP]]</f>
        <v>0</v>
      </c>
      <c r="U710" s="1357"/>
      <c r="V710" s="1357"/>
      <c r="W710" s="1357"/>
    </row>
    <row r="711" spans="1:23" s="1207" customFormat="1" ht="45" customHeight="1" x14ac:dyDescent="0.3">
      <c r="A711" s="1398">
        <v>2022735</v>
      </c>
      <c r="B711" s="1399">
        <v>7637</v>
      </c>
      <c r="C711" s="1400" t="s">
        <v>643</v>
      </c>
      <c r="D711" s="1401" t="s">
        <v>671</v>
      </c>
      <c r="E711" s="1402">
        <v>80111600</v>
      </c>
      <c r="F711" s="1403" t="s">
        <v>4680</v>
      </c>
      <c r="G711" s="1404">
        <v>44788</v>
      </c>
      <c r="H711" s="1404">
        <v>44819</v>
      </c>
      <c r="I711" s="1405">
        <v>4</v>
      </c>
      <c r="J711" s="1405" t="s">
        <v>673</v>
      </c>
      <c r="K711" s="1406" t="s">
        <v>674</v>
      </c>
      <c r="L711" s="1407" t="s">
        <v>675</v>
      </c>
      <c r="M711" s="1408">
        <v>15600000</v>
      </c>
      <c r="N711" s="1419" t="s">
        <v>676</v>
      </c>
      <c r="O711" s="1402" t="s">
        <v>677</v>
      </c>
      <c r="P711" s="1411" t="s">
        <v>678</v>
      </c>
      <c r="R711" s="1269">
        <v>0</v>
      </c>
      <c r="S711" s="1357"/>
      <c r="T711" s="1357">
        <f>+Tabla16[[#This Row],[CDPS A 31 JULIO 2022]]-Tabla16[[#This Row],[CDP]]</f>
        <v>0</v>
      </c>
      <c r="U711" s="1357"/>
      <c r="V711" s="1357"/>
      <c r="W711" s="1357"/>
    </row>
    <row r="712" spans="1:23" s="1207" customFormat="1" ht="61.5" hidden="1" customHeight="1" x14ac:dyDescent="0.3">
      <c r="A712" s="1355">
        <v>2022736</v>
      </c>
      <c r="B712" s="1172">
        <v>7655</v>
      </c>
      <c r="C712" s="1356" t="s">
        <v>668</v>
      </c>
      <c r="D712" s="1190" t="s">
        <v>671</v>
      </c>
      <c r="E712" s="1174">
        <v>80111600</v>
      </c>
      <c r="F712" s="1429" t="s">
        <v>1351</v>
      </c>
      <c r="G712" s="1380">
        <v>44774</v>
      </c>
      <c r="H712" s="1380">
        <v>44804</v>
      </c>
      <c r="I712" s="1176">
        <v>2</v>
      </c>
      <c r="J712" s="1176" t="s">
        <v>699</v>
      </c>
      <c r="K712" s="1177" t="s">
        <v>674</v>
      </c>
      <c r="L712" s="1178" t="s">
        <v>675</v>
      </c>
      <c r="M712" s="1179">
        <v>45000000</v>
      </c>
      <c r="N712" s="1376" t="s">
        <v>783</v>
      </c>
      <c r="O712" s="1174" t="s">
        <v>778</v>
      </c>
      <c r="P712" s="1163" t="s">
        <v>678</v>
      </c>
      <c r="R712" s="1269">
        <v>0</v>
      </c>
      <c r="S712" s="1357"/>
      <c r="T712" s="1357">
        <f>+Tabla16[[#This Row],[CDPS A 31 JULIO 2022]]-Tabla16[[#This Row],[CDP]]</f>
        <v>0</v>
      </c>
      <c r="U712" s="1357"/>
      <c r="V712" s="1357"/>
      <c r="W712" s="1357"/>
    </row>
    <row r="713" spans="1:23" s="1207" customFormat="1" ht="45" hidden="1" customHeight="1" x14ac:dyDescent="0.3">
      <c r="A713" s="1355">
        <v>2022737</v>
      </c>
      <c r="B713" s="1172">
        <v>7658</v>
      </c>
      <c r="C713" s="1356" t="s">
        <v>679</v>
      </c>
      <c r="D713" s="1190" t="s">
        <v>698</v>
      </c>
      <c r="E713" s="1174">
        <v>80111600</v>
      </c>
      <c r="F713" s="1379" t="s">
        <v>1352</v>
      </c>
      <c r="G713" s="1380">
        <v>44774</v>
      </c>
      <c r="H713" s="1380">
        <v>44774</v>
      </c>
      <c r="I713" s="1176">
        <v>5</v>
      </c>
      <c r="J713" s="1176" t="s">
        <v>673</v>
      </c>
      <c r="K713" s="1177" t="s">
        <v>674</v>
      </c>
      <c r="L713" s="1178" t="s">
        <v>675</v>
      </c>
      <c r="M713" s="1179">
        <v>30000000</v>
      </c>
      <c r="N713" s="1376" t="s">
        <v>779</v>
      </c>
      <c r="O713" s="1174" t="s">
        <v>771</v>
      </c>
      <c r="P713" s="1163" t="s">
        <v>678</v>
      </c>
      <c r="R713" s="1269">
        <v>0</v>
      </c>
      <c r="S713" s="1357"/>
      <c r="T713" s="1357">
        <f>+Tabla16[[#This Row],[CDPS A 31 JULIO 2022]]-Tabla16[[#This Row],[CDP]]</f>
        <v>0</v>
      </c>
      <c r="U713" s="1357"/>
      <c r="V713" s="1357"/>
      <c r="W713" s="1357"/>
    </row>
    <row r="714" spans="1:23" s="1207" customFormat="1" ht="45" hidden="1" customHeight="1" x14ac:dyDescent="0.3">
      <c r="A714" s="1355">
        <v>2022738</v>
      </c>
      <c r="B714" s="1172">
        <v>7658</v>
      </c>
      <c r="C714" s="1356" t="s">
        <v>679</v>
      </c>
      <c r="D714" s="1190" t="s">
        <v>695</v>
      </c>
      <c r="E714" s="1174">
        <v>80111600</v>
      </c>
      <c r="F714" s="1379" t="s">
        <v>1007</v>
      </c>
      <c r="G714" s="1380">
        <v>44784</v>
      </c>
      <c r="H714" s="1380">
        <v>44791</v>
      </c>
      <c r="I714" s="1176">
        <v>4</v>
      </c>
      <c r="J714" s="1176" t="s">
        <v>673</v>
      </c>
      <c r="K714" s="1177" t="s">
        <v>674</v>
      </c>
      <c r="L714" s="1178" t="s">
        <v>675</v>
      </c>
      <c r="M714" s="1179">
        <v>20700000</v>
      </c>
      <c r="N714" s="1376" t="s">
        <v>765</v>
      </c>
      <c r="O714" s="1174" t="s">
        <v>764</v>
      </c>
      <c r="P714" s="1207" t="s">
        <v>678</v>
      </c>
      <c r="R714" s="1269">
        <v>0</v>
      </c>
      <c r="S714" s="1357"/>
      <c r="T714" s="1357">
        <f>+Tabla16[[#This Row],[CDPS A 31 JULIO 2022]]-Tabla16[[#This Row],[CDP]]</f>
        <v>0</v>
      </c>
      <c r="U714" s="1357"/>
      <c r="V714" s="1357"/>
      <c r="W714" s="1357"/>
    </row>
    <row r="715" spans="1:23" s="1207" customFormat="1" ht="45" hidden="1" customHeight="1" x14ac:dyDescent="0.3">
      <c r="A715" s="1355">
        <v>2022739</v>
      </c>
      <c r="B715" s="1172">
        <v>7658</v>
      </c>
      <c r="C715" s="1356" t="s">
        <v>679</v>
      </c>
      <c r="D715" s="1190" t="s">
        <v>695</v>
      </c>
      <c r="E715" s="1174">
        <v>80111600</v>
      </c>
      <c r="F715" s="1379" t="s">
        <v>999</v>
      </c>
      <c r="G715" s="1380">
        <v>44789</v>
      </c>
      <c r="H715" s="1380">
        <v>44797</v>
      </c>
      <c r="I715" s="1176">
        <v>4</v>
      </c>
      <c r="J715" s="1176" t="s">
        <v>673</v>
      </c>
      <c r="K715" s="1177" t="s">
        <v>674</v>
      </c>
      <c r="L715" s="1178" t="s">
        <v>675</v>
      </c>
      <c r="M715" s="1179">
        <v>9800000</v>
      </c>
      <c r="N715" s="1376" t="s">
        <v>765</v>
      </c>
      <c r="O715" s="1174" t="s">
        <v>764</v>
      </c>
      <c r="P715" s="1207" t="s">
        <v>678</v>
      </c>
      <c r="R715" s="1269">
        <v>0</v>
      </c>
      <c r="S715" s="1357"/>
      <c r="T715" s="1357">
        <f>+Tabla16[[#This Row],[CDPS A 31 JULIO 2022]]-Tabla16[[#This Row],[CDP]]</f>
        <v>0</v>
      </c>
      <c r="U715" s="1357"/>
      <c r="V715" s="1357"/>
      <c r="W715" s="1357"/>
    </row>
    <row r="716" spans="1:23" s="1207" customFormat="1" ht="45" hidden="1" customHeight="1" x14ac:dyDescent="0.3">
      <c r="A716" s="1355">
        <v>2022740</v>
      </c>
      <c r="B716" s="1172">
        <v>7658</v>
      </c>
      <c r="C716" s="1356" t="s">
        <v>679</v>
      </c>
      <c r="D716" s="1190" t="s">
        <v>695</v>
      </c>
      <c r="E716" s="1174">
        <v>80111600</v>
      </c>
      <c r="F716" s="1379" t="s">
        <v>1353</v>
      </c>
      <c r="G716" s="1380">
        <v>44784</v>
      </c>
      <c r="H716" s="1380">
        <v>44793</v>
      </c>
      <c r="I716" s="1176">
        <v>3</v>
      </c>
      <c r="J716" s="1176" t="s">
        <v>673</v>
      </c>
      <c r="K716" s="1177" t="s">
        <v>674</v>
      </c>
      <c r="L716" s="1178" t="s">
        <v>675</v>
      </c>
      <c r="M716" s="1179">
        <f>16953300-3912300</f>
        <v>13041000</v>
      </c>
      <c r="N716" s="1376" t="s">
        <v>765</v>
      </c>
      <c r="O716" s="1174" t="s">
        <v>764</v>
      </c>
      <c r="P716" s="1207" t="s">
        <v>678</v>
      </c>
      <c r="R716" s="1269">
        <v>0</v>
      </c>
      <c r="S716" s="1357"/>
      <c r="T716" s="1357">
        <f>+Tabla16[[#This Row],[CDPS A 31 JULIO 2022]]-Tabla16[[#This Row],[CDP]]</f>
        <v>0</v>
      </c>
      <c r="U716" s="1357"/>
      <c r="V716" s="1357"/>
      <c r="W716" s="1357"/>
    </row>
    <row r="717" spans="1:23" s="1207" customFormat="1" ht="45" customHeight="1" x14ac:dyDescent="0.3">
      <c r="A717" s="1398">
        <v>2022741</v>
      </c>
      <c r="B717" s="1399">
        <v>7658</v>
      </c>
      <c r="C717" s="1400" t="s">
        <v>679</v>
      </c>
      <c r="D717" s="1401" t="s">
        <v>695</v>
      </c>
      <c r="E717" s="1402">
        <v>80111600</v>
      </c>
      <c r="F717" s="1403" t="s">
        <v>4701</v>
      </c>
      <c r="G717" s="1404">
        <v>44796</v>
      </c>
      <c r="H717" s="1404">
        <v>44804</v>
      </c>
      <c r="I717" s="1405">
        <v>3.5</v>
      </c>
      <c r="J717" s="1405" t="s">
        <v>673</v>
      </c>
      <c r="K717" s="1406" t="s">
        <v>674</v>
      </c>
      <c r="L717" s="1407" t="s">
        <v>675</v>
      </c>
      <c r="M717" s="1408">
        <v>13475000</v>
      </c>
      <c r="N717" s="1409" t="s">
        <v>765</v>
      </c>
      <c r="O717" s="1402" t="s">
        <v>764</v>
      </c>
      <c r="P717" s="1411" t="s">
        <v>757</v>
      </c>
      <c r="R717" s="1269">
        <v>0</v>
      </c>
      <c r="S717" s="1357"/>
      <c r="T717" s="1357">
        <f>+Tabla16[[#This Row],[CDPS A 31 JULIO 2022]]-Tabla16[[#This Row],[CDP]]</f>
        <v>0</v>
      </c>
      <c r="U717" s="1357"/>
      <c r="V717" s="1357"/>
      <c r="W717" s="1357"/>
    </row>
    <row r="718" spans="1:23" s="1207" customFormat="1" ht="45" hidden="1" customHeight="1" x14ac:dyDescent="0.3">
      <c r="A718" s="1355">
        <v>2022742</v>
      </c>
      <c r="B718" s="1172">
        <v>7655</v>
      </c>
      <c r="C718" s="1356" t="s">
        <v>668</v>
      </c>
      <c r="D718" s="1190" t="s">
        <v>695</v>
      </c>
      <c r="E718" s="1174">
        <v>80111600</v>
      </c>
      <c r="F718" s="1379" t="s">
        <v>855</v>
      </c>
      <c r="G718" s="1380">
        <v>44783</v>
      </c>
      <c r="H718" s="1380">
        <v>44790</v>
      </c>
      <c r="I718" s="1176">
        <v>4</v>
      </c>
      <c r="J718" s="1176" t="s">
        <v>673</v>
      </c>
      <c r="K718" s="1177" t="s">
        <v>674</v>
      </c>
      <c r="L718" s="1178" t="s">
        <v>675</v>
      </c>
      <c r="M718" s="1179">
        <v>15940000</v>
      </c>
      <c r="N718" s="1376" t="s">
        <v>783</v>
      </c>
      <c r="O718" s="1174" t="s">
        <v>778</v>
      </c>
      <c r="P718" s="1163" t="s">
        <v>678</v>
      </c>
      <c r="R718" s="1269">
        <v>0</v>
      </c>
      <c r="S718" s="1357"/>
      <c r="T718" s="1357">
        <f>+Tabla16[[#This Row],[CDPS A 31 JULIO 2022]]-Tabla16[[#This Row],[CDP]]</f>
        <v>0</v>
      </c>
      <c r="U718" s="1357"/>
      <c r="V718" s="1357"/>
      <c r="W718" s="1357"/>
    </row>
    <row r="719" spans="1:23" s="1207" customFormat="1" ht="45" hidden="1" customHeight="1" x14ac:dyDescent="0.3">
      <c r="A719" s="1355">
        <v>2022743</v>
      </c>
      <c r="B719" s="1172">
        <v>7655</v>
      </c>
      <c r="C719" s="1356" t="s">
        <v>668</v>
      </c>
      <c r="D719" s="1190" t="s">
        <v>695</v>
      </c>
      <c r="E719" s="1174">
        <v>80111600</v>
      </c>
      <c r="F719" s="1379" t="s">
        <v>856</v>
      </c>
      <c r="G719" s="1380">
        <v>44783</v>
      </c>
      <c r="H719" s="1380">
        <v>44790</v>
      </c>
      <c r="I719" s="1176">
        <v>4</v>
      </c>
      <c r="J719" s="1176" t="s">
        <v>673</v>
      </c>
      <c r="K719" s="1177" t="s">
        <v>674</v>
      </c>
      <c r="L719" s="1178" t="s">
        <v>675</v>
      </c>
      <c r="M719" s="1179">
        <v>9800000</v>
      </c>
      <c r="N719" s="1376" t="s">
        <v>783</v>
      </c>
      <c r="O719" s="1174" t="s">
        <v>778</v>
      </c>
      <c r="P719" s="1163" t="s">
        <v>678</v>
      </c>
      <c r="R719" s="1269">
        <v>0</v>
      </c>
      <c r="S719" s="1357"/>
      <c r="T719" s="1357">
        <f>+Tabla16[[#This Row],[CDPS A 31 JULIO 2022]]-Tabla16[[#This Row],[CDP]]</f>
        <v>0</v>
      </c>
      <c r="U719" s="1357"/>
      <c r="V719" s="1357"/>
      <c r="W719" s="1357"/>
    </row>
    <row r="720" spans="1:23" s="1207" customFormat="1" ht="45" hidden="1" customHeight="1" x14ac:dyDescent="0.3">
      <c r="A720" s="1355">
        <v>2022744</v>
      </c>
      <c r="B720" s="1172">
        <v>7655</v>
      </c>
      <c r="C720" s="1356" t="s">
        <v>668</v>
      </c>
      <c r="D720" s="1190" t="s">
        <v>695</v>
      </c>
      <c r="E720" s="1174">
        <v>80111600</v>
      </c>
      <c r="F720" s="1379" t="s">
        <v>1354</v>
      </c>
      <c r="G720" s="1380">
        <v>44784</v>
      </c>
      <c r="H720" s="1380">
        <v>44794</v>
      </c>
      <c r="I720" s="1176">
        <v>4</v>
      </c>
      <c r="J720" s="1176" t="s">
        <v>673</v>
      </c>
      <c r="K720" s="1177" t="s">
        <v>674</v>
      </c>
      <c r="L720" s="1178" t="s">
        <v>675</v>
      </c>
      <c r="M720" s="1179">
        <v>12898333</v>
      </c>
      <c r="N720" s="1376" t="s">
        <v>783</v>
      </c>
      <c r="O720" s="1174" t="s">
        <v>778</v>
      </c>
      <c r="P720" s="1163" t="s">
        <v>757</v>
      </c>
      <c r="R720" s="1269">
        <v>0</v>
      </c>
      <c r="S720" s="1357"/>
      <c r="T720" s="1357">
        <f>+Tabla16[[#This Row],[CDPS A 31 JULIO 2022]]-Tabla16[[#This Row],[CDP]]</f>
        <v>0</v>
      </c>
      <c r="U720" s="1357"/>
      <c r="V720" s="1357"/>
      <c r="W720" s="1357"/>
    </row>
    <row r="721" spans="1:23" s="1207" customFormat="1" ht="45" hidden="1" customHeight="1" x14ac:dyDescent="0.3">
      <c r="A721" s="1355">
        <v>2022745</v>
      </c>
      <c r="B721" s="1172">
        <v>7655</v>
      </c>
      <c r="C721" s="1356" t="s">
        <v>668</v>
      </c>
      <c r="D721" s="1190" t="s">
        <v>695</v>
      </c>
      <c r="E721" s="1174">
        <v>80111600</v>
      </c>
      <c r="F721" s="1379" t="s">
        <v>1355</v>
      </c>
      <c r="G721" s="1380">
        <v>44789</v>
      </c>
      <c r="H721" s="1380">
        <v>44798</v>
      </c>
      <c r="I721" s="1176">
        <v>2</v>
      </c>
      <c r="J721" s="1176" t="s">
        <v>673</v>
      </c>
      <c r="K721" s="1177" t="s">
        <v>674</v>
      </c>
      <c r="L721" s="1178" t="s">
        <v>675</v>
      </c>
      <c r="M721" s="1179">
        <v>10200000</v>
      </c>
      <c r="N721" s="1376" t="s">
        <v>783</v>
      </c>
      <c r="O721" s="1174" t="s">
        <v>778</v>
      </c>
      <c r="P721" s="1163" t="s">
        <v>757</v>
      </c>
      <c r="R721" s="1269">
        <v>0</v>
      </c>
      <c r="S721" s="1357"/>
      <c r="T721" s="1357">
        <f>+Tabla16[[#This Row],[CDPS A 31 JULIO 2022]]-Tabla16[[#This Row],[CDP]]</f>
        <v>0</v>
      </c>
      <c r="U721" s="1357"/>
      <c r="V721" s="1357"/>
      <c r="W721" s="1357"/>
    </row>
    <row r="722" spans="1:23" s="1207" customFormat="1" ht="45" hidden="1" customHeight="1" x14ac:dyDescent="0.3">
      <c r="A722" s="1355">
        <v>2022746</v>
      </c>
      <c r="B722" s="1172">
        <v>7655</v>
      </c>
      <c r="C722" s="1356" t="s">
        <v>668</v>
      </c>
      <c r="D722" s="1190" t="s">
        <v>695</v>
      </c>
      <c r="E722" s="1174">
        <v>80111600</v>
      </c>
      <c r="F722" s="1379" t="s">
        <v>863</v>
      </c>
      <c r="G722" s="1380">
        <v>44784</v>
      </c>
      <c r="H722" s="1380">
        <v>44791</v>
      </c>
      <c r="I722" s="1176">
        <v>3</v>
      </c>
      <c r="J722" s="1176" t="s">
        <v>673</v>
      </c>
      <c r="K722" s="1177" t="s">
        <v>674</v>
      </c>
      <c r="L722" s="1178" t="s">
        <v>675</v>
      </c>
      <c r="M722" s="1179">
        <f>29200000-11200000</f>
        <v>18000000</v>
      </c>
      <c r="N722" s="1376" t="s">
        <v>783</v>
      </c>
      <c r="O722" s="1174" t="s">
        <v>778</v>
      </c>
      <c r="P722" s="1163" t="s">
        <v>678</v>
      </c>
      <c r="R722" s="1269">
        <v>0</v>
      </c>
      <c r="S722" s="1357"/>
      <c r="T722" s="1357">
        <f>+Tabla16[[#This Row],[CDPS A 31 JULIO 2022]]-Tabla16[[#This Row],[CDP]]</f>
        <v>0</v>
      </c>
      <c r="U722" s="1357"/>
      <c r="V722" s="1357"/>
      <c r="W722" s="1357"/>
    </row>
    <row r="723" spans="1:23" s="1207" customFormat="1" ht="45" hidden="1" customHeight="1" x14ac:dyDescent="0.3">
      <c r="A723" s="1355">
        <v>2022747</v>
      </c>
      <c r="B723" s="1172">
        <v>7655</v>
      </c>
      <c r="C723" s="1356" t="s">
        <v>668</v>
      </c>
      <c r="D723" s="1190" t="s">
        <v>695</v>
      </c>
      <c r="E723" s="1174">
        <v>80111600</v>
      </c>
      <c r="F723" s="1379" t="s">
        <v>861</v>
      </c>
      <c r="G723" s="1380">
        <v>44784</v>
      </c>
      <c r="H723" s="1380">
        <v>44793</v>
      </c>
      <c r="I723" s="1176">
        <v>5</v>
      </c>
      <c r="J723" s="1176" t="s">
        <v>673</v>
      </c>
      <c r="K723" s="1177" t="s">
        <v>674</v>
      </c>
      <c r="L723" s="1178" t="s">
        <v>675</v>
      </c>
      <c r="M723" s="1179">
        <v>16560000</v>
      </c>
      <c r="N723" s="1376" t="s">
        <v>783</v>
      </c>
      <c r="O723" s="1174" t="s">
        <v>778</v>
      </c>
      <c r="P723" s="1163" t="s">
        <v>678</v>
      </c>
      <c r="R723" s="1269">
        <v>0</v>
      </c>
      <c r="S723" s="1357"/>
      <c r="T723" s="1357">
        <f>+Tabla16[[#This Row],[CDPS A 31 JULIO 2022]]-Tabla16[[#This Row],[CDP]]</f>
        <v>0</v>
      </c>
      <c r="U723" s="1357"/>
      <c r="V723" s="1357"/>
      <c r="W723" s="1357"/>
    </row>
    <row r="724" spans="1:23" s="1207" customFormat="1" ht="45" hidden="1" customHeight="1" x14ac:dyDescent="0.3">
      <c r="A724" s="1355">
        <v>2022748</v>
      </c>
      <c r="B724" s="1172">
        <v>7655</v>
      </c>
      <c r="C724" s="1356" t="s">
        <v>668</v>
      </c>
      <c r="D724" s="1190" t="s">
        <v>695</v>
      </c>
      <c r="E724" s="1174">
        <v>80111600</v>
      </c>
      <c r="F724" s="1174" t="s">
        <v>1356</v>
      </c>
      <c r="G724" s="1380">
        <v>44784</v>
      </c>
      <c r="H724" s="1380">
        <v>44794</v>
      </c>
      <c r="I724" s="1176">
        <v>4</v>
      </c>
      <c r="J724" s="1176" t="s">
        <v>673</v>
      </c>
      <c r="K724" s="1177" t="s">
        <v>674</v>
      </c>
      <c r="L724" s="1178" t="s">
        <v>675</v>
      </c>
      <c r="M724" s="1179">
        <v>18457500</v>
      </c>
      <c r="N724" s="1376" t="s">
        <v>783</v>
      </c>
      <c r="O724" s="1174" t="s">
        <v>778</v>
      </c>
      <c r="P724" s="1163" t="s">
        <v>757</v>
      </c>
      <c r="R724" s="1269">
        <v>0</v>
      </c>
      <c r="S724" s="1357"/>
      <c r="T724" s="1357">
        <f>+Tabla16[[#This Row],[CDPS A 31 JULIO 2022]]-Tabla16[[#This Row],[CDP]]</f>
        <v>0</v>
      </c>
      <c r="U724" s="1357"/>
      <c r="V724" s="1357"/>
      <c r="W724" s="1357"/>
    </row>
    <row r="725" spans="1:23" s="1207" customFormat="1" ht="45" hidden="1" customHeight="1" x14ac:dyDescent="0.3">
      <c r="A725" s="1355">
        <v>2022749</v>
      </c>
      <c r="B725" s="1172">
        <v>7655</v>
      </c>
      <c r="C725" s="1356" t="s">
        <v>668</v>
      </c>
      <c r="D725" s="1190" t="s">
        <v>695</v>
      </c>
      <c r="E725" s="1174">
        <v>80111600</v>
      </c>
      <c r="F725" s="1174" t="s">
        <v>868</v>
      </c>
      <c r="G725" s="1380">
        <v>44795</v>
      </c>
      <c r="H725" s="1380">
        <v>44802</v>
      </c>
      <c r="I725" s="1176">
        <v>4</v>
      </c>
      <c r="J725" s="1176" t="s">
        <v>673</v>
      </c>
      <c r="K725" s="1177" t="s">
        <v>674</v>
      </c>
      <c r="L725" s="1178" t="s">
        <v>675</v>
      </c>
      <c r="M725" s="1179">
        <v>14490000</v>
      </c>
      <c r="N725" s="1376" t="s">
        <v>783</v>
      </c>
      <c r="O725" s="1174" t="s">
        <v>778</v>
      </c>
      <c r="P725" s="1163" t="s">
        <v>678</v>
      </c>
      <c r="R725" s="1269">
        <v>0</v>
      </c>
      <c r="S725" s="1357"/>
      <c r="T725" s="1357">
        <f>+Tabla16[[#This Row],[CDPS A 31 JULIO 2022]]-Tabla16[[#This Row],[CDP]]</f>
        <v>0</v>
      </c>
      <c r="U725" s="1357"/>
      <c r="V725" s="1357"/>
      <c r="W725" s="1357"/>
    </row>
    <row r="726" spans="1:23" s="1207" customFormat="1" ht="45" hidden="1" customHeight="1" x14ac:dyDescent="0.3">
      <c r="A726" s="1355">
        <v>2022750</v>
      </c>
      <c r="B726" s="1172">
        <v>7655</v>
      </c>
      <c r="C726" s="1356" t="s">
        <v>668</v>
      </c>
      <c r="D726" s="1190" t="s">
        <v>695</v>
      </c>
      <c r="E726" s="1174">
        <v>80111600</v>
      </c>
      <c r="F726" s="1174" t="s">
        <v>1357</v>
      </c>
      <c r="G726" s="1380">
        <v>44784</v>
      </c>
      <c r="H726" s="1380">
        <v>44793</v>
      </c>
      <c r="I726" s="1176">
        <v>4</v>
      </c>
      <c r="J726" s="1176" t="s">
        <v>673</v>
      </c>
      <c r="K726" s="1177" t="s">
        <v>674</v>
      </c>
      <c r="L726" s="1178" t="s">
        <v>675</v>
      </c>
      <c r="M726" s="1179">
        <v>11385000</v>
      </c>
      <c r="N726" s="1376" t="s">
        <v>783</v>
      </c>
      <c r="O726" s="1174" t="s">
        <v>778</v>
      </c>
      <c r="P726" s="1163" t="s">
        <v>757</v>
      </c>
      <c r="R726" s="1269">
        <v>0</v>
      </c>
      <c r="S726" s="1357"/>
      <c r="T726" s="1357">
        <f>+Tabla16[[#This Row],[CDPS A 31 JULIO 2022]]-Tabla16[[#This Row],[CDP]]</f>
        <v>0</v>
      </c>
      <c r="U726" s="1357"/>
      <c r="V726" s="1357"/>
      <c r="W726" s="1357"/>
    </row>
    <row r="727" spans="1:23" s="1207" customFormat="1" ht="45" customHeight="1" x14ac:dyDescent="0.3">
      <c r="A727" s="1398">
        <v>2022751</v>
      </c>
      <c r="B727" s="1399">
        <v>7655</v>
      </c>
      <c r="C727" s="1400" t="s">
        <v>668</v>
      </c>
      <c r="D727" s="1401" t="s">
        <v>695</v>
      </c>
      <c r="E727" s="1402">
        <v>80111600</v>
      </c>
      <c r="F727" s="1402" t="s">
        <v>857</v>
      </c>
      <c r="G727" s="1404">
        <v>44792</v>
      </c>
      <c r="H727" s="1404">
        <v>44799</v>
      </c>
      <c r="I727" s="1405">
        <v>4</v>
      </c>
      <c r="J727" s="1405" t="s">
        <v>673</v>
      </c>
      <c r="K727" s="1406" t="s">
        <v>674</v>
      </c>
      <c r="L727" s="1407" t="s">
        <v>675</v>
      </c>
      <c r="M727" s="1408">
        <f>20400000-5100000-5100000</f>
        <v>10200000</v>
      </c>
      <c r="N727" s="1409" t="s">
        <v>783</v>
      </c>
      <c r="O727" s="1402" t="s">
        <v>778</v>
      </c>
      <c r="P727" s="1411" t="s">
        <v>678</v>
      </c>
      <c r="R727" s="1269">
        <v>0</v>
      </c>
      <c r="S727" s="1357"/>
      <c r="T727" s="1357">
        <f>+Tabla16[[#This Row],[CDPS A 31 JULIO 2022]]-Tabla16[[#This Row],[CDP]]</f>
        <v>0</v>
      </c>
      <c r="U727" s="1357"/>
      <c r="V727" s="1357"/>
      <c r="W727" s="1357"/>
    </row>
    <row r="728" spans="1:23" s="1207" customFormat="1" ht="45" hidden="1" customHeight="1" x14ac:dyDescent="0.3">
      <c r="A728" s="1355">
        <v>2022752</v>
      </c>
      <c r="B728" s="1172">
        <v>7655</v>
      </c>
      <c r="C728" s="1356" t="s">
        <v>668</v>
      </c>
      <c r="D728" s="1190" t="s">
        <v>695</v>
      </c>
      <c r="E728" s="1174">
        <v>80111600</v>
      </c>
      <c r="F728" s="1174" t="s">
        <v>871</v>
      </c>
      <c r="G728" s="1380">
        <v>44796</v>
      </c>
      <c r="H728" s="1380">
        <v>44804</v>
      </c>
      <c r="I728" s="1176">
        <v>3</v>
      </c>
      <c r="J728" s="1176" t="s">
        <v>673</v>
      </c>
      <c r="K728" s="1177" t="s">
        <v>674</v>
      </c>
      <c r="L728" s="1178" t="s">
        <v>675</v>
      </c>
      <c r="M728" s="1179">
        <f>18112500-2587500</f>
        <v>15525000</v>
      </c>
      <c r="N728" s="1376" t="s">
        <v>783</v>
      </c>
      <c r="O728" s="1174" t="s">
        <v>778</v>
      </c>
      <c r="P728" s="1163" t="s">
        <v>678</v>
      </c>
      <c r="R728" s="1269">
        <v>0</v>
      </c>
      <c r="S728" s="1357"/>
      <c r="T728" s="1357">
        <f>+Tabla16[[#This Row],[CDPS A 31 JULIO 2022]]-Tabla16[[#This Row],[CDP]]</f>
        <v>0</v>
      </c>
      <c r="U728" s="1357"/>
      <c r="V728" s="1357"/>
      <c r="W728" s="1357"/>
    </row>
    <row r="729" spans="1:23" s="1207" customFormat="1" ht="45" hidden="1" customHeight="1" x14ac:dyDescent="0.3">
      <c r="A729" s="1355">
        <v>2022753</v>
      </c>
      <c r="B729" s="1172">
        <v>7655</v>
      </c>
      <c r="C729" s="1356" t="s">
        <v>668</v>
      </c>
      <c r="D729" s="1190" t="s">
        <v>695</v>
      </c>
      <c r="E729" s="1174">
        <v>80111600</v>
      </c>
      <c r="F729" s="1174" t="s">
        <v>864</v>
      </c>
      <c r="G729" s="1380">
        <v>44796</v>
      </c>
      <c r="H729" s="1380">
        <v>44804</v>
      </c>
      <c r="I729" s="1176">
        <v>4.5</v>
      </c>
      <c r="J729" s="1176" t="s">
        <v>673</v>
      </c>
      <c r="K729" s="1177" t="s">
        <v>674</v>
      </c>
      <c r="L729" s="1178" t="s">
        <v>675</v>
      </c>
      <c r="M729" s="1179">
        <f>17325000-17325000</f>
        <v>0</v>
      </c>
      <c r="N729" s="1376" t="s">
        <v>783</v>
      </c>
      <c r="O729" s="1174" t="s">
        <v>778</v>
      </c>
      <c r="P729" s="1163" t="s">
        <v>678</v>
      </c>
      <c r="R729" s="1269">
        <v>0</v>
      </c>
      <c r="S729" s="1357"/>
      <c r="T729" s="1357">
        <f>+Tabla16[[#This Row],[CDPS A 31 JULIO 2022]]-Tabla16[[#This Row],[CDP]]</f>
        <v>0</v>
      </c>
      <c r="U729" s="1357"/>
      <c r="V729" s="1357"/>
      <c r="W729" s="1357"/>
    </row>
    <row r="730" spans="1:23" s="1207" customFormat="1" ht="45" customHeight="1" x14ac:dyDescent="0.3">
      <c r="A730" s="1398">
        <v>2022754</v>
      </c>
      <c r="B730" s="1399">
        <v>7658</v>
      </c>
      <c r="C730" s="1400" t="s">
        <v>679</v>
      </c>
      <c r="D730" s="1401" t="s">
        <v>692</v>
      </c>
      <c r="E730" s="1402" t="s">
        <v>1132</v>
      </c>
      <c r="F730" s="1419" t="s">
        <v>1358</v>
      </c>
      <c r="G730" s="1404">
        <v>44805</v>
      </c>
      <c r="H730" s="1404">
        <v>44849</v>
      </c>
      <c r="I730" s="1405">
        <v>2</v>
      </c>
      <c r="J730" s="1405" t="s">
        <v>645</v>
      </c>
      <c r="K730" s="1406" t="s">
        <v>770</v>
      </c>
      <c r="L730" s="1407" t="s">
        <v>4682</v>
      </c>
      <c r="M730" s="1408">
        <f>450000000+400000000-241130733-30000000</f>
        <v>578869267</v>
      </c>
      <c r="N730" s="1409" t="s">
        <v>768</v>
      </c>
      <c r="O730" s="1402" t="s">
        <v>767</v>
      </c>
      <c r="P730" s="1411" t="s">
        <v>678</v>
      </c>
      <c r="R730" s="1269">
        <v>0</v>
      </c>
      <c r="S730" s="1357"/>
      <c r="T730" s="1357">
        <f>+Tabla16[[#This Row],[CDPS A 31 JULIO 2022]]-Tabla16[[#This Row],[CDP]]</f>
        <v>0</v>
      </c>
      <c r="U730" s="1357"/>
      <c r="V730" s="1357"/>
      <c r="W730" s="1357"/>
    </row>
    <row r="731" spans="1:23" s="1207" customFormat="1" ht="45" customHeight="1" x14ac:dyDescent="0.3">
      <c r="A731" s="1398">
        <v>2022755</v>
      </c>
      <c r="B731" s="1399">
        <v>7658</v>
      </c>
      <c r="C731" s="1400" t="s">
        <v>679</v>
      </c>
      <c r="D731" s="1401" t="s">
        <v>692</v>
      </c>
      <c r="E731" s="1402" t="s">
        <v>1359</v>
      </c>
      <c r="F731" s="1419" t="s">
        <v>1360</v>
      </c>
      <c r="G731" s="1404">
        <v>44805</v>
      </c>
      <c r="H731" s="1404">
        <v>44849</v>
      </c>
      <c r="I731" s="1405">
        <v>2</v>
      </c>
      <c r="J731" s="1405" t="s">
        <v>687</v>
      </c>
      <c r="K731" s="1406" t="s">
        <v>674</v>
      </c>
      <c r="L731" s="1407" t="s">
        <v>675</v>
      </c>
      <c r="M731" s="1408">
        <f>285000000+30000000+10000000+20000000+21300000-19200000-4050000-20000000</f>
        <v>323050000</v>
      </c>
      <c r="N731" s="1409" t="s">
        <v>768</v>
      </c>
      <c r="O731" s="1402" t="s">
        <v>767</v>
      </c>
      <c r="P731" s="1411" t="s">
        <v>678</v>
      </c>
      <c r="R731" s="1269">
        <v>0</v>
      </c>
      <c r="S731" s="1357"/>
      <c r="T731" s="1357">
        <f>+Tabla16[[#This Row],[CDPS A 31 JULIO 2022]]-Tabla16[[#This Row],[CDP]]</f>
        <v>0</v>
      </c>
      <c r="U731" s="1357"/>
      <c r="V731" s="1357"/>
      <c r="W731" s="1357"/>
    </row>
    <row r="732" spans="1:23" s="1207" customFormat="1" ht="45" hidden="1" customHeight="1" x14ac:dyDescent="0.3">
      <c r="A732" s="1355">
        <v>2022756</v>
      </c>
      <c r="B732" s="1172">
        <v>7658</v>
      </c>
      <c r="C732" s="1356" t="s">
        <v>679</v>
      </c>
      <c r="D732" s="1190" t="s">
        <v>692</v>
      </c>
      <c r="E732" s="1174">
        <v>10111306</v>
      </c>
      <c r="F732" s="1189" t="s">
        <v>1361</v>
      </c>
      <c r="G732" s="1380">
        <v>44805</v>
      </c>
      <c r="H732" s="1380">
        <v>44849</v>
      </c>
      <c r="I732" s="1176">
        <v>2</v>
      </c>
      <c r="J732" s="1176" t="s">
        <v>699</v>
      </c>
      <c r="K732" s="1177" t="s">
        <v>674</v>
      </c>
      <c r="L732" s="1178" t="s">
        <v>675</v>
      </c>
      <c r="M732" s="1179">
        <f>8700000+12600000+3700000</f>
        <v>25000000</v>
      </c>
      <c r="N732" s="1376" t="s">
        <v>768</v>
      </c>
      <c r="O732" s="1174" t="s">
        <v>767</v>
      </c>
      <c r="P732" s="1163" t="s">
        <v>678</v>
      </c>
      <c r="R732" s="1269">
        <v>0</v>
      </c>
      <c r="S732" s="1357"/>
      <c r="T732" s="1357">
        <f>+Tabla16[[#This Row],[CDPS A 31 JULIO 2022]]-Tabla16[[#This Row],[CDP]]</f>
        <v>0</v>
      </c>
      <c r="U732" s="1357"/>
      <c r="V732" s="1357"/>
      <c r="W732" s="1357"/>
    </row>
    <row r="733" spans="1:23" s="1207" customFormat="1" ht="45" hidden="1" customHeight="1" x14ac:dyDescent="0.3">
      <c r="A733" s="1355">
        <v>2022757</v>
      </c>
      <c r="B733" s="1172">
        <v>7658</v>
      </c>
      <c r="C733" s="1356" t="s">
        <v>679</v>
      </c>
      <c r="D733" s="1190" t="s">
        <v>692</v>
      </c>
      <c r="E733" s="1174" t="s">
        <v>1362</v>
      </c>
      <c r="F733" s="1189" t="s">
        <v>1363</v>
      </c>
      <c r="G733" s="1380">
        <v>44805</v>
      </c>
      <c r="H733" s="1380">
        <v>44849</v>
      </c>
      <c r="I733" s="1176">
        <v>2</v>
      </c>
      <c r="J733" s="1176" t="s">
        <v>699</v>
      </c>
      <c r="K733" s="1177" t="s">
        <v>674</v>
      </c>
      <c r="L733" s="1178" t="s">
        <v>675</v>
      </c>
      <c r="M733" s="1179">
        <f>5300000+20000000+5942022</f>
        <v>31242022</v>
      </c>
      <c r="N733" s="1376" t="s">
        <v>768</v>
      </c>
      <c r="O733" s="1174" t="s">
        <v>767</v>
      </c>
      <c r="P733" s="1163" t="s">
        <v>678</v>
      </c>
      <c r="R733" s="1269">
        <v>0</v>
      </c>
      <c r="S733" s="1357"/>
      <c r="T733" s="1357">
        <f>+Tabla16[[#This Row],[CDPS A 31 JULIO 2022]]-Tabla16[[#This Row],[CDP]]</f>
        <v>0</v>
      </c>
      <c r="U733" s="1357"/>
      <c r="V733" s="1357"/>
      <c r="W733" s="1357"/>
    </row>
    <row r="734" spans="1:23" s="1207" customFormat="1" ht="45" hidden="1" customHeight="1" x14ac:dyDescent="0.3">
      <c r="A734" s="1355">
        <v>2022758</v>
      </c>
      <c r="B734" s="1172">
        <v>7658</v>
      </c>
      <c r="C734" s="1356" t="s">
        <v>679</v>
      </c>
      <c r="D734" s="1190" t="s">
        <v>692</v>
      </c>
      <c r="E734" s="1174" t="s">
        <v>1364</v>
      </c>
      <c r="F734" s="1189" t="s">
        <v>1365</v>
      </c>
      <c r="G734" s="1380">
        <v>44805</v>
      </c>
      <c r="H734" s="1380">
        <v>44849</v>
      </c>
      <c r="I734" s="1176">
        <v>2</v>
      </c>
      <c r="J734" s="1176" t="s">
        <v>699</v>
      </c>
      <c r="K734" s="1177" t="s">
        <v>674</v>
      </c>
      <c r="L734" s="1178" t="s">
        <v>675</v>
      </c>
      <c r="M734" s="1179">
        <f>5000000+12000000+3700000</f>
        <v>20700000</v>
      </c>
      <c r="N734" s="1376" t="s">
        <v>768</v>
      </c>
      <c r="O734" s="1174" t="s">
        <v>767</v>
      </c>
      <c r="P734" s="1163" t="s">
        <v>678</v>
      </c>
      <c r="R734" s="1269">
        <v>0</v>
      </c>
      <c r="S734" s="1357"/>
      <c r="T734" s="1357">
        <f>+Tabla16[[#This Row],[CDPS A 31 JULIO 2022]]-Tabla16[[#This Row],[CDP]]</f>
        <v>0</v>
      </c>
      <c r="U734" s="1357"/>
      <c r="V734" s="1357"/>
      <c r="W734" s="1357"/>
    </row>
    <row r="735" spans="1:23" s="1207" customFormat="1" ht="45" hidden="1" customHeight="1" x14ac:dyDescent="0.3">
      <c r="A735" s="1355">
        <v>2022759</v>
      </c>
      <c r="B735" s="1172">
        <v>7655</v>
      </c>
      <c r="C735" s="1356" t="s">
        <v>668</v>
      </c>
      <c r="D735" s="1190" t="s">
        <v>689</v>
      </c>
      <c r="E735" s="1174" t="s">
        <v>780</v>
      </c>
      <c r="F735" s="1174" t="s">
        <v>1366</v>
      </c>
      <c r="G735" s="1380">
        <v>44788</v>
      </c>
      <c r="H735" s="1380">
        <v>44778</v>
      </c>
      <c r="I735" s="1176">
        <v>4</v>
      </c>
      <c r="J735" s="1176" t="s">
        <v>673</v>
      </c>
      <c r="K735" s="1177" t="s">
        <v>674</v>
      </c>
      <c r="L735" s="1178" t="s">
        <v>675</v>
      </c>
      <c r="M735" s="1179">
        <v>24000000</v>
      </c>
      <c r="N735" s="1376" t="s">
        <v>783</v>
      </c>
      <c r="O735" s="1174" t="s">
        <v>778</v>
      </c>
      <c r="P735" s="1207" t="s">
        <v>678</v>
      </c>
      <c r="R735" s="1269">
        <v>0</v>
      </c>
      <c r="S735" s="1357"/>
      <c r="T735" s="1357">
        <f>+Tabla16[[#This Row],[CDPS A 31 JULIO 2022]]-Tabla16[[#This Row],[CDP]]</f>
        <v>0</v>
      </c>
      <c r="U735" s="1357"/>
      <c r="V735" s="1357"/>
      <c r="W735" s="1357"/>
    </row>
    <row r="736" spans="1:23" s="1207" customFormat="1" ht="45" hidden="1" customHeight="1" x14ac:dyDescent="0.3">
      <c r="A736" s="1355">
        <v>2022760</v>
      </c>
      <c r="B736" s="1172">
        <v>7655</v>
      </c>
      <c r="C736" s="1356" t="s">
        <v>668</v>
      </c>
      <c r="D736" s="1190" t="s">
        <v>689</v>
      </c>
      <c r="E736" s="1174" t="s">
        <v>780</v>
      </c>
      <c r="F736" s="1174" t="s">
        <v>1368</v>
      </c>
      <c r="G736" s="1380">
        <v>44788</v>
      </c>
      <c r="H736" s="1380">
        <v>44778</v>
      </c>
      <c r="I736" s="1176">
        <v>4</v>
      </c>
      <c r="J736" s="1176" t="s">
        <v>673</v>
      </c>
      <c r="K736" s="1177" t="s">
        <v>674</v>
      </c>
      <c r="L736" s="1178" t="s">
        <v>675</v>
      </c>
      <c r="M736" s="1179">
        <v>26000000</v>
      </c>
      <c r="N736" s="1376" t="s">
        <v>783</v>
      </c>
      <c r="O736" s="1174" t="s">
        <v>778</v>
      </c>
      <c r="P736" s="1207" t="s">
        <v>678</v>
      </c>
      <c r="R736" s="1269">
        <v>0</v>
      </c>
      <c r="S736" s="1357"/>
      <c r="T736" s="1357">
        <f>+Tabla16[[#This Row],[CDPS A 31 JULIO 2022]]-Tabla16[[#This Row],[CDP]]</f>
        <v>0</v>
      </c>
      <c r="U736" s="1357"/>
      <c r="V736" s="1357"/>
      <c r="W736" s="1357"/>
    </row>
    <row r="737" spans="1:23" s="1207" customFormat="1" ht="45" hidden="1" customHeight="1" x14ac:dyDescent="0.3">
      <c r="A737" s="1355">
        <v>2022761</v>
      </c>
      <c r="B737" s="1172">
        <v>7655</v>
      </c>
      <c r="C737" s="1356" t="s">
        <v>668</v>
      </c>
      <c r="D737" s="1190" t="s">
        <v>689</v>
      </c>
      <c r="E737" s="1174" t="s">
        <v>780</v>
      </c>
      <c r="F737" s="1174" t="s">
        <v>1369</v>
      </c>
      <c r="G737" s="1380">
        <v>44788</v>
      </c>
      <c r="H737" s="1380">
        <v>44778</v>
      </c>
      <c r="I737" s="1176">
        <v>4</v>
      </c>
      <c r="J737" s="1176" t="s">
        <v>673</v>
      </c>
      <c r="K737" s="1177" t="s">
        <v>674</v>
      </c>
      <c r="L737" s="1178" t="s">
        <v>675</v>
      </c>
      <c r="M737" s="1179">
        <v>11000000</v>
      </c>
      <c r="N737" s="1376" t="s">
        <v>783</v>
      </c>
      <c r="O737" s="1174" t="s">
        <v>778</v>
      </c>
      <c r="P737" s="1207" t="s">
        <v>678</v>
      </c>
      <c r="R737" s="1269">
        <v>0</v>
      </c>
      <c r="S737" s="1357"/>
      <c r="T737" s="1357">
        <f>+Tabla16[[#This Row],[CDPS A 31 JULIO 2022]]-Tabla16[[#This Row],[CDP]]</f>
        <v>0</v>
      </c>
      <c r="U737" s="1357"/>
      <c r="V737" s="1357"/>
      <c r="W737" s="1357"/>
    </row>
    <row r="738" spans="1:23" s="1207" customFormat="1" ht="45" hidden="1" customHeight="1" x14ac:dyDescent="0.3">
      <c r="A738" s="1355">
        <v>2022762</v>
      </c>
      <c r="B738" s="1172">
        <v>7655</v>
      </c>
      <c r="C738" s="1356" t="s">
        <v>668</v>
      </c>
      <c r="D738" s="1190" t="s">
        <v>689</v>
      </c>
      <c r="E738" s="1174" t="s">
        <v>780</v>
      </c>
      <c r="F738" s="1174" t="s">
        <v>1370</v>
      </c>
      <c r="G738" s="1380">
        <v>44788</v>
      </c>
      <c r="H738" s="1380">
        <v>44778</v>
      </c>
      <c r="I738" s="1176">
        <v>5</v>
      </c>
      <c r="J738" s="1176" t="s">
        <v>673</v>
      </c>
      <c r="K738" s="1177" t="s">
        <v>674</v>
      </c>
      <c r="L738" s="1178" t="s">
        <v>675</v>
      </c>
      <c r="M738" s="1179">
        <v>19250000</v>
      </c>
      <c r="N738" s="1376" t="s">
        <v>783</v>
      </c>
      <c r="O738" s="1174" t="s">
        <v>778</v>
      </c>
      <c r="P738" s="1207" t="s">
        <v>678</v>
      </c>
      <c r="R738" s="1269">
        <v>0</v>
      </c>
      <c r="S738" s="1357"/>
      <c r="T738" s="1357">
        <f>+Tabla16[[#This Row],[CDPS A 31 JULIO 2022]]-Tabla16[[#This Row],[CDP]]</f>
        <v>0</v>
      </c>
      <c r="U738" s="1357"/>
      <c r="V738" s="1357"/>
      <c r="W738" s="1357"/>
    </row>
    <row r="739" spans="1:23" s="1207" customFormat="1" ht="45" hidden="1" customHeight="1" x14ac:dyDescent="0.3">
      <c r="A739" s="1355">
        <v>2022763</v>
      </c>
      <c r="B739" s="1172">
        <v>7655</v>
      </c>
      <c r="C739" s="1356" t="s">
        <v>668</v>
      </c>
      <c r="D739" s="1190" t="s">
        <v>689</v>
      </c>
      <c r="E739" s="1174" t="s">
        <v>780</v>
      </c>
      <c r="F739" s="1174" t="s">
        <v>1372</v>
      </c>
      <c r="G739" s="1380">
        <v>44788</v>
      </c>
      <c r="H739" s="1380">
        <v>44778</v>
      </c>
      <c r="I739" s="1176">
        <v>5</v>
      </c>
      <c r="J739" s="1176" t="s">
        <v>673</v>
      </c>
      <c r="K739" s="1177" t="s">
        <v>674</v>
      </c>
      <c r="L739" s="1178" t="s">
        <v>675</v>
      </c>
      <c r="M739" s="1179">
        <v>27500000</v>
      </c>
      <c r="N739" s="1376" t="s">
        <v>783</v>
      </c>
      <c r="O739" s="1174" t="s">
        <v>778</v>
      </c>
      <c r="P739" s="1207" t="s">
        <v>678</v>
      </c>
      <c r="R739" s="1269">
        <v>0</v>
      </c>
      <c r="S739" s="1357"/>
      <c r="T739" s="1357">
        <f>+Tabla16[[#This Row],[CDPS A 31 JULIO 2022]]-Tabla16[[#This Row],[CDP]]</f>
        <v>0</v>
      </c>
      <c r="U739" s="1357"/>
      <c r="V739" s="1357"/>
      <c r="W739" s="1357"/>
    </row>
    <row r="740" spans="1:23" s="1207" customFormat="1" ht="45" hidden="1" customHeight="1" x14ac:dyDescent="0.3">
      <c r="A740" s="1355">
        <v>2022764</v>
      </c>
      <c r="B740" s="1172">
        <v>7655</v>
      </c>
      <c r="C740" s="1356" t="s">
        <v>668</v>
      </c>
      <c r="D740" s="1190" t="s">
        <v>689</v>
      </c>
      <c r="E740" s="1174" t="s">
        <v>780</v>
      </c>
      <c r="F740" s="1174" t="s">
        <v>1373</v>
      </c>
      <c r="G740" s="1380">
        <v>44788</v>
      </c>
      <c r="H740" s="1380">
        <v>44778</v>
      </c>
      <c r="I740" s="1176">
        <v>5</v>
      </c>
      <c r="J740" s="1176" t="s">
        <v>673</v>
      </c>
      <c r="K740" s="1177" t="s">
        <v>674</v>
      </c>
      <c r="L740" s="1178" t="s">
        <v>675</v>
      </c>
      <c r="M740" s="1179">
        <v>27500000</v>
      </c>
      <c r="N740" s="1376" t="s">
        <v>783</v>
      </c>
      <c r="O740" s="1174" t="s">
        <v>778</v>
      </c>
      <c r="P740" s="1207" t="s">
        <v>678</v>
      </c>
      <c r="R740" s="1269">
        <v>0</v>
      </c>
      <c r="S740" s="1357"/>
      <c r="T740" s="1357">
        <f>+Tabla16[[#This Row],[CDPS A 31 JULIO 2022]]-Tabla16[[#This Row],[CDP]]</f>
        <v>0</v>
      </c>
      <c r="U740" s="1357"/>
      <c r="V740" s="1357"/>
      <c r="W740" s="1357"/>
    </row>
    <row r="741" spans="1:23" s="1317" customFormat="1" ht="45" customHeight="1" x14ac:dyDescent="0.3">
      <c r="A741" s="1398">
        <v>2022765</v>
      </c>
      <c r="B741" s="1399">
        <v>7655</v>
      </c>
      <c r="C741" s="1400" t="s">
        <v>668</v>
      </c>
      <c r="D741" s="1401" t="s">
        <v>689</v>
      </c>
      <c r="E741" s="1402" t="s">
        <v>780</v>
      </c>
      <c r="F741" s="1431" t="s">
        <v>1374</v>
      </c>
      <c r="G741" s="1404">
        <v>44788</v>
      </c>
      <c r="H741" s="1404">
        <v>44778</v>
      </c>
      <c r="I741" s="1405">
        <v>1</v>
      </c>
      <c r="J741" s="1405" t="s">
        <v>673</v>
      </c>
      <c r="K741" s="1406" t="s">
        <v>674</v>
      </c>
      <c r="L741" s="1407" t="s">
        <v>675</v>
      </c>
      <c r="M741" s="1408">
        <v>2750000</v>
      </c>
      <c r="N741" s="1409" t="s">
        <v>783</v>
      </c>
      <c r="O741" s="1402" t="s">
        <v>778</v>
      </c>
      <c r="P741" s="1411" t="s">
        <v>678</v>
      </c>
      <c r="R741" s="1352"/>
      <c r="S741" s="1352"/>
      <c r="T741" s="1352">
        <f>+Tabla16[[#This Row],[CDPS A 31 JULIO 2022]]-Tabla16[[#This Row],[CDP]]</f>
        <v>0</v>
      </c>
      <c r="U741" s="1352"/>
      <c r="V741" s="1352"/>
      <c r="W741" s="1352"/>
    </row>
    <row r="742" spans="1:23" s="1317" customFormat="1" ht="45" hidden="1" customHeight="1" x14ac:dyDescent="0.3">
      <c r="A742" s="1355">
        <v>2022766</v>
      </c>
      <c r="B742" s="1172">
        <v>7655</v>
      </c>
      <c r="C742" s="1356" t="s">
        <v>668</v>
      </c>
      <c r="D742" s="1190" t="s">
        <v>671</v>
      </c>
      <c r="E742" s="1174">
        <v>80111600</v>
      </c>
      <c r="F742" s="1174" t="s">
        <v>1375</v>
      </c>
      <c r="G742" s="1380">
        <v>44788</v>
      </c>
      <c r="H742" s="1380">
        <v>44819</v>
      </c>
      <c r="I742" s="1176">
        <v>3.5</v>
      </c>
      <c r="J742" s="1176" t="s">
        <v>673</v>
      </c>
      <c r="K742" s="1177" t="s">
        <v>674</v>
      </c>
      <c r="L742" s="1178" t="s">
        <v>675</v>
      </c>
      <c r="M742" s="1179">
        <v>24000000</v>
      </c>
      <c r="N742" s="1376" t="s">
        <v>783</v>
      </c>
      <c r="O742" s="1174" t="s">
        <v>778</v>
      </c>
      <c r="P742" s="1207" t="s">
        <v>748</v>
      </c>
      <c r="Q742" s="1207"/>
      <c r="R742" s="1357"/>
      <c r="S742" s="1357"/>
      <c r="T742" s="1357">
        <f>+Tabla16[[#This Row],[CDPS A 31 JULIO 2022]]-Tabla16[[#This Row],[CDP]]</f>
        <v>0</v>
      </c>
      <c r="U742" s="1357"/>
      <c r="V742" s="1357"/>
      <c r="W742" s="1357"/>
    </row>
    <row r="743" spans="1:23" s="1317" customFormat="1" ht="45" hidden="1" customHeight="1" x14ac:dyDescent="0.3">
      <c r="A743" s="1355">
        <v>2022767</v>
      </c>
      <c r="B743" s="1172">
        <v>7655</v>
      </c>
      <c r="C743" s="1356" t="s">
        <v>668</v>
      </c>
      <c r="D743" s="1190" t="s">
        <v>671</v>
      </c>
      <c r="E743" s="1174">
        <v>80111600</v>
      </c>
      <c r="F743" s="1189" t="s">
        <v>1376</v>
      </c>
      <c r="G743" s="1380">
        <v>44788</v>
      </c>
      <c r="H743" s="1380">
        <v>44819</v>
      </c>
      <c r="I743" s="1176">
        <v>3.5</v>
      </c>
      <c r="J743" s="1176" t="s">
        <v>673</v>
      </c>
      <c r="K743" s="1177" t="s">
        <v>674</v>
      </c>
      <c r="L743" s="1178" t="s">
        <v>675</v>
      </c>
      <c r="M743" s="1179">
        <v>15000000</v>
      </c>
      <c r="N743" s="1376" t="s">
        <v>783</v>
      </c>
      <c r="O743" s="1174" t="s">
        <v>778</v>
      </c>
      <c r="P743" s="1207" t="s">
        <v>748</v>
      </c>
      <c r="Q743" s="1207"/>
      <c r="R743" s="1357"/>
      <c r="S743" s="1357"/>
      <c r="T743" s="1357">
        <f>+Tabla16[[#This Row],[CDPS A 31 JULIO 2022]]-Tabla16[[#This Row],[CDP]]</f>
        <v>0</v>
      </c>
      <c r="U743" s="1357"/>
      <c r="V743" s="1357"/>
      <c r="W743" s="1357"/>
    </row>
    <row r="744" spans="1:23" s="1317" customFormat="1" ht="45" hidden="1" customHeight="1" x14ac:dyDescent="0.3">
      <c r="A744" s="1355">
        <v>2022768</v>
      </c>
      <c r="B744" s="1172">
        <v>7655</v>
      </c>
      <c r="C744" s="1356" t="s">
        <v>668</v>
      </c>
      <c r="D744" s="1190" t="s">
        <v>671</v>
      </c>
      <c r="E744" s="1174">
        <v>80111600</v>
      </c>
      <c r="F744" s="1174" t="s">
        <v>1377</v>
      </c>
      <c r="G744" s="1380">
        <v>44788</v>
      </c>
      <c r="H744" s="1380">
        <v>44819</v>
      </c>
      <c r="I744" s="1176">
        <v>3</v>
      </c>
      <c r="J744" s="1176" t="s">
        <v>673</v>
      </c>
      <c r="K744" s="1177" t="s">
        <v>674</v>
      </c>
      <c r="L744" s="1178" t="s">
        <v>675</v>
      </c>
      <c r="M744" s="1179">
        <v>13500000</v>
      </c>
      <c r="N744" s="1376" t="s">
        <v>783</v>
      </c>
      <c r="O744" s="1174" t="s">
        <v>778</v>
      </c>
      <c r="P744" s="1163" t="s">
        <v>757</v>
      </c>
      <c r="Q744" s="1207"/>
      <c r="R744" s="1357"/>
      <c r="S744" s="1357"/>
      <c r="T744" s="1357">
        <f>+Tabla16[[#This Row],[CDPS A 31 JULIO 2022]]-Tabla16[[#This Row],[CDP]]</f>
        <v>0</v>
      </c>
      <c r="U744" s="1357"/>
      <c r="V744" s="1357"/>
      <c r="W744" s="1357"/>
    </row>
    <row r="745" spans="1:23" s="1317" customFormat="1" ht="45" hidden="1" customHeight="1" x14ac:dyDescent="0.3">
      <c r="A745" s="1355">
        <v>2022769</v>
      </c>
      <c r="B745" s="1172">
        <v>7655</v>
      </c>
      <c r="C745" s="1356" t="s">
        <v>668</v>
      </c>
      <c r="D745" s="1190" t="s">
        <v>671</v>
      </c>
      <c r="E745" s="1174">
        <v>80111600</v>
      </c>
      <c r="F745" s="1174" t="s">
        <v>1378</v>
      </c>
      <c r="G745" s="1380">
        <v>44788</v>
      </c>
      <c r="H745" s="1380">
        <v>44819</v>
      </c>
      <c r="I745" s="1176">
        <v>3</v>
      </c>
      <c r="J745" s="1176" t="s">
        <v>673</v>
      </c>
      <c r="K745" s="1177" t="s">
        <v>674</v>
      </c>
      <c r="L745" s="1178" t="s">
        <v>675</v>
      </c>
      <c r="M745" s="1179">
        <v>13500000</v>
      </c>
      <c r="N745" s="1376" t="s">
        <v>783</v>
      </c>
      <c r="O745" s="1174" t="s">
        <v>778</v>
      </c>
      <c r="P745" s="1163" t="s">
        <v>757</v>
      </c>
      <c r="Q745" s="1207"/>
      <c r="R745" s="1357"/>
      <c r="S745" s="1357"/>
      <c r="T745" s="1357">
        <f>+Tabla16[[#This Row],[CDPS A 31 JULIO 2022]]-Tabla16[[#This Row],[CDP]]</f>
        <v>0</v>
      </c>
      <c r="U745" s="1357"/>
      <c r="V745" s="1357"/>
      <c r="W745" s="1357"/>
    </row>
    <row r="746" spans="1:23" s="1317" customFormat="1" ht="45" hidden="1" customHeight="1" x14ac:dyDescent="0.3">
      <c r="A746" s="1355">
        <v>2022770</v>
      </c>
      <c r="B746" s="1172">
        <v>7655</v>
      </c>
      <c r="C746" s="1356" t="s">
        <v>668</v>
      </c>
      <c r="D746" s="1190" t="s">
        <v>671</v>
      </c>
      <c r="E746" s="1174">
        <v>80111600</v>
      </c>
      <c r="F746" s="1174" t="s">
        <v>1379</v>
      </c>
      <c r="G746" s="1380">
        <v>44788</v>
      </c>
      <c r="H746" s="1380">
        <v>44819</v>
      </c>
      <c r="I746" s="1176">
        <v>3</v>
      </c>
      <c r="J746" s="1176" t="s">
        <v>673</v>
      </c>
      <c r="K746" s="1177" t="s">
        <v>674</v>
      </c>
      <c r="L746" s="1178" t="s">
        <v>675</v>
      </c>
      <c r="M746" s="1179">
        <v>13500000</v>
      </c>
      <c r="N746" s="1376" t="s">
        <v>783</v>
      </c>
      <c r="O746" s="1174" t="s">
        <v>778</v>
      </c>
      <c r="P746" s="1163" t="s">
        <v>757</v>
      </c>
      <c r="Q746" s="1207"/>
      <c r="R746" s="1357"/>
      <c r="S746" s="1357"/>
      <c r="T746" s="1357">
        <f>+Tabla16[[#This Row],[CDPS A 31 JULIO 2022]]-Tabla16[[#This Row],[CDP]]</f>
        <v>0</v>
      </c>
      <c r="U746" s="1357"/>
      <c r="V746" s="1357"/>
      <c r="W746" s="1357"/>
    </row>
    <row r="747" spans="1:23" s="1317" customFormat="1" ht="45" hidden="1" customHeight="1" x14ac:dyDescent="0.3">
      <c r="A747" s="1355">
        <v>2022771</v>
      </c>
      <c r="B747" s="1172">
        <v>7655</v>
      </c>
      <c r="C747" s="1356" t="s">
        <v>668</v>
      </c>
      <c r="D747" s="1190" t="s">
        <v>671</v>
      </c>
      <c r="E747" s="1174">
        <v>80111600</v>
      </c>
      <c r="F747" s="1174" t="s">
        <v>1380</v>
      </c>
      <c r="G747" s="1380">
        <v>44788</v>
      </c>
      <c r="H747" s="1380">
        <v>44819</v>
      </c>
      <c r="I747" s="1176">
        <v>3.5</v>
      </c>
      <c r="J747" s="1176" t="s">
        <v>673</v>
      </c>
      <c r="K747" s="1177" t="s">
        <v>674</v>
      </c>
      <c r="L747" s="1178" t="s">
        <v>675</v>
      </c>
      <c r="M747" s="1179">
        <v>29750000</v>
      </c>
      <c r="N747" s="1376" t="s">
        <v>783</v>
      </c>
      <c r="O747" s="1174" t="s">
        <v>778</v>
      </c>
      <c r="P747" s="1163" t="s">
        <v>757</v>
      </c>
      <c r="Q747" s="1207"/>
      <c r="R747" s="1357"/>
      <c r="S747" s="1357"/>
      <c r="T747" s="1357">
        <f>+Tabla16[[#This Row],[CDPS A 31 JULIO 2022]]-Tabla16[[#This Row],[CDP]]</f>
        <v>0</v>
      </c>
      <c r="U747" s="1357"/>
      <c r="V747" s="1357"/>
      <c r="W747" s="1357"/>
    </row>
    <row r="748" spans="1:23" s="1317" customFormat="1" ht="45" hidden="1" customHeight="1" x14ac:dyDescent="0.3">
      <c r="A748" s="1355">
        <v>2022772</v>
      </c>
      <c r="B748" s="1172">
        <v>7655</v>
      </c>
      <c r="C748" s="1356" t="s">
        <v>668</v>
      </c>
      <c r="D748" s="1190" t="s">
        <v>671</v>
      </c>
      <c r="E748" s="1174">
        <v>80111600</v>
      </c>
      <c r="F748" s="1174" t="s">
        <v>1381</v>
      </c>
      <c r="G748" s="1380">
        <v>44788</v>
      </c>
      <c r="H748" s="1380">
        <v>44819</v>
      </c>
      <c r="I748" s="1176">
        <v>3</v>
      </c>
      <c r="J748" s="1176" t="s">
        <v>673</v>
      </c>
      <c r="K748" s="1177" t="s">
        <v>674</v>
      </c>
      <c r="L748" s="1178" t="s">
        <v>675</v>
      </c>
      <c r="M748" s="1179">
        <v>13500000</v>
      </c>
      <c r="N748" s="1376" t="s">
        <v>783</v>
      </c>
      <c r="O748" s="1174" t="s">
        <v>778</v>
      </c>
      <c r="P748" s="1163" t="s">
        <v>757</v>
      </c>
      <c r="Q748" s="1207"/>
      <c r="R748" s="1357"/>
      <c r="S748" s="1357"/>
      <c r="T748" s="1357">
        <f>+Tabla16[[#This Row],[CDPS A 31 JULIO 2022]]-Tabla16[[#This Row],[CDP]]</f>
        <v>0</v>
      </c>
      <c r="U748" s="1357"/>
      <c r="V748" s="1357"/>
      <c r="W748" s="1357"/>
    </row>
    <row r="749" spans="1:23" s="1317" customFormat="1" ht="45" hidden="1" customHeight="1" x14ac:dyDescent="0.3">
      <c r="A749" s="1355">
        <v>2022773</v>
      </c>
      <c r="B749" s="1172">
        <v>7655</v>
      </c>
      <c r="C749" s="1356" t="s">
        <v>668</v>
      </c>
      <c r="D749" s="1190" t="s">
        <v>686</v>
      </c>
      <c r="E749" s="1174">
        <v>80111600</v>
      </c>
      <c r="F749" s="1174" t="s">
        <v>1382</v>
      </c>
      <c r="G749" s="1380">
        <v>44822</v>
      </c>
      <c r="H749" s="1380">
        <v>44822</v>
      </c>
      <c r="I749" s="1176">
        <v>4</v>
      </c>
      <c r="J749" s="1176" t="s">
        <v>673</v>
      </c>
      <c r="K749" s="1177" t="s">
        <v>674</v>
      </c>
      <c r="L749" s="1178" t="s">
        <v>675</v>
      </c>
      <c r="M749" s="1179">
        <v>13123664</v>
      </c>
      <c r="N749" s="1376" t="s">
        <v>783</v>
      </c>
      <c r="O749" s="1174" t="s">
        <v>778</v>
      </c>
      <c r="P749" s="1163" t="s">
        <v>757</v>
      </c>
      <c r="Q749" s="1207"/>
      <c r="R749" s="1357"/>
      <c r="S749" s="1357"/>
      <c r="T749" s="1357">
        <f>+Tabla16[[#This Row],[CDPS A 31 JULIO 2022]]-Tabla16[[#This Row],[CDP]]</f>
        <v>0</v>
      </c>
      <c r="U749" s="1357"/>
      <c r="V749" s="1357"/>
      <c r="W749" s="1357"/>
    </row>
    <row r="750" spans="1:23" s="1317" customFormat="1" ht="45" hidden="1" customHeight="1" x14ac:dyDescent="0.3">
      <c r="A750" s="1355">
        <v>2022774</v>
      </c>
      <c r="B750" s="1172">
        <v>7655</v>
      </c>
      <c r="C750" s="1356" t="s">
        <v>668</v>
      </c>
      <c r="D750" s="1190" t="s">
        <v>686</v>
      </c>
      <c r="E750" s="1174">
        <v>80111600</v>
      </c>
      <c r="F750" s="1174" t="s">
        <v>1383</v>
      </c>
      <c r="G750" s="1380">
        <v>44822</v>
      </c>
      <c r="H750" s="1380">
        <v>44822</v>
      </c>
      <c r="I750" s="1176">
        <v>4</v>
      </c>
      <c r="J750" s="1176" t="s">
        <v>673</v>
      </c>
      <c r="K750" s="1177" t="s">
        <v>674</v>
      </c>
      <c r="L750" s="1178" t="s">
        <v>675</v>
      </c>
      <c r="M750" s="1179">
        <v>15232332</v>
      </c>
      <c r="N750" s="1376" t="s">
        <v>783</v>
      </c>
      <c r="O750" s="1174" t="s">
        <v>778</v>
      </c>
      <c r="P750" s="1163" t="s">
        <v>757</v>
      </c>
      <c r="Q750" s="1207"/>
      <c r="R750" s="1357"/>
      <c r="S750" s="1357"/>
      <c r="T750" s="1357">
        <f>+Tabla16[[#This Row],[CDPS A 31 JULIO 2022]]-Tabla16[[#This Row],[CDP]]</f>
        <v>0</v>
      </c>
      <c r="U750" s="1357"/>
      <c r="V750" s="1357"/>
      <c r="W750" s="1357"/>
    </row>
    <row r="751" spans="1:23" s="1317" customFormat="1" ht="45" hidden="1" customHeight="1" x14ac:dyDescent="0.3">
      <c r="A751" s="1355">
        <v>2022775</v>
      </c>
      <c r="B751" s="1172">
        <v>7655</v>
      </c>
      <c r="C751" s="1356" t="s">
        <v>668</v>
      </c>
      <c r="D751" s="1190" t="s">
        <v>686</v>
      </c>
      <c r="E751" s="1174">
        <v>80111600</v>
      </c>
      <c r="F751" s="1174" t="s">
        <v>1384</v>
      </c>
      <c r="G751" s="1380">
        <v>44822</v>
      </c>
      <c r="H751" s="1380">
        <v>44822</v>
      </c>
      <c r="I751" s="1176">
        <v>4</v>
      </c>
      <c r="J751" s="1176" t="s">
        <v>673</v>
      </c>
      <c r="K751" s="1177" t="s">
        <v>674</v>
      </c>
      <c r="L751" s="1178" t="s">
        <v>675</v>
      </c>
      <c r="M751" s="1179">
        <v>26450332</v>
      </c>
      <c r="N751" s="1376" t="s">
        <v>783</v>
      </c>
      <c r="O751" s="1174" t="s">
        <v>778</v>
      </c>
      <c r="P751" s="1163" t="s">
        <v>757</v>
      </c>
      <c r="Q751" s="1207"/>
      <c r="R751" s="1357"/>
      <c r="S751" s="1357"/>
      <c r="T751" s="1357">
        <f>+Tabla16[[#This Row],[CDPS A 31 JULIO 2022]]-Tabla16[[#This Row],[CDP]]</f>
        <v>0</v>
      </c>
      <c r="U751" s="1357"/>
      <c r="V751" s="1357"/>
      <c r="W751" s="1357"/>
    </row>
    <row r="752" spans="1:23" s="1317" customFormat="1" ht="45" hidden="1" customHeight="1" x14ac:dyDescent="0.3">
      <c r="A752" s="1355">
        <v>2022776</v>
      </c>
      <c r="B752" s="1172">
        <v>7655</v>
      </c>
      <c r="C752" s="1356" t="s">
        <v>668</v>
      </c>
      <c r="D752" s="1190" t="s">
        <v>686</v>
      </c>
      <c r="E752" s="1174">
        <v>80111600</v>
      </c>
      <c r="F752" s="1174" t="s">
        <v>1385</v>
      </c>
      <c r="G752" s="1380">
        <v>44840</v>
      </c>
      <c r="H752" s="1380">
        <v>44840</v>
      </c>
      <c r="I752" s="1176">
        <v>4</v>
      </c>
      <c r="J752" s="1176" t="s">
        <v>673</v>
      </c>
      <c r="K752" s="1177" t="s">
        <v>674</v>
      </c>
      <c r="L752" s="1178" t="s">
        <v>675</v>
      </c>
      <c r="M752" s="1179">
        <v>22482782</v>
      </c>
      <c r="N752" s="1376" t="s">
        <v>783</v>
      </c>
      <c r="O752" s="1174" t="s">
        <v>778</v>
      </c>
      <c r="P752" s="1163" t="s">
        <v>757</v>
      </c>
      <c r="Q752" s="1207"/>
      <c r="R752" s="1357"/>
      <c r="S752" s="1357"/>
      <c r="T752" s="1357">
        <f>+Tabla16[[#This Row],[CDPS A 31 JULIO 2022]]-Tabla16[[#This Row],[CDP]]</f>
        <v>0</v>
      </c>
      <c r="U752" s="1357"/>
      <c r="V752" s="1357"/>
      <c r="W752" s="1357"/>
    </row>
    <row r="753" spans="1:16365" s="1317" customFormat="1" ht="45" hidden="1" customHeight="1" x14ac:dyDescent="0.3">
      <c r="A753" s="1355">
        <v>2022777</v>
      </c>
      <c r="B753" s="1172">
        <v>7655</v>
      </c>
      <c r="C753" s="1356" t="s">
        <v>668</v>
      </c>
      <c r="D753" s="1190" t="s">
        <v>686</v>
      </c>
      <c r="E753" s="1174">
        <v>80111600</v>
      </c>
      <c r="F753" s="1174" t="s">
        <v>1386</v>
      </c>
      <c r="G753" s="1380">
        <v>44822</v>
      </c>
      <c r="H753" s="1380">
        <v>44822</v>
      </c>
      <c r="I753" s="1176">
        <v>4</v>
      </c>
      <c r="J753" s="1176" t="s">
        <v>673</v>
      </c>
      <c r="K753" s="1177" t="s">
        <v>674</v>
      </c>
      <c r="L753" s="1178" t="s">
        <v>675</v>
      </c>
      <c r="M753" s="1179">
        <v>26450332</v>
      </c>
      <c r="N753" s="1376" t="s">
        <v>783</v>
      </c>
      <c r="O753" s="1174" t="s">
        <v>778</v>
      </c>
      <c r="P753" s="1163" t="s">
        <v>757</v>
      </c>
      <c r="Q753" s="1207"/>
      <c r="R753" s="1357"/>
      <c r="S753" s="1357"/>
      <c r="T753" s="1357">
        <f>+Tabla16[[#This Row],[CDPS A 31 JULIO 2022]]-Tabla16[[#This Row],[CDP]]</f>
        <v>0</v>
      </c>
      <c r="U753" s="1357"/>
      <c r="V753" s="1357"/>
      <c r="W753" s="1357"/>
    </row>
    <row r="754" spans="1:16365" s="1317" customFormat="1" ht="45" hidden="1" customHeight="1" x14ac:dyDescent="0.3">
      <c r="A754" s="1355">
        <v>2022778</v>
      </c>
      <c r="B754" s="1172">
        <v>7658</v>
      </c>
      <c r="C754" s="1356" t="s">
        <v>679</v>
      </c>
      <c r="D754" s="1190" t="s">
        <v>695</v>
      </c>
      <c r="E754" s="1174">
        <v>80111600</v>
      </c>
      <c r="F754" s="1174" t="s">
        <v>1000</v>
      </c>
      <c r="G754" s="1380">
        <v>44792</v>
      </c>
      <c r="H754" s="1380">
        <v>44798</v>
      </c>
      <c r="I754" s="1176">
        <v>3</v>
      </c>
      <c r="J754" s="1176" t="s">
        <v>673</v>
      </c>
      <c r="K754" s="1177" t="s">
        <v>674</v>
      </c>
      <c r="L754" s="1178" t="s">
        <v>675</v>
      </c>
      <c r="M754" s="1179">
        <v>16146000</v>
      </c>
      <c r="N754" s="1376" t="s">
        <v>765</v>
      </c>
      <c r="O754" s="1174" t="s">
        <v>764</v>
      </c>
      <c r="P754" s="1163" t="s">
        <v>678</v>
      </c>
      <c r="Q754" s="1207"/>
      <c r="R754" s="1357"/>
      <c r="S754" s="1357"/>
      <c r="T754" s="1357">
        <f>+Tabla16[[#This Row],[CDPS A 31 JULIO 2022]]-Tabla16[[#This Row],[CDP]]</f>
        <v>0</v>
      </c>
      <c r="U754" s="1357"/>
      <c r="V754" s="1357"/>
      <c r="W754" s="1357"/>
    </row>
    <row r="755" spans="1:16365" s="1317" customFormat="1" ht="45" hidden="1" customHeight="1" x14ac:dyDescent="0.3">
      <c r="A755" s="1355">
        <v>2022779</v>
      </c>
      <c r="B755" s="1172">
        <v>7658</v>
      </c>
      <c r="C755" s="1356" t="s">
        <v>679</v>
      </c>
      <c r="D755" s="1190" t="s">
        <v>695</v>
      </c>
      <c r="E755" s="1174">
        <v>80111600</v>
      </c>
      <c r="F755" s="1174" t="s">
        <v>1000</v>
      </c>
      <c r="G755" s="1380">
        <v>44792</v>
      </c>
      <c r="H755" s="1380">
        <v>44798</v>
      </c>
      <c r="I755" s="1176">
        <v>4</v>
      </c>
      <c r="J755" s="1176" t="s">
        <v>673</v>
      </c>
      <c r="K755" s="1177" t="s">
        <v>674</v>
      </c>
      <c r="L755" s="1178" t="s">
        <v>675</v>
      </c>
      <c r="M755" s="1179">
        <v>21528000</v>
      </c>
      <c r="N755" s="1376" t="s">
        <v>765</v>
      </c>
      <c r="O755" s="1174" t="s">
        <v>764</v>
      </c>
      <c r="P755" s="1163" t="s">
        <v>678</v>
      </c>
      <c r="Q755" s="1207"/>
      <c r="R755" s="1357"/>
      <c r="S755" s="1357"/>
      <c r="T755" s="1357">
        <f>+Tabla16[[#This Row],[CDPS A 31 JULIO 2022]]-Tabla16[[#This Row],[CDP]]</f>
        <v>0</v>
      </c>
      <c r="U755" s="1357"/>
      <c r="V755" s="1357"/>
      <c r="W755" s="1357"/>
    </row>
    <row r="756" spans="1:16365" s="1317" customFormat="1" ht="45" hidden="1" customHeight="1" x14ac:dyDescent="0.3">
      <c r="A756" s="1355">
        <v>2022800</v>
      </c>
      <c r="B756" s="1172">
        <v>7655</v>
      </c>
      <c r="C756" s="1356" t="s">
        <v>668</v>
      </c>
      <c r="D756" s="1190" t="s">
        <v>695</v>
      </c>
      <c r="E756" s="1174">
        <v>80111600</v>
      </c>
      <c r="F756" s="1174" t="s">
        <v>874</v>
      </c>
      <c r="G756" s="1380">
        <v>44562</v>
      </c>
      <c r="H756" s="1380">
        <v>44592</v>
      </c>
      <c r="I756" s="1176">
        <v>4</v>
      </c>
      <c r="J756" s="1176" t="s">
        <v>673</v>
      </c>
      <c r="K756" s="1177" t="s">
        <v>674</v>
      </c>
      <c r="L756" s="1178" t="s">
        <v>675</v>
      </c>
      <c r="M756" s="1179">
        <v>20700000</v>
      </c>
      <c r="N756" s="1376" t="s">
        <v>783</v>
      </c>
      <c r="O756" s="1174" t="s">
        <v>778</v>
      </c>
      <c r="P756" s="1163" t="s">
        <v>678</v>
      </c>
      <c r="Q756" s="1207"/>
      <c r="R756" s="1357"/>
      <c r="S756" s="1357"/>
      <c r="T756" s="1357">
        <f>+Tabla16[[#This Row],[CDPS A 31 JULIO 2022]]-Tabla16[[#This Row],[CDP]]</f>
        <v>0</v>
      </c>
      <c r="U756" s="1357"/>
      <c r="V756" s="1357"/>
      <c r="W756" s="1357"/>
    </row>
    <row r="757" spans="1:16365" s="1317" customFormat="1" ht="45" hidden="1" customHeight="1" x14ac:dyDescent="0.3">
      <c r="A757" s="1355">
        <v>2022801</v>
      </c>
      <c r="B757" s="1172">
        <v>7658</v>
      </c>
      <c r="C757" s="1356" t="s">
        <v>679</v>
      </c>
      <c r="D757" s="1430" t="s">
        <v>695</v>
      </c>
      <c r="E757" s="1174">
        <v>80111600</v>
      </c>
      <c r="F757" s="1174" t="s">
        <v>864</v>
      </c>
      <c r="G757" s="1380">
        <v>44796</v>
      </c>
      <c r="H757" s="1380">
        <v>44804</v>
      </c>
      <c r="I757" s="1176">
        <v>4</v>
      </c>
      <c r="J757" s="1176" t="s">
        <v>673</v>
      </c>
      <c r="K757" s="1177" t="s">
        <v>674</v>
      </c>
      <c r="L757" s="1178" t="s">
        <v>675</v>
      </c>
      <c r="M757" s="1179">
        <v>15400000</v>
      </c>
      <c r="N757" s="1376" t="s">
        <v>765</v>
      </c>
      <c r="O757" s="1174" t="s">
        <v>764</v>
      </c>
      <c r="P757" s="1163" t="s">
        <v>678</v>
      </c>
      <c r="Q757" s="1207"/>
      <c r="R757" s="1357"/>
      <c r="S757" s="1357"/>
      <c r="T757" s="1357">
        <f>+Tabla16[[#This Row],[CDPS A 31 JULIO 2022]]-Tabla16[[#This Row],[CDP]]</f>
        <v>0</v>
      </c>
      <c r="U757" s="1357"/>
      <c r="V757" s="1357"/>
      <c r="W757" s="1357"/>
    </row>
    <row r="758" spans="1:16365" s="1317" customFormat="1" ht="45" customHeight="1" x14ac:dyDescent="0.3">
      <c r="A758" s="1398">
        <v>2022802</v>
      </c>
      <c r="B758" s="1399">
        <v>7655</v>
      </c>
      <c r="C758" s="1400" t="s">
        <v>668</v>
      </c>
      <c r="D758" s="1401" t="s">
        <v>695</v>
      </c>
      <c r="E758" s="1402">
        <v>80111600</v>
      </c>
      <c r="F758" s="1402" t="s">
        <v>4700</v>
      </c>
      <c r="G758" s="1404">
        <v>44795</v>
      </c>
      <c r="H758" s="1404">
        <v>44802</v>
      </c>
      <c r="I758" s="1405">
        <v>1.5</v>
      </c>
      <c r="J758" s="1405" t="s">
        <v>673</v>
      </c>
      <c r="K758" s="1406" t="s">
        <v>674</v>
      </c>
      <c r="L758" s="1407" t="s">
        <v>675</v>
      </c>
      <c r="M758" s="1408">
        <v>6520500</v>
      </c>
      <c r="N758" s="1409" t="s">
        <v>783</v>
      </c>
      <c r="O758" s="1402" t="s">
        <v>778</v>
      </c>
      <c r="P758" s="1411" t="s">
        <v>757</v>
      </c>
      <c r="Q758" s="1207"/>
      <c r="R758" s="1357"/>
      <c r="S758" s="1357"/>
      <c r="T758" s="1357">
        <f>+Tabla16[[#This Row],[CDPS A 31 JULIO 2022]]-Tabla16[[#This Row],[CDP]]</f>
        <v>0</v>
      </c>
      <c r="U758" s="1357"/>
      <c r="V758" s="1357"/>
      <c r="W758" s="1357"/>
    </row>
    <row r="759" spans="1:16365" s="1317" customFormat="1" ht="45" customHeight="1" x14ac:dyDescent="0.3">
      <c r="A759" s="1398">
        <v>2022803</v>
      </c>
      <c r="B759" s="1399">
        <v>7658</v>
      </c>
      <c r="C759" s="1400" t="s">
        <v>679</v>
      </c>
      <c r="D759" s="1401" t="s">
        <v>692</v>
      </c>
      <c r="E759" s="1402" t="s">
        <v>1387</v>
      </c>
      <c r="F759" s="1402" t="s">
        <v>1388</v>
      </c>
      <c r="G759" s="1404">
        <v>44819</v>
      </c>
      <c r="H759" s="1404">
        <v>44864</v>
      </c>
      <c r="I759" s="1405">
        <v>2</v>
      </c>
      <c r="J759" s="1405" t="s">
        <v>687</v>
      </c>
      <c r="K759" s="1406" t="s">
        <v>770</v>
      </c>
      <c r="L759" s="1407" t="s">
        <v>4682</v>
      </c>
      <c r="M759" s="1408">
        <v>437560000</v>
      </c>
      <c r="N759" s="1409" t="s">
        <v>768</v>
      </c>
      <c r="O759" s="1402" t="s">
        <v>767</v>
      </c>
      <c r="P759" s="1411" t="s">
        <v>678</v>
      </c>
      <c r="Q759" s="1207"/>
      <c r="R759" s="1357"/>
      <c r="S759" s="1357"/>
      <c r="T759" s="1357">
        <f>+Tabla16[[#This Row],[CDPS A 31 JULIO 2022]]-Tabla16[[#This Row],[CDP]]</f>
        <v>0</v>
      </c>
      <c r="U759" s="1357"/>
      <c r="V759" s="1357"/>
      <c r="W759" s="1357"/>
    </row>
    <row r="760" spans="1:16365" s="1317" customFormat="1" ht="45" hidden="1" customHeight="1" x14ac:dyDescent="0.3">
      <c r="A760" s="1355">
        <v>2022804</v>
      </c>
      <c r="B760" s="1172">
        <v>7658</v>
      </c>
      <c r="C760" s="1356" t="s">
        <v>679</v>
      </c>
      <c r="D760" s="1190" t="s">
        <v>692</v>
      </c>
      <c r="E760" s="1174">
        <v>80111600</v>
      </c>
      <c r="F760" s="1174" t="s">
        <v>1389</v>
      </c>
      <c r="G760" s="1380">
        <v>44789</v>
      </c>
      <c r="H760" s="1380">
        <v>44803</v>
      </c>
      <c r="I760" s="1176">
        <v>3.5</v>
      </c>
      <c r="J760" s="1176" t="s">
        <v>673</v>
      </c>
      <c r="K760" s="1177" t="s">
        <v>674</v>
      </c>
      <c r="L760" s="1178" t="s">
        <v>675</v>
      </c>
      <c r="M760" s="1179">
        <v>13475000</v>
      </c>
      <c r="N760" s="1376" t="s">
        <v>768</v>
      </c>
      <c r="O760" s="1174" t="s">
        <v>767</v>
      </c>
      <c r="P760" s="1163" t="s">
        <v>757</v>
      </c>
      <c r="Q760" s="1207"/>
      <c r="R760" s="1357"/>
      <c r="S760" s="1357"/>
      <c r="T760" s="1357">
        <f>+Tabla16[[#This Row],[CDPS A 31 JULIO 2022]]-Tabla16[[#This Row],[CDP]]</f>
        <v>0</v>
      </c>
      <c r="U760" s="1357"/>
      <c r="V760" s="1357"/>
      <c r="W760" s="1357"/>
    </row>
    <row r="761" spans="1:16365" s="1317" customFormat="1" ht="45" hidden="1" customHeight="1" x14ac:dyDescent="0.3">
      <c r="A761" s="1355">
        <v>2022805</v>
      </c>
      <c r="B761" s="1172">
        <v>7658</v>
      </c>
      <c r="C761" s="1356" t="s">
        <v>679</v>
      </c>
      <c r="D761" s="1190" t="s">
        <v>692</v>
      </c>
      <c r="E761" s="1174">
        <v>80111600</v>
      </c>
      <c r="F761" s="1174" t="s">
        <v>1390</v>
      </c>
      <c r="G761" s="1380">
        <v>44823</v>
      </c>
      <c r="H761" s="1380">
        <v>44823</v>
      </c>
      <c r="I761" s="1176">
        <v>4</v>
      </c>
      <c r="J761" s="1176" t="s">
        <v>673</v>
      </c>
      <c r="K761" s="1177" t="s">
        <v>674</v>
      </c>
      <c r="L761" s="1178" t="s">
        <v>675</v>
      </c>
      <c r="M761" s="1179">
        <v>30000000</v>
      </c>
      <c r="N761" s="1376" t="s">
        <v>768</v>
      </c>
      <c r="O761" s="1174" t="s">
        <v>767</v>
      </c>
      <c r="P761" s="1163" t="s">
        <v>757</v>
      </c>
      <c r="Q761" s="1207"/>
      <c r="R761" s="1357"/>
      <c r="S761" s="1357"/>
      <c r="T761" s="1357">
        <f>+Tabla16[[#This Row],[CDPS A 31 JULIO 2022]]-Tabla16[[#This Row],[CDP]]</f>
        <v>0</v>
      </c>
      <c r="U761" s="1357"/>
      <c r="V761" s="1357"/>
      <c r="W761" s="1357"/>
    </row>
    <row r="762" spans="1:16365" s="1317" customFormat="1" ht="45" hidden="1" customHeight="1" x14ac:dyDescent="0.3">
      <c r="A762" s="1355">
        <v>2022806</v>
      </c>
      <c r="B762" s="1172">
        <v>7658</v>
      </c>
      <c r="C762" s="1356" t="s">
        <v>679</v>
      </c>
      <c r="D762" s="1190" t="s">
        <v>692</v>
      </c>
      <c r="E762" s="1174">
        <v>80111600</v>
      </c>
      <c r="F762" s="1174" t="s">
        <v>1391</v>
      </c>
      <c r="G762" s="1380">
        <v>44829</v>
      </c>
      <c r="H762" s="1380">
        <v>44829</v>
      </c>
      <c r="I762" s="1176">
        <v>4</v>
      </c>
      <c r="J762" s="1176" t="s">
        <v>673</v>
      </c>
      <c r="K762" s="1177" t="s">
        <v>674</v>
      </c>
      <c r="L762" s="1178" t="s">
        <v>675</v>
      </c>
      <c r="M762" s="1179">
        <v>13200000</v>
      </c>
      <c r="N762" s="1376" t="s">
        <v>768</v>
      </c>
      <c r="O762" s="1174" t="s">
        <v>767</v>
      </c>
      <c r="P762" s="1163" t="s">
        <v>757</v>
      </c>
      <c r="Q762" s="1207"/>
      <c r="R762" s="1357"/>
      <c r="S762" s="1357"/>
      <c r="T762" s="1357">
        <f>+Tabla16[[#This Row],[CDPS A 31 JULIO 2022]]-Tabla16[[#This Row],[CDP]]</f>
        <v>0</v>
      </c>
      <c r="U762" s="1357"/>
      <c r="V762" s="1357"/>
      <c r="W762" s="1357"/>
    </row>
    <row r="763" spans="1:16365" s="1317" customFormat="1" ht="45" hidden="1" customHeight="1" x14ac:dyDescent="0.3">
      <c r="A763" s="1355">
        <v>2022807</v>
      </c>
      <c r="B763" s="1172">
        <v>7637</v>
      </c>
      <c r="C763" s="1356" t="s">
        <v>643</v>
      </c>
      <c r="D763" s="1190" t="s">
        <v>671</v>
      </c>
      <c r="E763" s="1174">
        <v>80111600</v>
      </c>
      <c r="F763" s="1174" t="s">
        <v>1392</v>
      </c>
      <c r="G763" s="1380">
        <v>44788</v>
      </c>
      <c r="H763" s="1380">
        <v>44819</v>
      </c>
      <c r="I763" s="1176">
        <v>3</v>
      </c>
      <c r="J763" s="1176" t="s">
        <v>673</v>
      </c>
      <c r="K763" s="1177" t="s">
        <v>674</v>
      </c>
      <c r="L763" s="1178" t="s">
        <v>675</v>
      </c>
      <c r="M763" s="1179">
        <v>9000000</v>
      </c>
      <c r="N763" s="1189" t="s">
        <v>676</v>
      </c>
      <c r="O763" s="1174" t="s">
        <v>677</v>
      </c>
      <c r="P763" s="1163" t="s">
        <v>757</v>
      </c>
      <c r="Q763" s="1207"/>
      <c r="R763" s="1357"/>
      <c r="S763" s="1357"/>
      <c r="T763" s="1357">
        <f>+Tabla16[[#This Row],[CDPS A 31 JULIO 2022]]-Tabla16[[#This Row],[CDP]]</f>
        <v>0</v>
      </c>
      <c r="U763" s="1357"/>
      <c r="V763" s="1357"/>
      <c r="W763" s="1357"/>
    </row>
    <row r="764" spans="1:16365" s="1317" customFormat="1" ht="45" hidden="1" customHeight="1" x14ac:dyDescent="0.3">
      <c r="A764" s="1355">
        <v>2022808</v>
      </c>
      <c r="B764" s="1172">
        <v>7655</v>
      </c>
      <c r="C764" s="1356" t="s">
        <v>668</v>
      </c>
      <c r="D764" s="1190" t="s">
        <v>671</v>
      </c>
      <c r="E764" s="1174">
        <v>80111600</v>
      </c>
      <c r="F764" s="1174" t="s">
        <v>1393</v>
      </c>
      <c r="G764" s="1380">
        <v>44788</v>
      </c>
      <c r="H764" s="1380">
        <v>44819</v>
      </c>
      <c r="I764" s="1176">
        <v>4.5</v>
      </c>
      <c r="J764" s="1176" t="s">
        <v>673</v>
      </c>
      <c r="K764" s="1177" t="s">
        <v>674</v>
      </c>
      <c r="L764" s="1178" t="s">
        <v>675</v>
      </c>
      <c r="M764" s="1179">
        <v>38500000</v>
      </c>
      <c r="N764" s="1427" t="s">
        <v>790</v>
      </c>
      <c r="O764" s="1174" t="s">
        <v>778</v>
      </c>
      <c r="P764" s="1159" t="s">
        <v>678</v>
      </c>
      <c r="Q764" s="1207"/>
      <c r="R764" s="1357"/>
      <c r="S764" s="1357"/>
      <c r="T764" s="1357">
        <f>+Tabla16[[#This Row],[CDPS A 31 JULIO 2022]]-Tabla16[[#This Row],[CDP]]</f>
        <v>0</v>
      </c>
      <c r="U764" s="1357"/>
      <c r="V764" s="1357"/>
      <c r="W764" s="1357"/>
    </row>
    <row r="765" spans="1:16365" s="1317" customFormat="1" ht="45" customHeight="1" x14ac:dyDescent="0.3">
      <c r="A765" s="1398">
        <v>2022809</v>
      </c>
      <c r="B765" s="1399">
        <v>7637</v>
      </c>
      <c r="C765" s="1400" t="s">
        <v>643</v>
      </c>
      <c r="D765" s="1423" t="s">
        <v>671</v>
      </c>
      <c r="E765" s="1422" t="s">
        <v>773</v>
      </c>
      <c r="F765" s="1426" t="s">
        <v>774</v>
      </c>
      <c r="G765" s="1421">
        <v>44762</v>
      </c>
      <c r="H765" s="1421">
        <v>44803</v>
      </c>
      <c r="I765" s="1405">
        <v>5</v>
      </c>
      <c r="J765" s="1405" t="s">
        <v>696</v>
      </c>
      <c r="K765" s="1406" t="s">
        <v>674</v>
      </c>
      <c r="L765" s="1406" t="s">
        <v>735</v>
      </c>
      <c r="M765" s="1408">
        <f>34050000+118550434+212901243</f>
        <v>365501677</v>
      </c>
      <c r="N765" s="1419" t="s">
        <v>676</v>
      </c>
      <c r="O765" s="1402" t="s">
        <v>677</v>
      </c>
      <c r="P765" s="1420" t="s">
        <v>678</v>
      </c>
      <c r="Q765" s="1207"/>
      <c r="R765" s="1207"/>
      <c r="S765" s="1207"/>
      <c r="T765" s="1207">
        <f>+Tabla16[[#This Row],[CDPS A 31 JULIO 2022]]-Tabla16[[#This Row],[CDP]]</f>
        <v>0</v>
      </c>
      <c r="U765" s="1207"/>
      <c r="V765" s="1207"/>
      <c r="W765" s="1207"/>
      <c r="X765" s="1207"/>
      <c r="Y765" s="1207"/>
      <c r="Z765" s="1207"/>
      <c r="AA765" s="1207"/>
      <c r="AB765" s="1207"/>
      <c r="AC765" s="1207"/>
      <c r="AD765" s="1207"/>
      <c r="AE765" s="1207"/>
      <c r="AF765" s="1207"/>
      <c r="AG765" s="1207"/>
      <c r="AH765" s="1207"/>
      <c r="AI765" s="1207"/>
      <c r="AJ765" s="1207"/>
      <c r="AK765" s="1207"/>
      <c r="AL765" s="1207"/>
      <c r="AM765" s="1207"/>
      <c r="AN765" s="1207"/>
      <c r="AO765" s="1207"/>
      <c r="AP765" s="1207"/>
      <c r="AQ765" s="1207"/>
      <c r="AR765" s="1207"/>
      <c r="AS765" s="1207"/>
      <c r="AT765" s="1207"/>
      <c r="AU765" s="1207"/>
      <c r="AV765" s="1207"/>
      <c r="AW765" s="1207"/>
      <c r="AX765" s="1207"/>
      <c r="AY765" s="1207"/>
      <c r="AZ765" s="1207"/>
      <c r="BA765" s="1207"/>
      <c r="BB765" s="1207"/>
      <c r="BC765" s="1207"/>
      <c r="BD765" s="1207"/>
      <c r="BE765" s="1207"/>
      <c r="BF765" s="1207"/>
      <c r="BG765" s="1207"/>
      <c r="BH765" s="1207"/>
      <c r="BI765" s="1207"/>
      <c r="BJ765" s="1207"/>
      <c r="BK765" s="1207"/>
      <c r="BL765" s="1207"/>
      <c r="BM765" s="1207"/>
      <c r="BN765" s="1207"/>
      <c r="BO765" s="1207"/>
      <c r="BP765" s="1207"/>
      <c r="BQ765" s="1207"/>
      <c r="BR765" s="1207"/>
      <c r="BS765" s="1207"/>
      <c r="BT765" s="1207"/>
      <c r="BU765" s="1207"/>
      <c r="BV765" s="1207"/>
      <c r="BW765" s="1207"/>
      <c r="BX765" s="1207"/>
      <c r="BY765" s="1207"/>
      <c r="BZ765" s="1207"/>
      <c r="CA765" s="1207"/>
      <c r="CB765" s="1207"/>
      <c r="CC765" s="1207"/>
      <c r="CD765" s="1207"/>
      <c r="CE765" s="1207"/>
      <c r="CF765" s="1207"/>
      <c r="CG765" s="1207"/>
      <c r="CH765" s="1207"/>
      <c r="CI765" s="1207"/>
      <c r="CJ765" s="1207"/>
      <c r="CK765" s="1207"/>
      <c r="CL765" s="1207"/>
      <c r="CM765" s="1207"/>
      <c r="CN765" s="1207"/>
      <c r="CO765" s="1207"/>
      <c r="CP765" s="1207"/>
      <c r="CQ765" s="1207"/>
      <c r="CR765" s="1207"/>
      <c r="CS765" s="1207"/>
      <c r="CT765" s="1207"/>
      <c r="CU765" s="1207"/>
      <c r="CV765" s="1207"/>
      <c r="CW765" s="1207"/>
      <c r="CX765" s="1207"/>
      <c r="CY765" s="1207"/>
      <c r="CZ765" s="1207"/>
      <c r="DA765" s="1207"/>
      <c r="DB765" s="1207"/>
      <c r="DC765" s="1207"/>
      <c r="DD765" s="1207"/>
      <c r="DE765" s="1207"/>
      <c r="DF765" s="1207"/>
      <c r="DG765" s="1207"/>
      <c r="DH765" s="1207"/>
      <c r="DI765" s="1207"/>
      <c r="DJ765" s="1207"/>
      <c r="DK765" s="1207"/>
      <c r="DL765" s="1207"/>
      <c r="DM765" s="1207"/>
      <c r="DN765" s="1207"/>
      <c r="DO765" s="1207"/>
      <c r="DP765" s="1207"/>
      <c r="DQ765" s="1207"/>
      <c r="DR765" s="1207"/>
      <c r="DS765" s="1207"/>
      <c r="DT765" s="1207"/>
      <c r="DU765" s="1207"/>
      <c r="DV765" s="1207"/>
      <c r="DW765" s="1207"/>
      <c r="DX765" s="1207"/>
      <c r="DY765" s="1207"/>
      <c r="DZ765" s="1207"/>
      <c r="EA765" s="1207"/>
      <c r="EB765" s="1207"/>
      <c r="EC765" s="1207"/>
      <c r="ED765" s="1207"/>
      <c r="EE765" s="1207"/>
      <c r="EF765" s="1207"/>
      <c r="EG765" s="1207"/>
      <c r="EH765" s="1207"/>
      <c r="EI765" s="1207"/>
      <c r="EJ765" s="1207"/>
      <c r="EK765" s="1207"/>
      <c r="EL765" s="1207"/>
      <c r="EM765" s="1207"/>
      <c r="EN765" s="1207"/>
      <c r="EO765" s="1207"/>
      <c r="EP765" s="1207"/>
      <c r="EQ765" s="1207"/>
      <c r="ER765" s="1207"/>
      <c r="ES765" s="1207"/>
      <c r="ET765" s="1207"/>
      <c r="EU765" s="1207"/>
      <c r="EV765" s="1207"/>
      <c r="EW765" s="1207"/>
      <c r="EX765" s="1207"/>
      <c r="EY765" s="1207"/>
      <c r="EZ765" s="1207"/>
      <c r="FA765" s="1207"/>
      <c r="FB765" s="1207"/>
      <c r="FC765" s="1207"/>
      <c r="FD765" s="1207"/>
      <c r="FE765" s="1207"/>
      <c r="FF765" s="1207"/>
      <c r="FG765" s="1207"/>
      <c r="FH765" s="1207"/>
      <c r="FI765" s="1207"/>
      <c r="FJ765" s="1207"/>
      <c r="FK765" s="1207"/>
      <c r="FL765" s="1207"/>
      <c r="FM765" s="1207"/>
      <c r="FN765" s="1207"/>
      <c r="FO765" s="1207"/>
      <c r="FP765" s="1207"/>
      <c r="FQ765" s="1207"/>
      <c r="FR765" s="1207"/>
      <c r="FS765" s="1207"/>
      <c r="FT765" s="1207"/>
      <c r="FU765" s="1207"/>
      <c r="FV765" s="1207"/>
      <c r="FW765" s="1207"/>
      <c r="FX765" s="1207"/>
      <c r="FY765" s="1207"/>
      <c r="FZ765" s="1207"/>
      <c r="GA765" s="1207"/>
      <c r="GB765" s="1207"/>
      <c r="GC765" s="1207"/>
      <c r="GD765" s="1207"/>
      <c r="GE765" s="1207"/>
      <c r="GF765" s="1207"/>
      <c r="GG765" s="1207"/>
      <c r="GH765" s="1207"/>
      <c r="GI765" s="1207"/>
      <c r="GJ765" s="1207"/>
      <c r="GK765" s="1207"/>
      <c r="GL765" s="1207"/>
      <c r="GM765" s="1207"/>
      <c r="GN765" s="1207"/>
      <c r="GO765" s="1207"/>
      <c r="GP765" s="1207"/>
      <c r="GQ765" s="1207"/>
      <c r="GR765" s="1207"/>
      <c r="GS765" s="1207"/>
      <c r="GT765" s="1207"/>
      <c r="GU765" s="1207"/>
      <c r="GV765" s="1207"/>
      <c r="GW765" s="1207"/>
      <c r="GX765" s="1207"/>
      <c r="GY765" s="1207"/>
      <c r="GZ765" s="1207"/>
      <c r="HA765" s="1207"/>
      <c r="HB765" s="1207"/>
      <c r="HC765" s="1207"/>
      <c r="HD765" s="1207"/>
      <c r="HE765" s="1207"/>
      <c r="HF765" s="1207"/>
      <c r="HG765" s="1207"/>
      <c r="HH765" s="1207"/>
      <c r="HI765" s="1207"/>
      <c r="HJ765" s="1207"/>
      <c r="HK765" s="1207"/>
      <c r="HL765" s="1207"/>
      <c r="HM765" s="1207"/>
      <c r="HN765" s="1207"/>
      <c r="HO765" s="1207"/>
      <c r="HP765" s="1207"/>
      <c r="HQ765" s="1207"/>
      <c r="HR765" s="1207"/>
      <c r="HS765" s="1207"/>
      <c r="HT765" s="1207"/>
      <c r="HU765" s="1207"/>
      <c r="HV765" s="1207"/>
      <c r="HW765" s="1207"/>
      <c r="HX765" s="1207"/>
      <c r="HY765" s="1207"/>
      <c r="HZ765" s="1207"/>
      <c r="IA765" s="1207"/>
      <c r="IB765" s="1207"/>
      <c r="IC765" s="1207"/>
      <c r="ID765" s="1207"/>
      <c r="IE765" s="1207"/>
      <c r="IF765" s="1207"/>
      <c r="IG765" s="1207"/>
      <c r="IH765" s="1207"/>
      <c r="II765" s="1207"/>
      <c r="IJ765" s="1207"/>
      <c r="IK765" s="1207"/>
      <c r="IL765" s="1207"/>
      <c r="IM765" s="1207"/>
      <c r="IN765" s="1207"/>
      <c r="IO765" s="1207"/>
      <c r="IP765" s="1207"/>
      <c r="IQ765" s="1207"/>
      <c r="IR765" s="1207"/>
      <c r="IS765" s="1207"/>
      <c r="IT765" s="1207"/>
      <c r="IU765" s="1207"/>
      <c r="IV765" s="1207"/>
      <c r="IW765" s="1207"/>
      <c r="IX765" s="1207"/>
      <c r="IY765" s="1207"/>
      <c r="IZ765" s="1207"/>
      <c r="JA765" s="1207"/>
      <c r="JB765" s="1207"/>
      <c r="JC765" s="1207"/>
      <c r="JD765" s="1207"/>
      <c r="JE765" s="1207"/>
      <c r="JF765" s="1207"/>
      <c r="JG765" s="1207"/>
      <c r="JH765" s="1207"/>
      <c r="JI765" s="1207"/>
      <c r="JJ765" s="1207"/>
      <c r="JK765" s="1207"/>
      <c r="JL765" s="1207"/>
      <c r="JM765" s="1207"/>
      <c r="JN765" s="1207"/>
      <c r="JO765" s="1207"/>
      <c r="JP765" s="1207"/>
      <c r="JQ765" s="1207"/>
      <c r="JR765" s="1207"/>
      <c r="JS765" s="1207"/>
      <c r="JT765" s="1207"/>
      <c r="JU765" s="1207"/>
      <c r="JV765" s="1207"/>
      <c r="JW765" s="1207"/>
      <c r="JX765" s="1207"/>
      <c r="JY765" s="1207"/>
      <c r="JZ765" s="1207"/>
      <c r="KA765" s="1207"/>
      <c r="KB765" s="1207"/>
      <c r="KC765" s="1207"/>
      <c r="KD765" s="1207"/>
      <c r="KE765" s="1207"/>
      <c r="KF765" s="1207"/>
      <c r="KG765" s="1207"/>
      <c r="KH765" s="1207"/>
      <c r="KI765" s="1207"/>
      <c r="KJ765" s="1207"/>
      <c r="KK765" s="1207"/>
      <c r="KL765" s="1207"/>
      <c r="KM765" s="1207"/>
      <c r="KN765" s="1207"/>
      <c r="KO765" s="1207"/>
      <c r="KP765" s="1207"/>
      <c r="KQ765" s="1207"/>
      <c r="KR765" s="1207"/>
      <c r="KS765" s="1207"/>
      <c r="KT765" s="1207"/>
      <c r="KU765" s="1207"/>
      <c r="KV765" s="1207"/>
      <c r="KW765" s="1207"/>
      <c r="KX765" s="1207"/>
      <c r="KY765" s="1207"/>
      <c r="KZ765" s="1207"/>
      <c r="LA765" s="1207"/>
      <c r="LB765" s="1207"/>
      <c r="LC765" s="1207"/>
      <c r="LD765" s="1207"/>
      <c r="LE765" s="1207"/>
      <c r="LF765" s="1207"/>
      <c r="LG765" s="1207"/>
      <c r="LH765" s="1207"/>
      <c r="LI765" s="1207"/>
      <c r="LJ765" s="1207"/>
      <c r="LK765" s="1207"/>
      <c r="LL765" s="1207"/>
      <c r="LM765" s="1207"/>
      <c r="LN765" s="1207"/>
      <c r="LO765" s="1207"/>
      <c r="LP765" s="1207"/>
      <c r="LQ765" s="1207"/>
      <c r="LR765" s="1207"/>
      <c r="LS765" s="1207"/>
      <c r="LT765" s="1207"/>
      <c r="LU765" s="1207"/>
      <c r="LV765" s="1207"/>
      <c r="LW765" s="1207"/>
      <c r="LX765" s="1207"/>
      <c r="LY765" s="1207"/>
      <c r="LZ765" s="1207"/>
      <c r="MA765" s="1207"/>
      <c r="MB765" s="1207"/>
      <c r="MC765" s="1207"/>
      <c r="MD765" s="1207"/>
      <c r="ME765" s="1207"/>
      <c r="MF765" s="1207"/>
      <c r="MG765" s="1207"/>
      <c r="MH765" s="1207"/>
      <c r="MI765" s="1207"/>
      <c r="MJ765" s="1207"/>
      <c r="MK765" s="1207"/>
      <c r="ML765" s="1207"/>
      <c r="MM765" s="1207"/>
      <c r="MN765" s="1207"/>
      <c r="MO765" s="1207"/>
      <c r="MP765" s="1207"/>
      <c r="MQ765" s="1207"/>
      <c r="MR765" s="1207"/>
      <c r="MS765" s="1207"/>
      <c r="MT765" s="1207"/>
      <c r="MU765" s="1207"/>
      <c r="MV765" s="1207"/>
      <c r="MW765" s="1207"/>
      <c r="MX765" s="1207"/>
      <c r="MY765" s="1207"/>
      <c r="MZ765" s="1207"/>
      <c r="NA765" s="1207"/>
      <c r="NB765" s="1207"/>
      <c r="NC765" s="1207"/>
      <c r="ND765" s="1207"/>
      <c r="NE765" s="1207"/>
      <c r="NF765" s="1207"/>
      <c r="NG765" s="1207"/>
      <c r="NH765" s="1207"/>
      <c r="NI765" s="1207"/>
      <c r="NJ765" s="1207"/>
      <c r="NK765" s="1207"/>
      <c r="NL765" s="1207"/>
      <c r="NM765" s="1207"/>
      <c r="NN765" s="1207"/>
      <c r="NO765" s="1207"/>
      <c r="NP765" s="1207"/>
      <c r="NQ765" s="1207"/>
      <c r="NR765" s="1207"/>
      <c r="NS765" s="1207"/>
      <c r="NT765" s="1207"/>
      <c r="NU765" s="1207"/>
      <c r="NV765" s="1207"/>
      <c r="NW765" s="1207"/>
      <c r="NX765" s="1207"/>
      <c r="NY765" s="1207"/>
      <c r="NZ765" s="1207"/>
      <c r="OA765" s="1207"/>
      <c r="OB765" s="1207"/>
      <c r="OC765" s="1207"/>
      <c r="OD765" s="1207"/>
      <c r="OE765" s="1207"/>
      <c r="OF765" s="1207"/>
      <c r="OG765" s="1207"/>
      <c r="OH765" s="1207"/>
      <c r="OI765" s="1207"/>
      <c r="OJ765" s="1207"/>
      <c r="OK765" s="1207"/>
      <c r="OL765" s="1207"/>
      <c r="OM765" s="1207"/>
      <c r="ON765" s="1207"/>
      <c r="OO765" s="1207"/>
      <c r="OP765" s="1207"/>
      <c r="OQ765" s="1207"/>
      <c r="OR765" s="1207"/>
      <c r="OS765" s="1207"/>
      <c r="OT765" s="1207"/>
      <c r="OU765" s="1207"/>
      <c r="OV765" s="1207"/>
      <c r="OW765" s="1207"/>
      <c r="OX765" s="1207"/>
      <c r="OY765" s="1207"/>
      <c r="OZ765" s="1207"/>
      <c r="PA765" s="1207"/>
      <c r="PB765" s="1207"/>
      <c r="PC765" s="1207"/>
      <c r="PD765" s="1207"/>
      <c r="PE765" s="1207"/>
      <c r="PF765" s="1207"/>
      <c r="PG765" s="1207"/>
      <c r="PH765" s="1207"/>
      <c r="PI765" s="1207"/>
      <c r="PJ765" s="1207"/>
      <c r="PK765" s="1207"/>
      <c r="PL765" s="1207"/>
      <c r="PM765" s="1207"/>
      <c r="PN765" s="1207"/>
      <c r="PO765" s="1207"/>
      <c r="PP765" s="1207"/>
      <c r="PQ765" s="1207"/>
      <c r="PR765" s="1207"/>
      <c r="PS765" s="1207"/>
      <c r="PT765" s="1207"/>
      <c r="PU765" s="1207"/>
      <c r="PV765" s="1207"/>
      <c r="PW765" s="1207"/>
      <c r="PX765" s="1207"/>
      <c r="PY765" s="1207"/>
      <c r="PZ765" s="1207"/>
      <c r="QA765" s="1207"/>
      <c r="QB765" s="1207"/>
      <c r="QC765" s="1207"/>
      <c r="QD765" s="1207"/>
      <c r="QE765" s="1207"/>
      <c r="QF765" s="1207"/>
      <c r="QG765" s="1207"/>
      <c r="QH765" s="1207"/>
      <c r="QI765" s="1207"/>
      <c r="QJ765" s="1207"/>
      <c r="QK765" s="1207"/>
      <c r="QL765" s="1207"/>
      <c r="QM765" s="1207"/>
      <c r="QN765" s="1207"/>
      <c r="QO765" s="1207"/>
      <c r="QP765" s="1207"/>
      <c r="QQ765" s="1207"/>
      <c r="QR765" s="1207"/>
      <c r="QS765" s="1207"/>
      <c r="QT765" s="1207"/>
      <c r="QU765" s="1207"/>
      <c r="QV765" s="1207"/>
      <c r="QW765" s="1207"/>
      <c r="QX765" s="1207"/>
      <c r="QY765" s="1207"/>
      <c r="QZ765" s="1207"/>
      <c r="RA765" s="1207"/>
      <c r="RB765" s="1207"/>
      <c r="RC765" s="1207"/>
      <c r="RD765" s="1207"/>
      <c r="RE765" s="1207"/>
      <c r="RF765" s="1207"/>
      <c r="RG765" s="1207"/>
      <c r="RH765" s="1207"/>
      <c r="RI765" s="1207"/>
      <c r="RJ765" s="1207"/>
      <c r="RK765" s="1207"/>
      <c r="RL765" s="1207"/>
      <c r="RM765" s="1207"/>
      <c r="RN765" s="1207"/>
      <c r="RO765" s="1207"/>
      <c r="RP765" s="1207"/>
      <c r="RQ765" s="1207"/>
      <c r="RR765" s="1207"/>
      <c r="RS765" s="1207"/>
      <c r="RT765" s="1207"/>
      <c r="RU765" s="1207"/>
      <c r="RV765" s="1207"/>
      <c r="RW765" s="1207"/>
      <c r="RX765" s="1207"/>
      <c r="RY765" s="1207"/>
      <c r="RZ765" s="1207"/>
      <c r="SA765" s="1207"/>
      <c r="SB765" s="1207"/>
      <c r="SC765" s="1207"/>
      <c r="SD765" s="1207"/>
      <c r="SE765" s="1207"/>
      <c r="SF765" s="1207"/>
      <c r="SG765" s="1207"/>
      <c r="SH765" s="1207"/>
      <c r="SI765" s="1207"/>
      <c r="SJ765" s="1207"/>
      <c r="SK765" s="1207"/>
      <c r="SL765" s="1207"/>
      <c r="SM765" s="1207"/>
      <c r="SN765" s="1207"/>
      <c r="SO765" s="1207"/>
      <c r="SP765" s="1207"/>
      <c r="SQ765" s="1207"/>
      <c r="SR765" s="1207"/>
      <c r="SS765" s="1207"/>
      <c r="ST765" s="1207"/>
      <c r="SU765" s="1207"/>
      <c r="SV765" s="1207"/>
      <c r="SW765" s="1207"/>
      <c r="SX765" s="1207"/>
      <c r="SY765" s="1207"/>
      <c r="SZ765" s="1207"/>
      <c r="TA765" s="1207"/>
      <c r="TB765" s="1207"/>
      <c r="TC765" s="1207"/>
      <c r="TD765" s="1207"/>
      <c r="TE765" s="1207"/>
      <c r="TF765" s="1207"/>
      <c r="TG765" s="1207"/>
      <c r="TH765" s="1207"/>
      <c r="TI765" s="1207"/>
      <c r="TJ765" s="1207"/>
      <c r="TK765" s="1207"/>
      <c r="TL765" s="1207"/>
      <c r="TM765" s="1207"/>
      <c r="TN765" s="1207"/>
      <c r="TO765" s="1207"/>
      <c r="TP765" s="1207"/>
      <c r="TQ765" s="1207"/>
      <c r="TR765" s="1207"/>
      <c r="TS765" s="1207"/>
      <c r="TT765" s="1207"/>
      <c r="TU765" s="1207"/>
      <c r="TV765" s="1207"/>
      <c r="TW765" s="1207"/>
      <c r="TX765" s="1207"/>
      <c r="TY765" s="1207"/>
      <c r="TZ765" s="1207"/>
      <c r="UA765" s="1207"/>
      <c r="UB765" s="1207"/>
      <c r="UC765" s="1207"/>
      <c r="UD765" s="1207"/>
      <c r="UE765" s="1207"/>
      <c r="UF765" s="1207"/>
      <c r="UG765" s="1207"/>
      <c r="UH765" s="1207"/>
      <c r="UI765" s="1207"/>
      <c r="UJ765" s="1207"/>
      <c r="UK765" s="1207"/>
      <c r="UL765" s="1207"/>
      <c r="UM765" s="1207"/>
      <c r="UN765" s="1207"/>
      <c r="UO765" s="1207"/>
      <c r="UP765" s="1207"/>
      <c r="UQ765" s="1207"/>
      <c r="UR765" s="1207"/>
      <c r="US765" s="1207"/>
      <c r="UT765" s="1207"/>
      <c r="UU765" s="1207"/>
      <c r="UV765" s="1207"/>
      <c r="UW765" s="1207"/>
      <c r="UX765" s="1207"/>
      <c r="UY765" s="1207"/>
      <c r="UZ765" s="1207"/>
      <c r="VA765" s="1207"/>
      <c r="VB765" s="1207"/>
      <c r="VC765" s="1207"/>
      <c r="VD765" s="1207"/>
      <c r="VE765" s="1207"/>
      <c r="VF765" s="1207"/>
      <c r="VG765" s="1207"/>
      <c r="VH765" s="1207"/>
      <c r="VI765" s="1207"/>
      <c r="VJ765" s="1207"/>
      <c r="VK765" s="1207"/>
      <c r="VL765" s="1207"/>
      <c r="VM765" s="1207"/>
      <c r="VN765" s="1207"/>
      <c r="VO765" s="1207"/>
      <c r="VP765" s="1207"/>
      <c r="VQ765" s="1207"/>
      <c r="VR765" s="1207"/>
      <c r="VS765" s="1207"/>
      <c r="VT765" s="1207"/>
      <c r="VU765" s="1207"/>
      <c r="VV765" s="1207"/>
      <c r="VW765" s="1207"/>
      <c r="VX765" s="1207"/>
      <c r="VY765" s="1207"/>
      <c r="VZ765" s="1207"/>
      <c r="WA765" s="1207"/>
      <c r="WB765" s="1207"/>
      <c r="WC765" s="1207"/>
      <c r="WD765" s="1207"/>
      <c r="WE765" s="1207"/>
      <c r="WF765" s="1207"/>
      <c r="WG765" s="1207"/>
      <c r="WH765" s="1207"/>
      <c r="WI765" s="1207"/>
      <c r="WJ765" s="1207"/>
      <c r="WK765" s="1207"/>
      <c r="WL765" s="1207"/>
      <c r="WM765" s="1207"/>
      <c r="WN765" s="1207"/>
      <c r="WO765" s="1207"/>
      <c r="WP765" s="1207"/>
      <c r="WQ765" s="1207"/>
      <c r="WR765" s="1207"/>
      <c r="WS765" s="1207"/>
      <c r="WT765" s="1207"/>
      <c r="WU765" s="1207"/>
      <c r="WV765" s="1207"/>
      <c r="WW765" s="1207"/>
      <c r="WX765" s="1207"/>
      <c r="WY765" s="1207"/>
      <c r="WZ765" s="1207"/>
      <c r="XA765" s="1207"/>
      <c r="XB765" s="1207"/>
      <c r="XC765" s="1207"/>
      <c r="XD765" s="1207"/>
      <c r="XE765" s="1207"/>
      <c r="XF765" s="1207"/>
      <c r="XG765" s="1207"/>
      <c r="XH765" s="1207"/>
      <c r="XI765" s="1207"/>
      <c r="XJ765" s="1207"/>
      <c r="XK765" s="1207"/>
      <c r="XL765" s="1207"/>
      <c r="XM765" s="1207"/>
      <c r="XN765" s="1207"/>
      <c r="XO765" s="1207"/>
      <c r="XP765" s="1207"/>
      <c r="XQ765" s="1207"/>
      <c r="XR765" s="1207"/>
      <c r="XS765" s="1207"/>
      <c r="XT765" s="1207"/>
      <c r="XU765" s="1207"/>
      <c r="XV765" s="1207"/>
      <c r="XW765" s="1207"/>
      <c r="XX765" s="1207"/>
      <c r="XY765" s="1207"/>
      <c r="XZ765" s="1207"/>
      <c r="YA765" s="1207"/>
      <c r="YB765" s="1207"/>
      <c r="YC765" s="1207"/>
      <c r="YD765" s="1207"/>
      <c r="YE765" s="1207"/>
      <c r="YF765" s="1207"/>
      <c r="YG765" s="1207"/>
      <c r="YH765" s="1207"/>
      <c r="YI765" s="1207"/>
      <c r="YJ765" s="1207"/>
      <c r="YK765" s="1207"/>
      <c r="YL765" s="1207"/>
      <c r="YM765" s="1207"/>
      <c r="YN765" s="1207"/>
      <c r="YO765" s="1207"/>
      <c r="YP765" s="1207"/>
      <c r="YQ765" s="1207"/>
      <c r="YR765" s="1207"/>
      <c r="YS765" s="1207"/>
      <c r="YT765" s="1207"/>
      <c r="YU765" s="1207"/>
      <c r="YV765" s="1207"/>
      <c r="YW765" s="1207"/>
      <c r="YX765" s="1207"/>
      <c r="YY765" s="1207"/>
      <c r="YZ765" s="1207"/>
      <c r="ZA765" s="1207"/>
      <c r="ZB765" s="1207"/>
      <c r="ZC765" s="1207"/>
      <c r="ZD765" s="1207"/>
      <c r="ZE765" s="1207"/>
      <c r="ZF765" s="1207"/>
      <c r="ZG765" s="1207"/>
      <c r="ZH765" s="1207"/>
      <c r="ZI765" s="1207"/>
      <c r="ZJ765" s="1207"/>
      <c r="ZK765" s="1207"/>
      <c r="ZL765" s="1207"/>
      <c r="ZM765" s="1207"/>
      <c r="ZN765" s="1207"/>
      <c r="ZO765" s="1207"/>
      <c r="ZP765" s="1207"/>
      <c r="ZQ765" s="1207"/>
      <c r="ZR765" s="1207"/>
      <c r="ZS765" s="1207"/>
      <c r="ZT765" s="1207"/>
      <c r="ZU765" s="1207"/>
      <c r="ZV765" s="1207"/>
      <c r="ZW765" s="1207"/>
      <c r="ZX765" s="1207"/>
      <c r="ZY765" s="1207"/>
      <c r="ZZ765" s="1207"/>
      <c r="AAA765" s="1207"/>
      <c r="AAB765" s="1207"/>
      <c r="AAC765" s="1207"/>
      <c r="AAD765" s="1207"/>
      <c r="AAE765" s="1207"/>
      <c r="AAF765" s="1207"/>
      <c r="AAG765" s="1207"/>
      <c r="AAH765" s="1207"/>
      <c r="AAI765" s="1207"/>
      <c r="AAJ765" s="1207"/>
      <c r="AAK765" s="1207"/>
      <c r="AAL765" s="1207"/>
      <c r="AAM765" s="1207"/>
      <c r="AAN765" s="1207"/>
      <c r="AAO765" s="1207"/>
      <c r="AAP765" s="1207"/>
      <c r="AAQ765" s="1207"/>
      <c r="AAR765" s="1207"/>
      <c r="AAS765" s="1207"/>
      <c r="AAT765" s="1207"/>
      <c r="AAU765" s="1207"/>
      <c r="AAV765" s="1207"/>
      <c r="AAW765" s="1207"/>
      <c r="AAX765" s="1207"/>
      <c r="AAY765" s="1207"/>
      <c r="AAZ765" s="1207"/>
      <c r="ABA765" s="1207"/>
      <c r="ABB765" s="1207"/>
      <c r="ABC765" s="1207"/>
      <c r="ABD765" s="1207"/>
      <c r="ABE765" s="1207"/>
      <c r="ABF765" s="1207"/>
      <c r="ABG765" s="1207"/>
      <c r="ABH765" s="1207"/>
      <c r="ABI765" s="1207"/>
      <c r="ABJ765" s="1207"/>
      <c r="ABK765" s="1207"/>
      <c r="ABL765" s="1207"/>
      <c r="ABM765" s="1207"/>
      <c r="ABN765" s="1207"/>
      <c r="ABO765" s="1207"/>
      <c r="ABP765" s="1207"/>
      <c r="ABQ765" s="1207"/>
      <c r="ABR765" s="1207"/>
      <c r="ABS765" s="1207"/>
      <c r="ABT765" s="1207"/>
      <c r="ABU765" s="1207"/>
      <c r="ABV765" s="1207"/>
      <c r="ABW765" s="1207"/>
      <c r="ABX765" s="1207"/>
      <c r="ABY765" s="1207"/>
      <c r="ABZ765" s="1207"/>
      <c r="ACA765" s="1207"/>
      <c r="ACB765" s="1207"/>
      <c r="ACC765" s="1207"/>
      <c r="ACD765" s="1207"/>
      <c r="ACE765" s="1207"/>
      <c r="ACF765" s="1207"/>
      <c r="ACG765" s="1207"/>
      <c r="ACH765" s="1207"/>
      <c r="ACI765" s="1207"/>
      <c r="ACJ765" s="1207"/>
      <c r="ACK765" s="1207"/>
      <c r="ACL765" s="1207"/>
      <c r="ACM765" s="1207"/>
      <c r="ACN765" s="1207"/>
      <c r="ACO765" s="1207"/>
      <c r="ACP765" s="1207"/>
      <c r="ACQ765" s="1207"/>
      <c r="ACR765" s="1207"/>
      <c r="ACS765" s="1207"/>
      <c r="ACT765" s="1207"/>
      <c r="ACU765" s="1207"/>
      <c r="ACV765" s="1207"/>
      <c r="ACW765" s="1207"/>
      <c r="ACX765" s="1207"/>
      <c r="ACY765" s="1207"/>
      <c r="ACZ765" s="1207"/>
      <c r="ADA765" s="1207"/>
      <c r="ADB765" s="1207"/>
      <c r="ADC765" s="1207"/>
      <c r="ADD765" s="1207"/>
      <c r="ADE765" s="1207"/>
      <c r="ADF765" s="1207"/>
      <c r="ADG765" s="1207"/>
      <c r="ADH765" s="1207"/>
      <c r="ADI765" s="1207"/>
      <c r="ADJ765" s="1207"/>
      <c r="ADK765" s="1207"/>
      <c r="ADL765" s="1207"/>
      <c r="ADM765" s="1207"/>
      <c r="ADN765" s="1207"/>
      <c r="ADO765" s="1207"/>
      <c r="ADP765" s="1207"/>
      <c r="ADQ765" s="1207"/>
      <c r="ADR765" s="1207"/>
      <c r="ADS765" s="1207"/>
      <c r="ADT765" s="1207"/>
      <c r="ADU765" s="1207"/>
      <c r="ADV765" s="1207"/>
      <c r="ADW765" s="1207"/>
      <c r="ADX765" s="1207"/>
      <c r="ADY765" s="1207"/>
      <c r="ADZ765" s="1207"/>
      <c r="AEA765" s="1207"/>
      <c r="AEB765" s="1207"/>
      <c r="AEC765" s="1207"/>
      <c r="AED765" s="1207"/>
      <c r="AEE765" s="1207"/>
      <c r="AEF765" s="1207"/>
      <c r="AEG765" s="1207"/>
      <c r="AEH765" s="1207"/>
      <c r="AEI765" s="1207"/>
      <c r="AEJ765" s="1207"/>
      <c r="AEK765" s="1207"/>
      <c r="AEL765" s="1207"/>
      <c r="AEM765" s="1207"/>
      <c r="AEN765" s="1207"/>
      <c r="AEO765" s="1207"/>
      <c r="AEP765" s="1207"/>
      <c r="AEQ765" s="1207"/>
      <c r="AER765" s="1207"/>
      <c r="AES765" s="1207"/>
      <c r="AET765" s="1207"/>
      <c r="AEU765" s="1207"/>
      <c r="AEV765" s="1207"/>
      <c r="AEW765" s="1207"/>
      <c r="AEX765" s="1207"/>
      <c r="AEY765" s="1207"/>
      <c r="AEZ765" s="1207"/>
      <c r="AFA765" s="1207"/>
      <c r="AFB765" s="1207"/>
      <c r="AFC765" s="1207"/>
      <c r="AFD765" s="1207"/>
      <c r="AFE765" s="1207"/>
      <c r="AFF765" s="1207"/>
      <c r="AFG765" s="1207"/>
      <c r="AFH765" s="1207"/>
      <c r="AFI765" s="1207"/>
      <c r="AFJ765" s="1207"/>
      <c r="AFK765" s="1207"/>
      <c r="AFL765" s="1207"/>
      <c r="AFM765" s="1207"/>
      <c r="AFN765" s="1207"/>
      <c r="AFO765" s="1207"/>
      <c r="AFP765" s="1207"/>
      <c r="AFQ765" s="1207"/>
      <c r="AFR765" s="1207"/>
      <c r="AFS765" s="1207"/>
      <c r="AFT765" s="1207"/>
      <c r="AFU765" s="1207"/>
      <c r="AFV765" s="1207"/>
      <c r="AFW765" s="1207"/>
      <c r="AFX765" s="1207"/>
      <c r="AFY765" s="1207"/>
      <c r="AFZ765" s="1207"/>
      <c r="AGA765" s="1207"/>
      <c r="AGB765" s="1207"/>
      <c r="AGC765" s="1207"/>
      <c r="AGD765" s="1207"/>
      <c r="AGE765" s="1207"/>
      <c r="AGF765" s="1207"/>
      <c r="AGG765" s="1207"/>
      <c r="AGH765" s="1207"/>
      <c r="AGI765" s="1207"/>
      <c r="AGJ765" s="1207"/>
      <c r="AGK765" s="1207"/>
      <c r="AGL765" s="1207"/>
      <c r="AGM765" s="1207"/>
      <c r="AGN765" s="1207"/>
      <c r="AGO765" s="1207"/>
      <c r="AGP765" s="1207"/>
      <c r="AGQ765" s="1207"/>
      <c r="AGR765" s="1207"/>
      <c r="AGS765" s="1207"/>
      <c r="AGT765" s="1207"/>
      <c r="AGU765" s="1207"/>
      <c r="AGV765" s="1207"/>
      <c r="AGW765" s="1207"/>
      <c r="AGX765" s="1207"/>
      <c r="AGY765" s="1207"/>
      <c r="AGZ765" s="1207"/>
      <c r="AHA765" s="1207"/>
      <c r="AHB765" s="1207"/>
      <c r="AHC765" s="1207"/>
      <c r="AHD765" s="1207"/>
      <c r="AHE765" s="1207"/>
      <c r="AHF765" s="1207"/>
      <c r="AHG765" s="1207"/>
      <c r="AHH765" s="1207"/>
      <c r="AHI765" s="1207"/>
      <c r="AHJ765" s="1207"/>
      <c r="AHK765" s="1207"/>
      <c r="AHL765" s="1207"/>
      <c r="AHM765" s="1207"/>
      <c r="AHN765" s="1207"/>
      <c r="AHO765" s="1207"/>
      <c r="AHP765" s="1207"/>
      <c r="AHQ765" s="1207"/>
      <c r="AHR765" s="1207"/>
      <c r="AHS765" s="1207"/>
      <c r="AHT765" s="1207"/>
      <c r="AHU765" s="1207"/>
      <c r="AHV765" s="1207"/>
      <c r="AHW765" s="1207"/>
      <c r="AHX765" s="1207"/>
      <c r="AHY765" s="1207"/>
      <c r="AHZ765" s="1207"/>
      <c r="AIA765" s="1207"/>
      <c r="AIB765" s="1207"/>
      <c r="AIC765" s="1207"/>
      <c r="AID765" s="1207"/>
      <c r="AIE765" s="1207"/>
      <c r="AIF765" s="1207"/>
      <c r="AIG765" s="1207"/>
      <c r="AIH765" s="1207"/>
      <c r="AII765" s="1207"/>
      <c r="AIJ765" s="1207"/>
      <c r="AIK765" s="1207"/>
      <c r="AIL765" s="1207"/>
      <c r="AIM765" s="1207"/>
      <c r="AIN765" s="1207"/>
      <c r="AIO765" s="1207"/>
      <c r="AIP765" s="1207"/>
      <c r="AIQ765" s="1207"/>
      <c r="AIR765" s="1207"/>
      <c r="AIS765" s="1207"/>
      <c r="AIT765" s="1207"/>
      <c r="AIU765" s="1207"/>
      <c r="AIV765" s="1207"/>
      <c r="AIW765" s="1207"/>
      <c r="AIX765" s="1207"/>
      <c r="AIY765" s="1207"/>
      <c r="AIZ765" s="1207"/>
      <c r="AJA765" s="1207"/>
      <c r="AJB765" s="1207"/>
      <c r="AJC765" s="1207"/>
      <c r="AJD765" s="1207"/>
      <c r="AJE765" s="1207"/>
      <c r="AJF765" s="1207"/>
      <c r="AJG765" s="1207"/>
      <c r="AJH765" s="1207"/>
      <c r="AJI765" s="1207"/>
      <c r="AJJ765" s="1207"/>
      <c r="AJK765" s="1207"/>
      <c r="AJL765" s="1207"/>
      <c r="AJM765" s="1207"/>
      <c r="AJN765" s="1207"/>
      <c r="AJO765" s="1207"/>
      <c r="AJP765" s="1207"/>
      <c r="AJQ765" s="1207"/>
      <c r="AJR765" s="1207"/>
      <c r="AJS765" s="1207"/>
      <c r="AJT765" s="1207"/>
      <c r="AJU765" s="1207"/>
      <c r="AJV765" s="1207"/>
      <c r="AJW765" s="1207"/>
      <c r="AJX765" s="1207"/>
      <c r="AJY765" s="1207"/>
      <c r="AJZ765" s="1207"/>
      <c r="AKA765" s="1207"/>
      <c r="AKB765" s="1207"/>
      <c r="AKC765" s="1207"/>
      <c r="AKD765" s="1207"/>
      <c r="AKE765" s="1207"/>
      <c r="AKF765" s="1207"/>
      <c r="AKG765" s="1207"/>
      <c r="AKH765" s="1207"/>
      <c r="AKI765" s="1207"/>
      <c r="AKJ765" s="1207"/>
      <c r="AKK765" s="1207"/>
      <c r="AKL765" s="1207"/>
      <c r="AKM765" s="1207"/>
      <c r="AKN765" s="1207"/>
      <c r="AKO765" s="1207"/>
      <c r="AKP765" s="1207"/>
      <c r="AKQ765" s="1207"/>
      <c r="AKR765" s="1207"/>
      <c r="AKS765" s="1207"/>
      <c r="AKT765" s="1207"/>
      <c r="AKU765" s="1207"/>
      <c r="AKV765" s="1207"/>
      <c r="AKW765" s="1207"/>
      <c r="AKX765" s="1207"/>
      <c r="AKY765" s="1207"/>
      <c r="AKZ765" s="1207"/>
      <c r="ALA765" s="1207"/>
      <c r="ALB765" s="1207"/>
      <c r="ALC765" s="1207"/>
      <c r="ALD765" s="1207"/>
      <c r="ALE765" s="1207"/>
      <c r="ALF765" s="1207"/>
      <c r="ALG765" s="1207"/>
      <c r="ALH765" s="1207"/>
      <c r="ALI765" s="1207"/>
      <c r="ALJ765" s="1207"/>
      <c r="ALK765" s="1207"/>
      <c r="ALL765" s="1207"/>
      <c r="ALM765" s="1207"/>
      <c r="ALN765" s="1207"/>
      <c r="ALO765" s="1207"/>
      <c r="ALP765" s="1207"/>
      <c r="ALQ765" s="1207"/>
      <c r="ALR765" s="1207"/>
      <c r="ALS765" s="1207"/>
      <c r="ALT765" s="1207"/>
      <c r="ALU765" s="1207"/>
      <c r="ALV765" s="1207"/>
      <c r="ALW765" s="1207"/>
      <c r="ALX765" s="1207"/>
      <c r="ALY765" s="1207"/>
      <c r="ALZ765" s="1207"/>
      <c r="AMA765" s="1207"/>
      <c r="AMB765" s="1207"/>
      <c r="AMC765" s="1207"/>
      <c r="AMD765" s="1207"/>
      <c r="AME765" s="1207"/>
      <c r="AMF765" s="1207"/>
      <c r="AMG765" s="1207"/>
      <c r="AMH765" s="1207"/>
      <c r="AMI765" s="1207"/>
      <c r="AMJ765" s="1207"/>
      <c r="AMK765" s="1207"/>
      <c r="AML765" s="1207"/>
      <c r="AMM765" s="1207"/>
      <c r="AMN765" s="1207"/>
      <c r="AMO765" s="1207"/>
      <c r="AMP765" s="1207"/>
      <c r="AMQ765" s="1207"/>
      <c r="AMR765" s="1207"/>
      <c r="AMS765" s="1207"/>
      <c r="AMT765" s="1207"/>
      <c r="AMU765" s="1207"/>
      <c r="AMV765" s="1207"/>
      <c r="AMW765" s="1207"/>
      <c r="AMX765" s="1207"/>
      <c r="AMY765" s="1207"/>
      <c r="AMZ765" s="1207"/>
      <c r="ANA765" s="1207"/>
      <c r="ANB765" s="1207"/>
      <c r="ANC765" s="1207"/>
      <c r="AND765" s="1207"/>
      <c r="ANE765" s="1207"/>
      <c r="ANF765" s="1207"/>
      <c r="ANG765" s="1207"/>
      <c r="ANH765" s="1207"/>
      <c r="ANI765" s="1207"/>
      <c r="ANJ765" s="1207"/>
      <c r="ANK765" s="1207"/>
      <c r="ANL765" s="1207"/>
      <c r="ANM765" s="1207"/>
      <c r="ANN765" s="1207"/>
      <c r="ANO765" s="1207"/>
      <c r="ANP765" s="1207"/>
      <c r="ANQ765" s="1207"/>
      <c r="ANR765" s="1207"/>
      <c r="ANS765" s="1207"/>
      <c r="ANT765" s="1207"/>
      <c r="ANU765" s="1207"/>
      <c r="ANV765" s="1207"/>
      <c r="ANW765" s="1207"/>
      <c r="ANX765" s="1207"/>
      <c r="ANY765" s="1207"/>
      <c r="ANZ765" s="1207"/>
      <c r="AOA765" s="1207"/>
      <c r="AOB765" s="1207"/>
      <c r="AOC765" s="1207"/>
      <c r="AOD765" s="1207"/>
      <c r="AOE765" s="1207"/>
      <c r="AOF765" s="1207"/>
      <c r="AOG765" s="1207"/>
      <c r="AOH765" s="1207"/>
      <c r="AOI765" s="1207"/>
      <c r="AOJ765" s="1207"/>
      <c r="AOK765" s="1207"/>
      <c r="AOL765" s="1207"/>
      <c r="AOM765" s="1207"/>
      <c r="AON765" s="1207"/>
      <c r="AOO765" s="1207"/>
      <c r="AOP765" s="1207"/>
      <c r="AOQ765" s="1207"/>
      <c r="AOR765" s="1207"/>
      <c r="AOS765" s="1207"/>
      <c r="AOT765" s="1207"/>
      <c r="AOU765" s="1207"/>
      <c r="AOV765" s="1207"/>
      <c r="AOW765" s="1207"/>
      <c r="AOX765" s="1207"/>
      <c r="AOY765" s="1207"/>
      <c r="AOZ765" s="1207"/>
      <c r="APA765" s="1207"/>
      <c r="APB765" s="1207"/>
      <c r="APC765" s="1207"/>
      <c r="APD765" s="1207"/>
      <c r="APE765" s="1207"/>
      <c r="APF765" s="1207"/>
      <c r="APG765" s="1207"/>
      <c r="APH765" s="1207"/>
      <c r="API765" s="1207"/>
      <c r="APJ765" s="1207"/>
      <c r="APK765" s="1207"/>
      <c r="APL765" s="1207"/>
      <c r="APM765" s="1207"/>
      <c r="APN765" s="1207"/>
      <c r="APO765" s="1207"/>
      <c r="APP765" s="1207"/>
      <c r="APQ765" s="1207"/>
      <c r="APR765" s="1207"/>
      <c r="APS765" s="1207"/>
      <c r="APT765" s="1207"/>
      <c r="APU765" s="1207"/>
      <c r="APV765" s="1207"/>
      <c r="APW765" s="1207"/>
      <c r="APX765" s="1207"/>
      <c r="APY765" s="1207"/>
      <c r="APZ765" s="1207"/>
      <c r="AQA765" s="1207"/>
      <c r="AQB765" s="1207"/>
      <c r="AQC765" s="1207"/>
      <c r="AQD765" s="1207"/>
      <c r="AQE765" s="1207"/>
      <c r="AQF765" s="1207"/>
      <c r="AQG765" s="1207"/>
      <c r="AQH765" s="1207"/>
      <c r="AQI765" s="1207"/>
      <c r="AQJ765" s="1207"/>
      <c r="AQK765" s="1207"/>
      <c r="AQL765" s="1207"/>
      <c r="AQM765" s="1207"/>
      <c r="AQN765" s="1207"/>
      <c r="AQO765" s="1207"/>
      <c r="AQP765" s="1207"/>
      <c r="AQQ765" s="1207"/>
      <c r="AQR765" s="1207"/>
      <c r="AQS765" s="1207"/>
      <c r="AQT765" s="1207"/>
      <c r="AQU765" s="1207"/>
      <c r="AQV765" s="1207"/>
      <c r="AQW765" s="1207"/>
      <c r="AQX765" s="1207"/>
      <c r="AQY765" s="1207"/>
      <c r="AQZ765" s="1207"/>
      <c r="ARA765" s="1207"/>
      <c r="ARB765" s="1207"/>
      <c r="ARC765" s="1207"/>
      <c r="ARD765" s="1207"/>
      <c r="ARE765" s="1207"/>
      <c r="ARF765" s="1207"/>
      <c r="ARG765" s="1207"/>
      <c r="ARH765" s="1207"/>
      <c r="ARI765" s="1207"/>
      <c r="ARJ765" s="1207"/>
      <c r="ARK765" s="1207"/>
      <c r="ARL765" s="1207"/>
      <c r="ARM765" s="1207"/>
      <c r="ARN765" s="1207"/>
      <c r="ARO765" s="1207"/>
      <c r="ARP765" s="1207"/>
      <c r="ARQ765" s="1207"/>
      <c r="ARR765" s="1207"/>
      <c r="ARS765" s="1207"/>
      <c r="ART765" s="1207"/>
      <c r="ARU765" s="1207"/>
      <c r="ARV765" s="1207"/>
      <c r="ARW765" s="1207"/>
      <c r="ARX765" s="1207"/>
      <c r="ARY765" s="1207"/>
      <c r="ARZ765" s="1207"/>
      <c r="ASA765" s="1207"/>
      <c r="ASB765" s="1207"/>
      <c r="ASC765" s="1207"/>
      <c r="ASD765" s="1207"/>
      <c r="ASE765" s="1207"/>
      <c r="ASF765" s="1207"/>
      <c r="ASG765" s="1207"/>
      <c r="ASH765" s="1207"/>
      <c r="ASI765" s="1207"/>
      <c r="ASJ765" s="1207"/>
      <c r="ASK765" s="1207"/>
      <c r="ASL765" s="1207"/>
      <c r="ASM765" s="1207"/>
      <c r="ASN765" s="1207"/>
      <c r="ASO765" s="1207"/>
      <c r="ASP765" s="1207"/>
      <c r="ASQ765" s="1207"/>
      <c r="ASR765" s="1207"/>
      <c r="ASS765" s="1207"/>
      <c r="AST765" s="1207"/>
      <c r="ASU765" s="1207"/>
      <c r="ASV765" s="1207"/>
      <c r="ASW765" s="1207"/>
      <c r="ASX765" s="1207"/>
      <c r="ASY765" s="1207"/>
      <c r="ASZ765" s="1207"/>
      <c r="ATA765" s="1207"/>
      <c r="ATB765" s="1207"/>
      <c r="ATC765" s="1207"/>
      <c r="ATD765" s="1207"/>
      <c r="ATE765" s="1207"/>
      <c r="ATF765" s="1207"/>
      <c r="ATG765" s="1207"/>
      <c r="ATH765" s="1207"/>
      <c r="ATI765" s="1207"/>
      <c r="ATJ765" s="1207"/>
      <c r="ATK765" s="1207"/>
      <c r="ATL765" s="1207"/>
      <c r="ATM765" s="1207"/>
      <c r="ATN765" s="1207"/>
      <c r="ATO765" s="1207"/>
      <c r="ATP765" s="1207"/>
      <c r="ATQ765" s="1207"/>
      <c r="ATR765" s="1207"/>
      <c r="ATS765" s="1207"/>
      <c r="ATT765" s="1207"/>
      <c r="ATU765" s="1207"/>
      <c r="ATV765" s="1207"/>
      <c r="ATW765" s="1207"/>
      <c r="ATX765" s="1207"/>
      <c r="ATY765" s="1207"/>
      <c r="ATZ765" s="1207"/>
      <c r="AUA765" s="1207"/>
      <c r="AUB765" s="1207"/>
      <c r="AUC765" s="1207"/>
      <c r="AUD765" s="1207"/>
      <c r="AUE765" s="1207"/>
      <c r="AUF765" s="1207"/>
      <c r="AUG765" s="1207"/>
      <c r="AUH765" s="1207"/>
      <c r="AUI765" s="1207"/>
      <c r="AUJ765" s="1207"/>
      <c r="AUK765" s="1207"/>
      <c r="AUL765" s="1207"/>
      <c r="AUM765" s="1207"/>
      <c r="AUN765" s="1207"/>
      <c r="AUO765" s="1207"/>
      <c r="AUP765" s="1207"/>
      <c r="AUQ765" s="1207"/>
      <c r="AUR765" s="1207"/>
      <c r="AUS765" s="1207"/>
      <c r="AUT765" s="1207"/>
      <c r="AUU765" s="1207"/>
      <c r="AUV765" s="1207"/>
      <c r="AUW765" s="1207"/>
      <c r="AUX765" s="1207"/>
      <c r="AUY765" s="1207"/>
      <c r="AUZ765" s="1207"/>
      <c r="AVA765" s="1207"/>
      <c r="AVB765" s="1207"/>
      <c r="AVC765" s="1207"/>
      <c r="AVD765" s="1207"/>
      <c r="AVE765" s="1207"/>
      <c r="AVF765" s="1207"/>
      <c r="AVG765" s="1207"/>
      <c r="AVH765" s="1207"/>
      <c r="AVI765" s="1207"/>
      <c r="AVJ765" s="1207"/>
      <c r="AVK765" s="1207"/>
      <c r="AVL765" s="1207"/>
      <c r="AVM765" s="1207"/>
      <c r="AVN765" s="1207"/>
      <c r="AVO765" s="1207"/>
      <c r="AVP765" s="1207"/>
      <c r="AVQ765" s="1207"/>
      <c r="AVR765" s="1207"/>
      <c r="AVS765" s="1207"/>
      <c r="AVT765" s="1207"/>
      <c r="AVU765" s="1207"/>
      <c r="AVV765" s="1207"/>
      <c r="AVW765" s="1207"/>
      <c r="AVX765" s="1207"/>
      <c r="AVY765" s="1207"/>
      <c r="AVZ765" s="1207"/>
      <c r="AWA765" s="1207"/>
      <c r="AWB765" s="1207"/>
      <c r="AWC765" s="1207"/>
      <c r="AWD765" s="1207"/>
      <c r="AWE765" s="1207"/>
      <c r="AWF765" s="1207"/>
      <c r="AWG765" s="1207"/>
      <c r="AWH765" s="1207"/>
      <c r="AWI765" s="1207"/>
      <c r="AWJ765" s="1207"/>
      <c r="AWK765" s="1207"/>
      <c r="AWL765" s="1207"/>
      <c r="AWM765" s="1207"/>
      <c r="AWN765" s="1207"/>
      <c r="AWO765" s="1207"/>
      <c r="AWP765" s="1207"/>
      <c r="AWQ765" s="1207"/>
      <c r="AWR765" s="1207"/>
      <c r="AWS765" s="1207"/>
      <c r="AWT765" s="1207"/>
      <c r="AWU765" s="1207"/>
      <c r="AWV765" s="1207"/>
      <c r="AWW765" s="1207"/>
      <c r="AWX765" s="1207"/>
      <c r="AWY765" s="1207"/>
      <c r="AWZ765" s="1207"/>
      <c r="AXA765" s="1207"/>
      <c r="AXB765" s="1207"/>
      <c r="AXC765" s="1207"/>
      <c r="AXD765" s="1207"/>
      <c r="AXE765" s="1207"/>
      <c r="AXF765" s="1207"/>
      <c r="AXG765" s="1207"/>
      <c r="AXH765" s="1207"/>
      <c r="AXI765" s="1207"/>
      <c r="AXJ765" s="1207"/>
      <c r="AXK765" s="1207"/>
      <c r="AXL765" s="1207"/>
      <c r="AXM765" s="1207"/>
      <c r="AXN765" s="1207"/>
      <c r="AXO765" s="1207"/>
      <c r="AXP765" s="1207"/>
      <c r="AXQ765" s="1207"/>
      <c r="AXR765" s="1207"/>
      <c r="AXS765" s="1207"/>
      <c r="AXT765" s="1207"/>
      <c r="AXU765" s="1207"/>
      <c r="AXV765" s="1207"/>
      <c r="AXW765" s="1207"/>
      <c r="AXX765" s="1207"/>
      <c r="AXY765" s="1207"/>
      <c r="AXZ765" s="1207"/>
      <c r="AYA765" s="1207"/>
      <c r="AYB765" s="1207"/>
      <c r="AYC765" s="1207"/>
      <c r="AYD765" s="1207"/>
      <c r="AYE765" s="1207"/>
      <c r="AYF765" s="1207"/>
      <c r="AYG765" s="1207"/>
      <c r="AYH765" s="1207"/>
      <c r="AYI765" s="1207"/>
      <c r="AYJ765" s="1207"/>
      <c r="AYK765" s="1207"/>
      <c r="AYL765" s="1207"/>
      <c r="AYM765" s="1207"/>
      <c r="AYN765" s="1207"/>
      <c r="AYO765" s="1207"/>
      <c r="AYP765" s="1207"/>
      <c r="AYQ765" s="1207"/>
      <c r="AYR765" s="1207"/>
      <c r="AYS765" s="1207"/>
      <c r="AYT765" s="1207"/>
      <c r="AYU765" s="1207"/>
      <c r="AYV765" s="1207"/>
      <c r="AYW765" s="1207"/>
      <c r="AYX765" s="1207"/>
      <c r="AYY765" s="1207"/>
      <c r="AYZ765" s="1207"/>
      <c r="AZA765" s="1207"/>
      <c r="AZB765" s="1207"/>
      <c r="AZC765" s="1207"/>
      <c r="AZD765" s="1207"/>
      <c r="AZE765" s="1207"/>
      <c r="AZF765" s="1207"/>
      <c r="AZG765" s="1207"/>
      <c r="AZH765" s="1207"/>
      <c r="AZI765" s="1207"/>
      <c r="AZJ765" s="1207"/>
      <c r="AZK765" s="1207"/>
      <c r="AZL765" s="1207"/>
      <c r="AZM765" s="1207"/>
      <c r="AZN765" s="1207"/>
      <c r="AZO765" s="1207"/>
      <c r="AZP765" s="1207"/>
      <c r="AZQ765" s="1207"/>
      <c r="AZR765" s="1207"/>
      <c r="AZS765" s="1207"/>
      <c r="AZT765" s="1207"/>
      <c r="AZU765" s="1207"/>
      <c r="AZV765" s="1207"/>
      <c r="AZW765" s="1207"/>
      <c r="AZX765" s="1207"/>
      <c r="AZY765" s="1207"/>
      <c r="AZZ765" s="1207"/>
      <c r="BAA765" s="1207"/>
      <c r="BAB765" s="1207"/>
      <c r="BAC765" s="1207"/>
      <c r="BAD765" s="1207"/>
      <c r="BAE765" s="1207"/>
      <c r="BAF765" s="1207"/>
      <c r="BAG765" s="1207"/>
      <c r="BAH765" s="1207"/>
      <c r="BAI765" s="1207"/>
      <c r="BAJ765" s="1207"/>
      <c r="BAK765" s="1207"/>
      <c r="BAL765" s="1207"/>
      <c r="BAM765" s="1207"/>
      <c r="BAN765" s="1207"/>
      <c r="BAO765" s="1207"/>
      <c r="BAP765" s="1207"/>
      <c r="BAQ765" s="1207"/>
      <c r="BAR765" s="1207"/>
      <c r="BAS765" s="1207"/>
      <c r="BAT765" s="1207"/>
      <c r="BAU765" s="1207"/>
      <c r="BAV765" s="1207"/>
      <c r="BAW765" s="1207"/>
      <c r="BAX765" s="1207"/>
      <c r="BAY765" s="1207"/>
      <c r="BAZ765" s="1207"/>
      <c r="BBA765" s="1207"/>
      <c r="BBB765" s="1207"/>
      <c r="BBC765" s="1207"/>
      <c r="BBD765" s="1207"/>
      <c r="BBE765" s="1207"/>
      <c r="BBF765" s="1207"/>
      <c r="BBG765" s="1207"/>
      <c r="BBH765" s="1207"/>
      <c r="BBI765" s="1207"/>
      <c r="BBJ765" s="1207"/>
      <c r="BBK765" s="1207"/>
      <c r="BBL765" s="1207"/>
      <c r="BBM765" s="1207"/>
      <c r="BBN765" s="1207"/>
      <c r="BBO765" s="1207"/>
      <c r="BBP765" s="1207"/>
      <c r="BBQ765" s="1207"/>
      <c r="BBR765" s="1207"/>
      <c r="BBS765" s="1207"/>
      <c r="BBT765" s="1207"/>
      <c r="BBU765" s="1207"/>
      <c r="BBV765" s="1207"/>
      <c r="BBW765" s="1207"/>
      <c r="BBX765" s="1207"/>
      <c r="BBY765" s="1207"/>
      <c r="BBZ765" s="1207"/>
      <c r="BCA765" s="1207"/>
      <c r="BCB765" s="1207"/>
      <c r="BCC765" s="1207"/>
      <c r="BCD765" s="1207"/>
      <c r="BCE765" s="1207"/>
      <c r="BCF765" s="1207"/>
      <c r="BCG765" s="1207"/>
      <c r="BCH765" s="1207"/>
      <c r="BCI765" s="1207"/>
      <c r="BCJ765" s="1207"/>
      <c r="BCK765" s="1207"/>
      <c r="BCL765" s="1207"/>
      <c r="BCM765" s="1207"/>
      <c r="BCN765" s="1207"/>
      <c r="BCO765" s="1207"/>
      <c r="BCP765" s="1207"/>
      <c r="BCQ765" s="1207"/>
      <c r="BCR765" s="1207"/>
      <c r="BCS765" s="1207"/>
      <c r="BCT765" s="1207"/>
      <c r="BCU765" s="1207"/>
      <c r="BCV765" s="1207"/>
      <c r="BCW765" s="1207"/>
      <c r="BCX765" s="1207"/>
      <c r="BCY765" s="1207"/>
      <c r="BCZ765" s="1207"/>
      <c r="BDA765" s="1207"/>
      <c r="BDB765" s="1207"/>
      <c r="BDC765" s="1207"/>
      <c r="BDD765" s="1207"/>
      <c r="BDE765" s="1207"/>
      <c r="BDF765" s="1207"/>
      <c r="BDG765" s="1207"/>
      <c r="BDH765" s="1207"/>
      <c r="BDI765" s="1207"/>
      <c r="BDJ765" s="1207"/>
      <c r="BDK765" s="1207"/>
      <c r="BDL765" s="1207"/>
      <c r="BDM765" s="1207"/>
      <c r="BDN765" s="1207"/>
      <c r="BDO765" s="1207"/>
      <c r="BDP765" s="1207"/>
      <c r="BDQ765" s="1207"/>
      <c r="BDR765" s="1207"/>
      <c r="BDS765" s="1207"/>
      <c r="BDT765" s="1207"/>
      <c r="BDU765" s="1207"/>
      <c r="BDV765" s="1207"/>
      <c r="BDW765" s="1207"/>
      <c r="BDX765" s="1207"/>
      <c r="BDY765" s="1207"/>
      <c r="BDZ765" s="1207"/>
      <c r="BEA765" s="1207"/>
      <c r="BEB765" s="1207"/>
      <c r="BEC765" s="1207"/>
      <c r="BED765" s="1207"/>
      <c r="BEE765" s="1207"/>
      <c r="BEF765" s="1207"/>
      <c r="BEG765" s="1207"/>
      <c r="BEH765" s="1207"/>
      <c r="BEI765" s="1207"/>
      <c r="BEJ765" s="1207"/>
      <c r="BEK765" s="1207"/>
      <c r="BEL765" s="1207"/>
      <c r="BEM765" s="1207"/>
      <c r="BEN765" s="1207"/>
      <c r="BEO765" s="1207"/>
      <c r="BEP765" s="1207"/>
      <c r="BEQ765" s="1207"/>
      <c r="BER765" s="1207"/>
      <c r="BES765" s="1207"/>
      <c r="BET765" s="1207"/>
      <c r="BEU765" s="1207"/>
      <c r="BEV765" s="1207"/>
      <c r="BEW765" s="1207"/>
      <c r="BEX765" s="1207"/>
      <c r="BEY765" s="1207"/>
      <c r="BEZ765" s="1207"/>
      <c r="BFA765" s="1207"/>
      <c r="BFB765" s="1207"/>
      <c r="BFC765" s="1207"/>
      <c r="BFD765" s="1207"/>
      <c r="BFE765" s="1207"/>
      <c r="BFF765" s="1207"/>
      <c r="BFG765" s="1207"/>
      <c r="BFH765" s="1207"/>
      <c r="BFI765" s="1207"/>
      <c r="BFJ765" s="1207"/>
      <c r="BFK765" s="1207"/>
      <c r="BFL765" s="1207"/>
      <c r="BFM765" s="1207"/>
      <c r="BFN765" s="1207"/>
      <c r="BFO765" s="1207"/>
      <c r="BFP765" s="1207"/>
      <c r="BFQ765" s="1207"/>
      <c r="BFR765" s="1207"/>
      <c r="BFS765" s="1207"/>
      <c r="BFT765" s="1207"/>
      <c r="BFU765" s="1207"/>
      <c r="BFV765" s="1207"/>
      <c r="BFW765" s="1207"/>
      <c r="BFX765" s="1207"/>
      <c r="BFY765" s="1207"/>
      <c r="BFZ765" s="1207"/>
      <c r="BGA765" s="1207"/>
      <c r="BGB765" s="1207"/>
      <c r="BGC765" s="1207"/>
      <c r="BGD765" s="1207"/>
      <c r="BGE765" s="1207"/>
      <c r="BGF765" s="1207"/>
      <c r="BGG765" s="1207"/>
      <c r="BGH765" s="1207"/>
      <c r="BGI765" s="1207"/>
      <c r="BGJ765" s="1207"/>
      <c r="BGK765" s="1207"/>
      <c r="BGL765" s="1207"/>
      <c r="BGM765" s="1207"/>
      <c r="BGN765" s="1207"/>
      <c r="BGO765" s="1207"/>
      <c r="BGP765" s="1207"/>
      <c r="BGQ765" s="1207"/>
      <c r="BGR765" s="1207"/>
      <c r="BGS765" s="1207"/>
      <c r="BGT765" s="1207"/>
      <c r="BGU765" s="1207"/>
      <c r="BGV765" s="1207"/>
      <c r="BGW765" s="1207"/>
      <c r="BGX765" s="1207"/>
      <c r="BGY765" s="1207"/>
      <c r="BGZ765" s="1207"/>
      <c r="BHA765" s="1207"/>
      <c r="BHB765" s="1207"/>
      <c r="BHC765" s="1207"/>
      <c r="BHD765" s="1207"/>
      <c r="BHE765" s="1207"/>
      <c r="BHF765" s="1207"/>
      <c r="BHG765" s="1207"/>
      <c r="BHH765" s="1207"/>
      <c r="BHI765" s="1207"/>
      <c r="BHJ765" s="1207"/>
      <c r="BHK765" s="1207"/>
      <c r="BHL765" s="1207"/>
      <c r="BHM765" s="1207"/>
      <c r="BHN765" s="1207"/>
      <c r="BHO765" s="1207"/>
      <c r="BHP765" s="1207"/>
      <c r="BHQ765" s="1207"/>
      <c r="BHR765" s="1207"/>
      <c r="BHS765" s="1207"/>
      <c r="BHT765" s="1207"/>
      <c r="BHU765" s="1207"/>
      <c r="BHV765" s="1207"/>
      <c r="BHW765" s="1207"/>
      <c r="BHX765" s="1207"/>
      <c r="BHY765" s="1207"/>
      <c r="BHZ765" s="1207"/>
      <c r="BIA765" s="1207"/>
      <c r="BIB765" s="1207"/>
      <c r="BIC765" s="1207"/>
      <c r="BID765" s="1207"/>
      <c r="BIE765" s="1207"/>
      <c r="BIF765" s="1207"/>
      <c r="BIG765" s="1207"/>
      <c r="BIH765" s="1207"/>
      <c r="BII765" s="1207"/>
      <c r="BIJ765" s="1207"/>
      <c r="BIK765" s="1207"/>
      <c r="BIL765" s="1207"/>
      <c r="BIM765" s="1207"/>
      <c r="BIN765" s="1207"/>
      <c r="BIO765" s="1207"/>
      <c r="BIP765" s="1207"/>
      <c r="BIQ765" s="1207"/>
      <c r="BIR765" s="1207"/>
      <c r="BIS765" s="1207"/>
      <c r="BIT765" s="1207"/>
      <c r="BIU765" s="1207"/>
      <c r="BIV765" s="1207"/>
      <c r="BIW765" s="1207"/>
      <c r="BIX765" s="1207"/>
      <c r="BIY765" s="1207"/>
      <c r="BIZ765" s="1207"/>
      <c r="BJA765" s="1207"/>
      <c r="BJB765" s="1207"/>
      <c r="BJC765" s="1207"/>
      <c r="BJD765" s="1207"/>
      <c r="BJE765" s="1207"/>
      <c r="BJF765" s="1207"/>
      <c r="BJG765" s="1207"/>
      <c r="BJH765" s="1207"/>
      <c r="BJI765" s="1207"/>
      <c r="BJJ765" s="1207"/>
      <c r="BJK765" s="1207"/>
      <c r="BJL765" s="1207"/>
      <c r="BJM765" s="1207"/>
      <c r="BJN765" s="1207"/>
      <c r="BJO765" s="1207"/>
      <c r="BJP765" s="1207"/>
      <c r="BJQ765" s="1207"/>
      <c r="BJR765" s="1207"/>
      <c r="BJS765" s="1207"/>
      <c r="BJT765" s="1207"/>
      <c r="BJU765" s="1207"/>
      <c r="BJV765" s="1207"/>
      <c r="BJW765" s="1207"/>
      <c r="BJX765" s="1207"/>
      <c r="BJY765" s="1207"/>
      <c r="BJZ765" s="1207"/>
      <c r="BKA765" s="1207"/>
      <c r="BKB765" s="1207"/>
      <c r="BKC765" s="1207"/>
      <c r="BKD765" s="1207"/>
      <c r="BKE765" s="1207"/>
      <c r="BKF765" s="1207"/>
      <c r="BKG765" s="1207"/>
      <c r="BKH765" s="1207"/>
      <c r="BKI765" s="1207"/>
      <c r="BKJ765" s="1207"/>
      <c r="BKK765" s="1207"/>
      <c r="BKL765" s="1207"/>
      <c r="BKM765" s="1207"/>
      <c r="BKN765" s="1207"/>
      <c r="BKO765" s="1207"/>
      <c r="BKP765" s="1207"/>
      <c r="BKQ765" s="1207"/>
      <c r="BKR765" s="1207"/>
      <c r="BKS765" s="1207"/>
      <c r="BKT765" s="1207"/>
      <c r="BKU765" s="1207"/>
      <c r="BKV765" s="1207"/>
      <c r="BKW765" s="1207"/>
      <c r="BKX765" s="1207"/>
      <c r="BKY765" s="1207"/>
      <c r="BKZ765" s="1207"/>
      <c r="BLA765" s="1207"/>
      <c r="BLB765" s="1207"/>
      <c r="BLC765" s="1207"/>
      <c r="BLD765" s="1207"/>
      <c r="BLE765" s="1207"/>
      <c r="BLF765" s="1207"/>
      <c r="BLG765" s="1207"/>
      <c r="BLH765" s="1207"/>
      <c r="BLI765" s="1207"/>
      <c r="BLJ765" s="1207"/>
      <c r="BLK765" s="1207"/>
      <c r="BLL765" s="1207"/>
      <c r="BLM765" s="1207"/>
      <c r="BLN765" s="1207"/>
      <c r="BLO765" s="1207"/>
      <c r="BLP765" s="1207"/>
      <c r="BLQ765" s="1207"/>
      <c r="BLR765" s="1207"/>
      <c r="BLS765" s="1207"/>
      <c r="BLT765" s="1207"/>
      <c r="BLU765" s="1207"/>
      <c r="BLV765" s="1207"/>
      <c r="BLW765" s="1207"/>
      <c r="BLX765" s="1207"/>
      <c r="BLY765" s="1207"/>
      <c r="BLZ765" s="1207"/>
      <c r="BMA765" s="1207"/>
      <c r="BMB765" s="1207"/>
      <c r="BMC765" s="1207"/>
      <c r="BMD765" s="1207"/>
      <c r="BME765" s="1207"/>
      <c r="BMF765" s="1207"/>
      <c r="BMG765" s="1207"/>
      <c r="BMH765" s="1207"/>
      <c r="BMI765" s="1207"/>
      <c r="BMJ765" s="1207"/>
      <c r="BMK765" s="1207"/>
      <c r="BML765" s="1207"/>
      <c r="BMM765" s="1207"/>
      <c r="BMN765" s="1207"/>
      <c r="BMO765" s="1207"/>
      <c r="BMP765" s="1207"/>
      <c r="BMQ765" s="1207"/>
      <c r="BMR765" s="1207"/>
      <c r="BMS765" s="1207"/>
      <c r="BMT765" s="1207"/>
      <c r="BMU765" s="1207"/>
      <c r="BMV765" s="1207"/>
      <c r="BMW765" s="1207"/>
      <c r="BMX765" s="1207"/>
      <c r="BMY765" s="1207"/>
      <c r="BMZ765" s="1207"/>
      <c r="BNA765" s="1207"/>
      <c r="BNB765" s="1207"/>
      <c r="BNC765" s="1207"/>
      <c r="BND765" s="1207"/>
      <c r="BNE765" s="1207"/>
      <c r="BNF765" s="1207"/>
      <c r="BNG765" s="1207"/>
      <c r="BNH765" s="1207"/>
      <c r="BNI765" s="1207"/>
      <c r="BNJ765" s="1207"/>
      <c r="BNK765" s="1207"/>
      <c r="BNL765" s="1207"/>
      <c r="BNM765" s="1207"/>
      <c r="BNN765" s="1207"/>
      <c r="BNO765" s="1207"/>
      <c r="BNP765" s="1207"/>
      <c r="BNQ765" s="1207"/>
      <c r="BNR765" s="1207"/>
      <c r="BNS765" s="1207"/>
      <c r="BNT765" s="1207"/>
      <c r="BNU765" s="1207"/>
      <c r="BNV765" s="1207"/>
      <c r="BNW765" s="1207"/>
      <c r="BNX765" s="1207"/>
      <c r="BNY765" s="1207"/>
      <c r="BNZ765" s="1207"/>
      <c r="BOA765" s="1207"/>
      <c r="BOB765" s="1207"/>
      <c r="BOC765" s="1207"/>
      <c r="BOD765" s="1207"/>
      <c r="BOE765" s="1207"/>
      <c r="BOF765" s="1207"/>
      <c r="BOG765" s="1207"/>
      <c r="BOH765" s="1207"/>
      <c r="BOI765" s="1207"/>
      <c r="BOJ765" s="1207"/>
      <c r="BOK765" s="1207"/>
      <c r="BOL765" s="1207"/>
      <c r="BOM765" s="1207"/>
      <c r="BON765" s="1207"/>
      <c r="BOO765" s="1207"/>
      <c r="BOP765" s="1207"/>
      <c r="BOQ765" s="1207"/>
      <c r="BOR765" s="1207"/>
      <c r="BOS765" s="1207"/>
      <c r="BOT765" s="1207"/>
      <c r="BOU765" s="1207"/>
      <c r="BOV765" s="1207"/>
      <c r="BOW765" s="1207"/>
      <c r="BOX765" s="1207"/>
      <c r="BOY765" s="1207"/>
      <c r="BOZ765" s="1207"/>
      <c r="BPA765" s="1207"/>
      <c r="BPB765" s="1207"/>
      <c r="BPC765" s="1207"/>
      <c r="BPD765" s="1207"/>
      <c r="BPE765" s="1207"/>
      <c r="BPF765" s="1207"/>
      <c r="BPG765" s="1207"/>
      <c r="BPH765" s="1207"/>
      <c r="BPI765" s="1207"/>
      <c r="BPJ765" s="1207"/>
      <c r="BPK765" s="1207"/>
      <c r="BPL765" s="1207"/>
      <c r="BPM765" s="1207"/>
      <c r="BPN765" s="1207"/>
      <c r="BPO765" s="1207"/>
      <c r="BPP765" s="1207"/>
      <c r="BPQ765" s="1207"/>
      <c r="BPR765" s="1207"/>
      <c r="BPS765" s="1207"/>
      <c r="BPT765" s="1207"/>
      <c r="BPU765" s="1207"/>
      <c r="BPV765" s="1207"/>
      <c r="BPW765" s="1207"/>
      <c r="BPX765" s="1207"/>
      <c r="BPY765" s="1207"/>
      <c r="BPZ765" s="1207"/>
      <c r="BQA765" s="1207"/>
      <c r="BQB765" s="1207"/>
      <c r="BQC765" s="1207"/>
      <c r="BQD765" s="1207"/>
      <c r="BQE765" s="1207"/>
      <c r="BQF765" s="1207"/>
      <c r="BQG765" s="1207"/>
      <c r="BQH765" s="1207"/>
      <c r="BQI765" s="1207"/>
      <c r="BQJ765" s="1207"/>
      <c r="BQK765" s="1207"/>
      <c r="BQL765" s="1207"/>
      <c r="BQM765" s="1207"/>
      <c r="BQN765" s="1207"/>
      <c r="BQO765" s="1207"/>
      <c r="BQP765" s="1207"/>
      <c r="BQQ765" s="1207"/>
      <c r="BQR765" s="1207"/>
      <c r="BQS765" s="1207"/>
      <c r="BQT765" s="1207"/>
      <c r="BQU765" s="1207"/>
      <c r="BQV765" s="1207"/>
      <c r="BQW765" s="1207"/>
      <c r="BQX765" s="1207"/>
      <c r="BQY765" s="1207"/>
      <c r="BQZ765" s="1207"/>
      <c r="BRA765" s="1207"/>
      <c r="BRB765" s="1207"/>
      <c r="BRC765" s="1207"/>
      <c r="BRD765" s="1207"/>
      <c r="BRE765" s="1207"/>
      <c r="BRF765" s="1207"/>
      <c r="BRG765" s="1207"/>
      <c r="BRH765" s="1207"/>
      <c r="BRI765" s="1207"/>
      <c r="BRJ765" s="1207"/>
      <c r="BRK765" s="1207"/>
      <c r="BRL765" s="1207"/>
      <c r="BRM765" s="1207"/>
      <c r="BRN765" s="1207"/>
      <c r="BRO765" s="1207"/>
      <c r="BRP765" s="1207"/>
      <c r="BRQ765" s="1207"/>
      <c r="BRR765" s="1207"/>
      <c r="BRS765" s="1207"/>
      <c r="BRT765" s="1207"/>
      <c r="BRU765" s="1207"/>
      <c r="BRV765" s="1207"/>
      <c r="BRW765" s="1207"/>
      <c r="BRX765" s="1207"/>
      <c r="BRY765" s="1207"/>
      <c r="BRZ765" s="1207"/>
      <c r="BSA765" s="1207"/>
      <c r="BSB765" s="1207"/>
      <c r="BSC765" s="1207"/>
      <c r="BSD765" s="1207"/>
      <c r="BSE765" s="1207"/>
      <c r="BSF765" s="1207"/>
      <c r="BSG765" s="1207"/>
      <c r="BSH765" s="1207"/>
      <c r="BSI765" s="1207"/>
      <c r="BSJ765" s="1207"/>
      <c r="BSK765" s="1207"/>
      <c r="BSL765" s="1207"/>
      <c r="BSM765" s="1207"/>
      <c r="BSN765" s="1207"/>
      <c r="BSO765" s="1207"/>
      <c r="BSP765" s="1207"/>
      <c r="BSQ765" s="1207"/>
      <c r="BSR765" s="1207"/>
      <c r="BSS765" s="1207"/>
      <c r="BST765" s="1207"/>
      <c r="BSU765" s="1207"/>
      <c r="BSV765" s="1207"/>
      <c r="BSW765" s="1207"/>
      <c r="BSX765" s="1207"/>
      <c r="BSY765" s="1207"/>
      <c r="BSZ765" s="1207"/>
      <c r="BTA765" s="1207"/>
      <c r="BTB765" s="1207"/>
      <c r="BTC765" s="1207"/>
      <c r="BTD765" s="1207"/>
      <c r="BTE765" s="1207"/>
      <c r="BTF765" s="1207"/>
      <c r="BTG765" s="1207"/>
      <c r="BTH765" s="1207"/>
      <c r="BTI765" s="1207"/>
      <c r="BTJ765" s="1207"/>
      <c r="BTK765" s="1207"/>
      <c r="BTL765" s="1207"/>
      <c r="BTM765" s="1207"/>
      <c r="BTN765" s="1207"/>
      <c r="BTO765" s="1207"/>
      <c r="BTP765" s="1207"/>
      <c r="BTQ765" s="1207"/>
      <c r="BTR765" s="1207"/>
      <c r="BTS765" s="1207"/>
      <c r="BTT765" s="1207"/>
      <c r="BTU765" s="1207"/>
      <c r="BTV765" s="1207"/>
      <c r="BTW765" s="1207"/>
      <c r="BTX765" s="1207"/>
      <c r="BTY765" s="1207"/>
      <c r="BTZ765" s="1207"/>
      <c r="BUA765" s="1207"/>
      <c r="BUB765" s="1207"/>
      <c r="BUC765" s="1207"/>
      <c r="BUD765" s="1207"/>
      <c r="BUE765" s="1207"/>
      <c r="BUF765" s="1207"/>
      <c r="BUG765" s="1207"/>
      <c r="BUH765" s="1207"/>
      <c r="BUI765" s="1207"/>
      <c r="BUJ765" s="1207"/>
      <c r="BUK765" s="1207"/>
      <c r="BUL765" s="1207"/>
      <c r="BUM765" s="1207"/>
      <c r="BUN765" s="1207"/>
      <c r="BUO765" s="1207"/>
      <c r="BUP765" s="1207"/>
      <c r="BUQ765" s="1207"/>
      <c r="BUR765" s="1207"/>
      <c r="BUS765" s="1207"/>
      <c r="BUT765" s="1207"/>
      <c r="BUU765" s="1207"/>
      <c r="BUV765" s="1207"/>
      <c r="BUW765" s="1207"/>
      <c r="BUX765" s="1207"/>
      <c r="BUY765" s="1207"/>
      <c r="BUZ765" s="1207"/>
      <c r="BVA765" s="1207"/>
      <c r="BVB765" s="1207"/>
      <c r="BVC765" s="1207"/>
      <c r="BVD765" s="1207"/>
      <c r="BVE765" s="1207"/>
      <c r="BVF765" s="1207"/>
      <c r="BVG765" s="1207"/>
      <c r="BVH765" s="1207"/>
      <c r="BVI765" s="1207"/>
      <c r="BVJ765" s="1207"/>
      <c r="BVK765" s="1207"/>
      <c r="BVL765" s="1207"/>
      <c r="BVM765" s="1207"/>
      <c r="BVN765" s="1207"/>
      <c r="BVO765" s="1207"/>
      <c r="BVP765" s="1207"/>
      <c r="BVQ765" s="1207"/>
      <c r="BVR765" s="1207"/>
      <c r="BVS765" s="1207"/>
      <c r="BVT765" s="1207"/>
      <c r="BVU765" s="1207"/>
      <c r="BVV765" s="1207"/>
      <c r="BVW765" s="1207"/>
      <c r="BVX765" s="1207"/>
      <c r="BVY765" s="1207"/>
      <c r="BVZ765" s="1207"/>
      <c r="BWA765" s="1207"/>
      <c r="BWB765" s="1207"/>
      <c r="BWC765" s="1207"/>
      <c r="BWD765" s="1207"/>
      <c r="BWE765" s="1207"/>
      <c r="BWF765" s="1207"/>
      <c r="BWG765" s="1207"/>
      <c r="BWH765" s="1207"/>
      <c r="BWI765" s="1207"/>
      <c r="BWJ765" s="1207"/>
      <c r="BWK765" s="1207"/>
      <c r="BWL765" s="1207"/>
      <c r="BWM765" s="1207"/>
      <c r="BWN765" s="1207"/>
      <c r="BWO765" s="1207"/>
      <c r="BWP765" s="1207"/>
      <c r="BWQ765" s="1207"/>
      <c r="BWR765" s="1207"/>
      <c r="BWS765" s="1207"/>
      <c r="BWT765" s="1207"/>
      <c r="BWU765" s="1207"/>
      <c r="BWV765" s="1207"/>
      <c r="BWW765" s="1207"/>
      <c r="BWX765" s="1207"/>
      <c r="BWY765" s="1207"/>
      <c r="BWZ765" s="1207"/>
      <c r="BXA765" s="1207"/>
      <c r="BXB765" s="1207"/>
      <c r="BXC765" s="1207"/>
      <c r="BXD765" s="1207"/>
      <c r="BXE765" s="1207"/>
      <c r="BXF765" s="1207"/>
      <c r="BXG765" s="1207"/>
      <c r="BXH765" s="1207"/>
      <c r="BXI765" s="1207"/>
      <c r="BXJ765" s="1207"/>
      <c r="BXK765" s="1207"/>
      <c r="BXL765" s="1207"/>
      <c r="BXM765" s="1207"/>
      <c r="BXN765" s="1207"/>
      <c r="BXO765" s="1207"/>
      <c r="BXP765" s="1207"/>
      <c r="BXQ765" s="1207"/>
      <c r="BXR765" s="1207"/>
      <c r="BXS765" s="1207"/>
      <c r="BXT765" s="1207"/>
      <c r="BXU765" s="1207"/>
      <c r="BXV765" s="1207"/>
      <c r="BXW765" s="1207"/>
      <c r="BXX765" s="1207"/>
      <c r="BXY765" s="1207"/>
      <c r="BXZ765" s="1207"/>
      <c r="BYA765" s="1207"/>
      <c r="BYB765" s="1207"/>
      <c r="BYC765" s="1207"/>
      <c r="BYD765" s="1207"/>
      <c r="BYE765" s="1207"/>
      <c r="BYF765" s="1207"/>
      <c r="BYG765" s="1207"/>
      <c r="BYH765" s="1207"/>
      <c r="BYI765" s="1207"/>
      <c r="BYJ765" s="1207"/>
      <c r="BYK765" s="1207"/>
      <c r="BYL765" s="1207"/>
      <c r="BYM765" s="1207"/>
      <c r="BYN765" s="1207"/>
      <c r="BYO765" s="1207"/>
      <c r="BYP765" s="1207"/>
      <c r="BYQ765" s="1207"/>
      <c r="BYR765" s="1207"/>
      <c r="BYS765" s="1207"/>
      <c r="BYT765" s="1207"/>
      <c r="BYU765" s="1207"/>
      <c r="BYV765" s="1207"/>
      <c r="BYW765" s="1207"/>
      <c r="BYX765" s="1207"/>
      <c r="BYY765" s="1207"/>
      <c r="BYZ765" s="1207"/>
      <c r="BZA765" s="1207"/>
      <c r="BZB765" s="1207"/>
      <c r="BZC765" s="1207"/>
      <c r="BZD765" s="1207"/>
      <c r="BZE765" s="1207"/>
      <c r="BZF765" s="1207"/>
      <c r="BZG765" s="1207"/>
      <c r="BZH765" s="1207"/>
      <c r="BZI765" s="1207"/>
      <c r="BZJ765" s="1207"/>
      <c r="BZK765" s="1207"/>
      <c r="BZL765" s="1207"/>
      <c r="BZM765" s="1207"/>
      <c r="BZN765" s="1207"/>
      <c r="BZO765" s="1207"/>
      <c r="BZP765" s="1207"/>
      <c r="BZQ765" s="1207"/>
      <c r="BZR765" s="1207"/>
      <c r="BZS765" s="1207"/>
      <c r="BZT765" s="1207"/>
      <c r="BZU765" s="1207"/>
      <c r="BZV765" s="1207"/>
      <c r="BZW765" s="1207"/>
      <c r="BZX765" s="1207"/>
      <c r="BZY765" s="1207"/>
      <c r="BZZ765" s="1207"/>
      <c r="CAA765" s="1207"/>
      <c r="CAB765" s="1207"/>
      <c r="CAC765" s="1207"/>
      <c r="CAD765" s="1207"/>
      <c r="CAE765" s="1207"/>
      <c r="CAF765" s="1207"/>
      <c r="CAG765" s="1207"/>
      <c r="CAH765" s="1207"/>
      <c r="CAI765" s="1207"/>
      <c r="CAJ765" s="1207"/>
      <c r="CAK765" s="1207"/>
      <c r="CAL765" s="1207"/>
      <c r="CAM765" s="1207"/>
      <c r="CAN765" s="1207"/>
      <c r="CAO765" s="1207"/>
      <c r="CAP765" s="1207"/>
      <c r="CAQ765" s="1207"/>
      <c r="CAR765" s="1207"/>
      <c r="CAS765" s="1207"/>
      <c r="CAT765" s="1207"/>
      <c r="CAU765" s="1207"/>
      <c r="CAV765" s="1207"/>
      <c r="CAW765" s="1207"/>
      <c r="CAX765" s="1207"/>
      <c r="CAY765" s="1207"/>
      <c r="CAZ765" s="1207"/>
      <c r="CBA765" s="1207"/>
      <c r="CBB765" s="1207"/>
      <c r="CBC765" s="1207"/>
      <c r="CBD765" s="1207"/>
      <c r="CBE765" s="1207"/>
      <c r="CBF765" s="1207"/>
      <c r="CBG765" s="1207"/>
      <c r="CBH765" s="1207"/>
      <c r="CBI765" s="1207"/>
      <c r="CBJ765" s="1207"/>
      <c r="CBK765" s="1207"/>
      <c r="CBL765" s="1207"/>
      <c r="CBM765" s="1207"/>
      <c r="CBN765" s="1207"/>
      <c r="CBO765" s="1207"/>
      <c r="CBP765" s="1207"/>
      <c r="CBQ765" s="1207"/>
      <c r="CBR765" s="1207"/>
      <c r="CBS765" s="1207"/>
      <c r="CBT765" s="1207"/>
      <c r="CBU765" s="1207"/>
      <c r="CBV765" s="1207"/>
      <c r="CBW765" s="1207"/>
      <c r="CBX765" s="1207"/>
      <c r="CBY765" s="1207"/>
      <c r="CBZ765" s="1207"/>
      <c r="CCA765" s="1207"/>
      <c r="CCB765" s="1207"/>
      <c r="CCC765" s="1207"/>
      <c r="CCD765" s="1207"/>
      <c r="CCE765" s="1207"/>
      <c r="CCF765" s="1207"/>
      <c r="CCG765" s="1207"/>
      <c r="CCH765" s="1207"/>
      <c r="CCI765" s="1207"/>
      <c r="CCJ765" s="1207"/>
      <c r="CCK765" s="1207"/>
      <c r="CCL765" s="1207"/>
      <c r="CCM765" s="1207"/>
      <c r="CCN765" s="1207"/>
      <c r="CCO765" s="1207"/>
      <c r="CCP765" s="1207"/>
      <c r="CCQ765" s="1207"/>
      <c r="CCR765" s="1207"/>
      <c r="CCS765" s="1207"/>
      <c r="CCT765" s="1207"/>
      <c r="CCU765" s="1207"/>
      <c r="CCV765" s="1207"/>
      <c r="CCW765" s="1207"/>
      <c r="CCX765" s="1207"/>
      <c r="CCY765" s="1207"/>
      <c r="CCZ765" s="1207"/>
      <c r="CDA765" s="1207"/>
      <c r="CDB765" s="1207"/>
      <c r="CDC765" s="1207"/>
      <c r="CDD765" s="1207"/>
      <c r="CDE765" s="1207"/>
      <c r="CDF765" s="1207"/>
      <c r="CDG765" s="1207"/>
      <c r="CDH765" s="1207"/>
      <c r="CDI765" s="1207"/>
      <c r="CDJ765" s="1207"/>
      <c r="CDK765" s="1207"/>
      <c r="CDL765" s="1207"/>
      <c r="CDM765" s="1207"/>
      <c r="CDN765" s="1207"/>
      <c r="CDO765" s="1207"/>
      <c r="CDP765" s="1207"/>
      <c r="CDQ765" s="1207"/>
      <c r="CDR765" s="1207"/>
      <c r="CDS765" s="1207"/>
      <c r="CDT765" s="1207"/>
      <c r="CDU765" s="1207"/>
      <c r="CDV765" s="1207"/>
      <c r="CDW765" s="1207"/>
      <c r="CDX765" s="1207"/>
      <c r="CDY765" s="1207"/>
      <c r="CDZ765" s="1207"/>
      <c r="CEA765" s="1207"/>
      <c r="CEB765" s="1207"/>
      <c r="CEC765" s="1207"/>
      <c r="CED765" s="1207"/>
      <c r="CEE765" s="1207"/>
      <c r="CEF765" s="1207"/>
      <c r="CEG765" s="1207"/>
      <c r="CEH765" s="1207"/>
      <c r="CEI765" s="1207"/>
      <c r="CEJ765" s="1207"/>
      <c r="CEK765" s="1207"/>
      <c r="CEL765" s="1207"/>
      <c r="CEM765" s="1207"/>
      <c r="CEN765" s="1207"/>
      <c r="CEO765" s="1207"/>
      <c r="CEP765" s="1207"/>
      <c r="CEQ765" s="1207"/>
      <c r="CER765" s="1207"/>
      <c r="CES765" s="1207"/>
      <c r="CET765" s="1207"/>
      <c r="CEU765" s="1207"/>
      <c r="CEV765" s="1207"/>
      <c r="CEW765" s="1207"/>
      <c r="CEX765" s="1207"/>
      <c r="CEY765" s="1207"/>
      <c r="CEZ765" s="1207"/>
      <c r="CFA765" s="1207"/>
      <c r="CFB765" s="1207"/>
      <c r="CFC765" s="1207"/>
      <c r="CFD765" s="1207"/>
      <c r="CFE765" s="1207"/>
      <c r="CFF765" s="1207"/>
      <c r="CFG765" s="1207"/>
      <c r="CFH765" s="1207"/>
      <c r="CFI765" s="1207"/>
      <c r="CFJ765" s="1207"/>
      <c r="CFK765" s="1207"/>
      <c r="CFL765" s="1207"/>
      <c r="CFM765" s="1207"/>
      <c r="CFN765" s="1207"/>
      <c r="CFO765" s="1207"/>
      <c r="CFP765" s="1207"/>
      <c r="CFQ765" s="1207"/>
      <c r="CFR765" s="1207"/>
      <c r="CFS765" s="1207"/>
      <c r="CFT765" s="1207"/>
      <c r="CFU765" s="1207"/>
      <c r="CFV765" s="1207"/>
      <c r="CFW765" s="1207"/>
      <c r="CFX765" s="1207"/>
      <c r="CFY765" s="1207"/>
      <c r="CFZ765" s="1207"/>
      <c r="CGA765" s="1207"/>
      <c r="CGB765" s="1207"/>
      <c r="CGC765" s="1207"/>
      <c r="CGD765" s="1207"/>
      <c r="CGE765" s="1207"/>
      <c r="CGF765" s="1207"/>
      <c r="CGG765" s="1207"/>
      <c r="CGH765" s="1207"/>
      <c r="CGI765" s="1207"/>
      <c r="CGJ765" s="1207"/>
      <c r="CGK765" s="1207"/>
      <c r="CGL765" s="1207"/>
      <c r="CGM765" s="1207"/>
      <c r="CGN765" s="1207"/>
      <c r="CGO765" s="1207"/>
      <c r="CGP765" s="1207"/>
      <c r="CGQ765" s="1207"/>
      <c r="CGR765" s="1207"/>
      <c r="CGS765" s="1207"/>
      <c r="CGT765" s="1207"/>
      <c r="CGU765" s="1207"/>
      <c r="CGV765" s="1207"/>
      <c r="CGW765" s="1207"/>
      <c r="CGX765" s="1207"/>
      <c r="CGY765" s="1207"/>
      <c r="CGZ765" s="1207"/>
      <c r="CHA765" s="1207"/>
      <c r="CHB765" s="1207"/>
      <c r="CHC765" s="1207"/>
      <c r="CHD765" s="1207"/>
      <c r="CHE765" s="1207"/>
      <c r="CHF765" s="1207"/>
      <c r="CHG765" s="1207"/>
      <c r="CHH765" s="1207"/>
      <c r="CHI765" s="1207"/>
      <c r="CHJ765" s="1207"/>
      <c r="CHK765" s="1207"/>
      <c r="CHL765" s="1207"/>
      <c r="CHM765" s="1207"/>
      <c r="CHN765" s="1207"/>
      <c r="CHO765" s="1207"/>
      <c r="CHP765" s="1207"/>
      <c r="CHQ765" s="1207"/>
      <c r="CHR765" s="1207"/>
      <c r="CHS765" s="1207"/>
      <c r="CHT765" s="1207"/>
      <c r="CHU765" s="1207"/>
      <c r="CHV765" s="1207"/>
      <c r="CHW765" s="1207"/>
      <c r="CHX765" s="1207"/>
      <c r="CHY765" s="1207"/>
      <c r="CHZ765" s="1207"/>
      <c r="CIA765" s="1207"/>
      <c r="CIB765" s="1207"/>
      <c r="CIC765" s="1207"/>
      <c r="CID765" s="1207"/>
      <c r="CIE765" s="1207"/>
      <c r="CIF765" s="1207"/>
      <c r="CIG765" s="1207"/>
      <c r="CIH765" s="1207"/>
      <c r="CII765" s="1207"/>
      <c r="CIJ765" s="1207"/>
      <c r="CIK765" s="1207"/>
      <c r="CIL765" s="1207"/>
      <c r="CIM765" s="1207"/>
      <c r="CIN765" s="1207"/>
      <c r="CIO765" s="1207"/>
      <c r="CIP765" s="1207"/>
      <c r="CIQ765" s="1207"/>
      <c r="CIR765" s="1207"/>
      <c r="CIS765" s="1207"/>
      <c r="CIT765" s="1207"/>
      <c r="CIU765" s="1207"/>
      <c r="CIV765" s="1207"/>
      <c r="CIW765" s="1207"/>
      <c r="CIX765" s="1207"/>
      <c r="CIY765" s="1207"/>
      <c r="CIZ765" s="1207"/>
      <c r="CJA765" s="1207"/>
      <c r="CJB765" s="1207"/>
      <c r="CJC765" s="1207"/>
      <c r="CJD765" s="1207"/>
      <c r="CJE765" s="1207"/>
      <c r="CJF765" s="1207"/>
      <c r="CJG765" s="1207"/>
      <c r="CJH765" s="1207"/>
      <c r="CJI765" s="1207"/>
      <c r="CJJ765" s="1207"/>
      <c r="CJK765" s="1207"/>
      <c r="CJL765" s="1207"/>
      <c r="CJM765" s="1207"/>
      <c r="CJN765" s="1207"/>
      <c r="CJO765" s="1207"/>
      <c r="CJP765" s="1207"/>
      <c r="CJQ765" s="1207"/>
      <c r="CJR765" s="1207"/>
      <c r="CJS765" s="1207"/>
      <c r="CJT765" s="1207"/>
      <c r="CJU765" s="1207"/>
      <c r="CJV765" s="1207"/>
      <c r="CJW765" s="1207"/>
      <c r="CJX765" s="1207"/>
      <c r="CJY765" s="1207"/>
      <c r="CJZ765" s="1207"/>
      <c r="CKA765" s="1207"/>
      <c r="CKB765" s="1207"/>
      <c r="CKC765" s="1207"/>
      <c r="CKD765" s="1207"/>
      <c r="CKE765" s="1207"/>
      <c r="CKF765" s="1207"/>
      <c r="CKG765" s="1207"/>
      <c r="CKH765" s="1207"/>
      <c r="CKI765" s="1207"/>
      <c r="CKJ765" s="1207"/>
      <c r="CKK765" s="1207"/>
      <c r="CKL765" s="1207"/>
      <c r="CKM765" s="1207"/>
      <c r="CKN765" s="1207"/>
      <c r="CKO765" s="1207"/>
      <c r="CKP765" s="1207"/>
      <c r="CKQ765" s="1207"/>
      <c r="CKR765" s="1207"/>
      <c r="CKS765" s="1207"/>
      <c r="CKT765" s="1207"/>
      <c r="CKU765" s="1207"/>
      <c r="CKV765" s="1207"/>
      <c r="CKW765" s="1207"/>
      <c r="CKX765" s="1207"/>
      <c r="CKY765" s="1207"/>
      <c r="CKZ765" s="1207"/>
      <c r="CLA765" s="1207"/>
      <c r="CLB765" s="1207"/>
      <c r="CLC765" s="1207"/>
      <c r="CLD765" s="1207"/>
      <c r="CLE765" s="1207"/>
      <c r="CLF765" s="1207"/>
      <c r="CLG765" s="1207"/>
      <c r="CLH765" s="1207"/>
      <c r="CLI765" s="1207"/>
      <c r="CLJ765" s="1207"/>
      <c r="CLK765" s="1207"/>
      <c r="CLL765" s="1207"/>
      <c r="CLM765" s="1207"/>
      <c r="CLN765" s="1207"/>
      <c r="CLO765" s="1207"/>
      <c r="CLP765" s="1207"/>
      <c r="CLQ765" s="1207"/>
      <c r="CLR765" s="1207"/>
      <c r="CLS765" s="1207"/>
      <c r="CLT765" s="1207"/>
      <c r="CLU765" s="1207"/>
      <c r="CLV765" s="1207"/>
      <c r="CLW765" s="1207"/>
      <c r="CLX765" s="1207"/>
      <c r="CLY765" s="1207"/>
      <c r="CLZ765" s="1207"/>
      <c r="CMA765" s="1207"/>
      <c r="CMB765" s="1207"/>
      <c r="CMC765" s="1207"/>
      <c r="CMD765" s="1207"/>
      <c r="CME765" s="1207"/>
      <c r="CMF765" s="1207"/>
      <c r="CMG765" s="1207"/>
      <c r="CMH765" s="1207"/>
      <c r="CMI765" s="1207"/>
      <c r="CMJ765" s="1207"/>
      <c r="CMK765" s="1207"/>
      <c r="CML765" s="1207"/>
      <c r="CMM765" s="1207"/>
      <c r="CMN765" s="1207"/>
      <c r="CMO765" s="1207"/>
      <c r="CMP765" s="1207"/>
      <c r="CMQ765" s="1207"/>
      <c r="CMR765" s="1207"/>
      <c r="CMS765" s="1207"/>
      <c r="CMT765" s="1207"/>
      <c r="CMU765" s="1207"/>
      <c r="CMV765" s="1207"/>
      <c r="CMW765" s="1207"/>
      <c r="CMX765" s="1207"/>
      <c r="CMY765" s="1207"/>
      <c r="CMZ765" s="1207"/>
      <c r="CNA765" s="1207"/>
      <c r="CNB765" s="1207"/>
      <c r="CNC765" s="1207"/>
      <c r="CND765" s="1207"/>
      <c r="CNE765" s="1207"/>
      <c r="CNF765" s="1207"/>
      <c r="CNG765" s="1207"/>
      <c r="CNH765" s="1207"/>
      <c r="CNI765" s="1207"/>
      <c r="CNJ765" s="1207"/>
      <c r="CNK765" s="1207"/>
      <c r="CNL765" s="1207"/>
      <c r="CNM765" s="1207"/>
      <c r="CNN765" s="1207"/>
      <c r="CNO765" s="1207"/>
      <c r="CNP765" s="1207"/>
      <c r="CNQ765" s="1207"/>
      <c r="CNR765" s="1207"/>
      <c r="CNS765" s="1207"/>
      <c r="CNT765" s="1207"/>
      <c r="CNU765" s="1207"/>
      <c r="CNV765" s="1207"/>
      <c r="CNW765" s="1207"/>
      <c r="CNX765" s="1207"/>
      <c r="CNY765" s="1207"/>
      <c r="CNZ765" s="1207"/>
      <c r="COA765" s="1207"/>
      <c r="COB765" s="1207"/>
      <c r="COC765" s="1207"/>
      <c r="COD765" s="1207"/>
      <c r="COE765" s="1207"/>
      <c r="COF765" s="1207"/>
      <c r="COG765" s="1207"/>
      <c r="COH765" s="1207"/>
      <c r="COI765" s="1207"/>
      <c r="COJ765" s="1207"/>
      <c r="COK765" s="1207"/>
      <c r="COL765" s="1207"/>
      <c r="COM765" s="1207"/>
      <c r="CON765" s="1207"/>
      <c r="COO765" s="1207"/>
      <c r="COP765" s="1207"/>
      <c r="COQ765" s="1207"/>
      <c r="COR765" s="1207"/>
      <c r="COS765" s="1207"/>
      <c r="COT765" s="1207"/>
      <c r="COU765" s="1207"/>
      <c r="COV765" s="1207"/>
      <c r="COW765" s="1207"/>
      <c r="COX765" s="1207"/>
      <c r="COY765" s="1207"/>
      <c r="COZ765" s="1207"/>
      <c r="CPA765" s="1207"/>
      <c r="CPB765" s="1207"/>
      <c r="CPC765" s="1207"/>
      <c r="CPD765" s="1207"/>
      <c r="CPE765" s="1207"/>
      <c r="CPF765" s="1207"/>
      <c r="CPG765" s="1207"/>
      <c r="CPH765" s="1207"/>
      <c r="CPI765" s="1207"/>
      <c r="CPJ765" s="1207"/>
      <c r="CPK765" s="1207"/>
      <c r="CPL765" s="1207"/>
      <c r="CPM765" s="1207"/>
      <c r="CPN765" s="1207"/>
      <c r="CPO765" s="1207"/>
      <c r="CPP765" s="1207"/>
      <c r="CPQ765" s="1207"/>
      <c r="CPR765" s="1207"/>
      <c r="CPS765" s="1207"/>
      <c r="CPT765" s="1207"/>
      <c r="CPU765" s="1207"/>
      <c r="CPV765" s="1207"/>
      <c r="CPW765" s="1207"/>
      <c r="CPX765" s="1207"/>
      <c r="CPY765" s="1207"/>
      <c r="CPZ765" s="1207"/>
      <c r="CQA765" s="1207"/>
      <c r="CQB765" s="1207"/>
      <c r="CQC765" s="1207"/>
      <c r="CQD765" s="1207"/>
      <c r="CQE765" s="1207"/>
      <c r="CQF765" s="1207"/>
      <c r="CQG765" s="1207"/>
      <c r="CQH765" s="1207"/>
      <c r="CQI765" s="1207"/>
      <c r="CQJ765" s="1207"/>
      <c r="CQK765" s="1207"/>
      <c r="CQL765" s="1207"/>
      <c r="CQM765" s="1207"/>
      <c r="CQN765" s="1207"/>
      <c r="CQO765" s="1207"/>
      <c r="CQP765" s="1207"/>
      <c r="CQQ765" s="1207"/>
      <c r="CQR765" s="1207"/>
      <c r="CQS765" s="1207"/>
      <c r="CQT765" s="1207"/>
      <c r="CQU765" s="1207"/>
      <c r="CQV765" s="1207"/>
      <c r="CQW765" s="1207"/>
      <c r="CQX765" s="1207"/>
      <c r="CQY765" s="1207"/>
      <c r="CQZ765" s="1207"/>
      <c r="CRA765" s="1207"/>
      <c r="CRB765" s="1207"/>
      <c r="CRC765" s="1207"/>
      <c r="CRD765" s="1207"/>
      <c r="CRE765" s="1207"/>
      <c r="CRF765" s="1207"/>
      <c r="CRG765" s="1207"/>
      <c r="CRH765" s="1207"/>
      <c r="CRI765" s="1207"/>
      <c r="CRJ765" s="1207"/>
      <c r="CRK765" s="1207"/>
      <c r="CRL765" s="1207"/>
      <c r="CRM765" s="1207"/>
      <c r="CRN765" s="1207"/>
      <c r="CRO765" s="1207"/>
      <c r="CRP765" s="1207"/>
      <c r="CRQ765" s="1207"/>
      <c r="CRR765" s="1207"/>
      <c r="CRS765" s="1207"/>
      <c r="CRT765" s="1207"/>
      <c r="CRU765" s="1207"/>
      <c r="CRV765" s="1207"/>
      <c r="CRW765" s="1207"/>
      <c r="CRX765" s="1207"/>
      <c r="CRY765" s="1207"/>
      <c r="CRZ765" s="1207"/>
      <c r="CSA765" s="1207"/>
      <c r="CSB765" s="1207"/>
      <c r="CSC765" s="1207"/>
      <c r="CSD765" s="1207"/>
      <c r="CSE765" s="1207"/>
      <c r="CSF765" s="1207"/>
      <c r="CSG765" s="1207"/>
      <c r="CSH765" s="1207"/>
      <c r="CSI765" s="1207"/>
      <c r="CSJ765" s="1207"/>
      <c r="CSK765" s="1207"/>
      <c r="CSL765" s="1207"/>
      <c r="CSM765" s="1207"/>
      <c r="CSN765" s="1207"/>
      <c r="CSO765" s="1207"/>
      <c r="CSP765" s="1207"/>
      <c r="CSQ765" s="1207"/>
      <c r="CSR765" s="1207"/>
      <c r="CSS765" s="1207"/>
      <c r="CST765" s="1207"/>
      <c r="CSU765" s="1207"/>
      <c r="CSV765" s="1207"/>
      <c r="CSW765" s="1207"/>
      <c r="CSX765" s="1207"/>
      <c r="CSY765" s="1207"/>
      <c r="CSZ765" s="1207"/>
      <c r="CTA765" s="1207"/>
      <c r="CTB765" s="1207"/>
      <c r="CTC765" s="1207"/>
      <c r="CTD765" s="1207"/>
      <c r="CTE765" s="1207"/>
      <c r="CTF765" s="1207"/>
      <c r="CTG765" s="1207"/>
      <c r="CTH765" s="1207"/>
      <c r="CTI765" s="1207"/>
      <c r="CTJ765" s="1207"/>
      <c r="CTK765" s="1207"/>
      <c r="CTL765" s="1207"/>
      <c r="CTM765" s="1207"/>
      <c r="CTN765" s="1207"/>
      <c r="CTO765" s="1207"/>
      <c r="CTP765" s="1207"/>
      <c r="CTQ765" s="1207"/>
      <c r="CTR765" s="1207"/>
      <c r="CTS765" s="1207"/>
      <c r="CTT765" s="1207"/>
      <c r="CTU765" s="1207"/>
      <c r="CTV765" s="1207"/>
      <c r="CTW765" s="1207"/>
      <c r="CTX765" s="1207"/>
      <c r="CTY765" s="1207"/>
      <c r="CTZ765" s="1207"/>
      <c r="CUA765" s="1207"/>
      <c r="CUB765" s="1207"/>
      <c r="CUC765" s="1207"/>
      <c r="CUD765" s="1207"/>
      <c r="CUE765" s="1207"/>
      <c r="CUF765" s="1207"/>
      <c r="CUG765" s="1207"/>
      <c r="CUH765" s="1207"/>
      <c r="CUI765" s="1207"/>
      <c r="CUJ765" s="1207"/>
      <c r="CUK765" s="1207"/>
      <c r="CUL765" s="1207"/>
      <c r="CUM765" s="1207"/>
      <c r="CUN765" s="1207"/>
      <c r="CUO765" s="1207"/>
      <c r="CUP765" s="1207"/>
      <c r="CUQ765" s="1207"/>
      <c r="CUR765" s="1207"/>
      <c r="CUS765" s="1207"/>
      <c r="CUT765" s="1207"/>
      <c r="CUU765" s="1207"/>
      <c r="CUV765" s="1207"/>
      <c r="CUW765" s="1207"/>
      <c r="CUX765" s="1207"/>
      <c r="CUY765" s="1207"/>
      <c r="CUZ765" s="1207"/>
      <c r="CVA765" s="1207"/>
      <c r="CVB765" s="1207"/>
      <c r="CVC765" s="1207"/>
      <c r="CVD765" s="1207"/>
      <c r="CVE765" s="1207"/>
      <c r="CVF765" s="1207"/>
      <c r="CVG765" s="1207"/>
      <c r="CVH765" s="1207"/>
      <c r="CVI765" s="1207"/>
      <c r="CVJ765" s="1207"/>
      <c r="CVK765" s="1207"/>
      <c r="CVL765" s="1207"/>
      <c r="CVM765" s="1207"/>
      <c r="CVN765" s="1207"/>
      <c r="CVO765" s="1207"/>
      <c r="CVP765" s="1207"/>
      <c r="CVQ765" s="1207"/>
      <c r="CVR765" s="1207"/>
      <c r="CVS765" s="1207"/>
      <c r="CVT765" s="1207"/>
      <c r="CVU765" s="1207"/>
      <c r="CVV765" s="1207"/>
      <c r="CVW765" s="1207"/>
      <c r="CVX765" s="1207"/>
      <c r="CVY765" s="1207"/>
      <c r="CVZ765" s="1207"/>
      <c r="CWA765" s="1207"/>
      <c r="CWB765" s="1207"/>
      <c r="CWC765" s="1207"/>
      <c r="CWD765" s="1207"/>
      <c r="CWE765" s="1207"/>
      <c r="CWF765" s="1207"/>
      <c r="CWG765" s="1207"/>
      <c r="CWH765" s="1207"/>
      <c r="CWI765" s="1207"/>
      <c r="CWJ765" s="1207"/>
      <c r="CWK765" s="1207"/>
      <c r="CWL765" s="1207"/>
      <c r="CWM765" s="1207"/>
      <c r="CWN765" s="1207"/>
      <c r="CWO765" s="1207"/>
      <c r="CWP765" s="1207"/>
      <c r="CWQ765" s="1207"/>
      <c r="CWR765" s="1207"/>
      <c r="CWS765" s="1207"/>
      <c r="CWT765" s="1207"/>
      <c r="CWU765" s="1207"/>
      <c r="CWV765" s="1207"/>
      <c r="CWW765" s="1207"/>
      <c r="CWX765" s="1207"/>
      <c r="CWY765" s="1207"/>
      <c r="CWZ765" s="1207"/>
      <c r="CXA765" s="1207"/>
      <c r="CXB765" s="1207"/>
      <c r="CXC765" s="1207"/>
      <c r="CXD765" s="1207"/>
      <c r="CXE765" s="1207"/>
      <c r="CXF765" s="1207"/>
      <c r="CXG765" s="1207"/>
      <c r="CXH765" s="1207"/>
      <c r="CXI765" s="1207"/>
      <c r="CXJ765" s="1207"/>
      <c r="CXK765" s="1207"/>
      <c r="CXL765" s="1207"/>
      <c r="CXM765" s="1207"/>
      <c r="CXN765" s="1207"/>
      <c r="CXO765" s="1207"/>
      <c r="CXP765" s="1207"/>
      <c r="CXQ765" s="1207"/>
      <c r="CXR765" s="1207"/>
      <c r="CXS765" s="1207"/>
      <c r="CXT765" s="1207"/>
      <c r="CXU765" s="1207"/>
      <c r="CXV765" s="1207"/>
      <c r="CXW765" s="1207"/>
      <c r="CXX765" s="1207"/>
      <c r="CXY765" s="1207"/>
      <c r="CXZ765" s="1207"/>
      <c r="CYA765" s="1207"/>
      <c r="CYB765" s="1207"/>
      <c r="CYC765" s="1207"/>
      <c r="CYD765" s="1207"/>
      <c r="CYE765" s="1207"/>
      <c r="CYF765" s="1207"/>
      <c r="CYG765" s="1207"/>
      <c r="CYH765" s="1207"/>
      <c r="CYI765" s="1207"/>
      <c r="CYJ765" s="1207"/>
      <c r="CYK765" s="1207"/>
      <c r="CYL765" s="1207"/>
      <c r="CYM765" s="1207"/>
      <c r="CYN765" s="1207"/>
      <c r="CYO765" s="1207"/>
      <c r="CYP765" s="1207"/>
      <c r="CYQ765" s="1207"/>
      <c r="CYR765" s="1207"/>
      <c r="CYS765" s="1207"/>
      <c r="CYT765" s="1207"/>
      <c r="CYU765" s="1207"/>
      <c r="CYV765" s="1207"/>
      <c r="CYW765" s="1207"/>
      <c r="CYX765" s="1207"/>
      <c r="CYY765" s="1207"/>
      <c r="CYZ765" s="1207"/>
      <c r="CZA765" s="1207"/>
      <c r="CZB765" s="1207"/>
      <c r="CZC765" s="1207"/>
      <c r="CZD765" s="1207"/>
      <c r="CZE765" s="1207"/>
      <c r="CZF765" s="1207"/>
      <c r="CZG765" s="1207"/>
      <c r="CZH765" s="1207"/>
      <c r="CZI765" s="1207"/>
      <c r="CZJ765" s="1207"/>
      <c r="CZK765" s="1207"/>
      <c r="CZL765" s="1207"/>
      <c r="CZM765" s="1207"/>
      <c r="CZN765" s="1207"/>
      <c r="CZO765" s="1207"/>
      <c r="CZP765" s="1207"/>
      <c r="CZQ765" s="1207"/>
      <c r="CZR765" s="1207"/>
      <c r="CZS765" s="1207"/>
      <c r="CZT765" s="1207"/>
      <c r="CZU765" s="1207"/>
      <c r="CZV765" s="1207"/>
      <c r="CZW765" s="1207"/>
      <c r="CZX765" s="1207"/>
      <c r="CZY765" s="1207"/>
      <c r="CZZ765" s="1207"/>
      <c r="DAA765" s="1207"/>
      <c r="DAB765" s="1207"/>
      <c r="DAC765" s="1207"/>
      <c r="DAD765" s="1207"/>
      <c r="DAE765" s="1207"/>
      <c r="DAF765" s="1207"/>
      <c r="DAG765" s="1207"/>
      <c r="DAH765" s="1207"/>
      <c r="DAI765" s="1207"/>
      <c r="DAJ765" s="1207"/>
      <c r="DAK765" s="1207"/>
      <c r="DAL765" s="1207"/>
      <c r="DAM765" s="1207"/>
      <c r="DAN765" s="1207"/>
      <c r="DAO765" s="1207"/>
      <c r="DAP765" s="1207"/>
      <c r="DAQ765" s="1207"/>
      <c r="DAR765" s="1207"/>
      <c r="DAS765" s="1207"/>
      <c r="DAT765" s="1207"/>
      <c r="DAU765" s="1207"/>
      <c r="DAV765" s="1207"/>
      <c r="DAW765" s="1207"/>
      <c r="DAX765" s="1207"/>
      <c r="DAY765" s="1207"/>
      <c r="DAZ765" s="1207"/>
      <c r="DBA765" s="1207"/>
      <c r="DBB765" s="1207"/>
      <c r="DBC765" s="1207"/>
      <c r="DBD765" s="1207"/>
      <c r="DBE765" s="1207"/>
      <c r="DBF765" s="1207"/>
      <c r="DBG765" s="1207"/>
      <c r="DBH765" s="1207"/>
      <c r="DBI765" s="1207"/>
      <c r="DBJ765" s="1207"/>
      <c r="DBK765" s="1207"/>
      <c r="DBL765" s="1207"/>
      <c r="DBM765" s="1207"/>
      <c r="DBN765" s="1207"/>
      <c r="DBO765" s="1207"/>
      <c r="DBP765" s="1207"/>
      <c r="DBQ765" s="1207"/>
      <c r="DBR765" s="1207"/>
      <c r="DBS765" s="1207"/>
      <c r="DBT765" s="1207"/>
      <c r="DBU765" s="1207"/>
      <c r="DBV765" s="1207"/>
      <c r="DBW765" s="1207"/>
      <c r="DBX765" s="1207"/>
      <c r="DBY765" s="1207"/>
      <c r="DBZ765" s="1207"/>
      <c r="DCA765" s="1207"/>
      <c r="DCB765" s="1207"/>
      <c r="DCC765" s="1207"/>
      <c r="DCD765" s="1207"/>
      <c r="DCE765" s="1207"/>
      <c r="DCF765" s="1207"/>
      <c r="DCG765" s="1207"/>
      <c r="DCH765" s="1207"/>
      <c r="DCI765" s="1207"/>
      <c r="DCJ765" s="1207"/>
      <c r="DCK765" s="1207"/>
      <c r="DCL765" s="1207"/>
      <c r="DCM765" s="1207"/>
      <c r="DCN765" s="1207"/>
      <c r="DCO765" s="1207"/>
      <c r="DCP765" s="1207"/>
      <c r="DCQ765" s="1207"/>
      <c r="DCR765" s="1207"/>
      <c r="DCS765" s="1207"/>
      <c r="DCT765" s="1207"/>
      <c r="DCU765" s="1207"/>
      <c r="DCV765" s="1207"/>
      <c r="DCW765" s="1207"/>
      <c r="DCX765" s="1207"/>
      <c r="DCY765" s="1207"/>
      <c r="DCZ765" s="1207"/>
      <c r="DDA765" s="1207"/>
      <c r="DDB765" s="1207"/>
      <c r="DDC765" s="1207"/>
      <c r="DDD765" s="1207"/>
      <c r="DDE765" s="1207"/>
      <c r="DDF765" s="1207"/>
      <c r="DDG765" s="1207"/>
      <c r="DDH765" s="1207"/>
      <c r="DDI765" s="1207"/>
      <c r="DDJ765" s="1207"/>
      <c r="DDK765" s="1207"/>
      <c r="DDL765" s="1207"/>
      <c r="DDM765" s="1207"/>
      <c r="DDN765" s="1207"/>
      <c r="DDO765" s="1207"/>
      <c r="DDP765" s="1207"/>
      <c r="DDQ765" s="1207"/>
      <c r="DDR765" s="1207"/>
      <c r="DDS765" s="1207"/>
      <c r="DDT765" s="1207"/>
      <c r="DDU765" s="1207"/>
      <c r="DDV765" s="1207"/>
      <c r="DDW765" s="1207"/>
      <c r="DDX765" s="1207"/>
      <c r="DDY765" s="1207"/>
      <c r="DDZ765" s="1207"/>
      <c r="DEA765" s="1207"/>
      <c r="DEB765" s="1207"/>
      <c r="DEC765" s="1207"/>
      <c r="DED765" s="1207"/>
      <c r="DEE765" s="1207"/>
      <c r="DEF765" s="1207"/>
      <c r="DEG765" s="1207"/>
      <c r="DEH765" s="1207"/>
      <c r="DEI765" s="1207"/>
      <c r="DEJ765" s="1207"/>
      <c r="DEK765" s="1207"/>
      <c r="DEL765" s="1207"/>
      <c r="DEM765" s="1207"/>
      <c r="DEN765" s="1207"/>
      <c r="DEO765" s="1207"/>
      <c r="DEP765" s="1207"/>
      <c r="DEQ765" s="1207"/>
      <c r="DER765" s="1207"/>
      <c r="DES765" s="1207"/>
      <c r="DET765" s="1207"/>
      <c r="DEU765" s="1207"/>
      <c r="DEV765" s="1207"/>
      <c r="DEW765" s="1207"/>
      <c r="DEX765" s="1207"/>
      <c r="DEY765" s="1207"/>
      <c r="DEZ765" s="1207"/>
      <c r="DFA765" s="1207"/>
      <c r="DFB765" s="1207"/>
      <c r="DFC765" s="1207"/>
      <c r="DFD765" s="1207"/>
      <c r="DFE765" s="1207"/>
      <c r="DFF765" s="1207"/>
      <c r="DFG765" s="1207"/>
      <c r="DFH765" s="1207"/>
      <c r="DFI765" s="1207"/>
      <c r="DFJ765" s="1207"/>
      <c r="DFK765" s="1207"/>
      <c r="DFL765" s="1207"/>
      <c r="DFM765" s="1207"/>
      <c r="DFN765" s="1207"/>
      <c r="DFO765" s="1207"/>
      <c r="DFP765" s="1207"/>
      <c r="DFQ765" s="1207"/>
      <c r="DFR765" s="1207"/>
      <c r="DFS765" s="1207"/>
      <c r="DFT765" s="1207"/>
      <c r="DFU765" s="1207"/>
      <c r="DFV765" s="1207"/>
      <c r="DFW765" s="1207"/>
      <c r="DFX765" s="1207"/>
      <c r="DFY765" s="1207"/>
      <c r="DFZ765" s="1207"/>
      <c r="DGA765" s="1207"/>
      <c r="DGB765" s="1207"/>
      <c r="DGC765" s="1207"/>
      <c r="DGD765" s="1207"/>
      <c r="DGE765" s="1207"/>
      <c r="DGF765" s="1207"/>
      <c r="DGG765" s="1207"/>
      <c r="DGH765" s="1207"/>
      <c r="DGI765" s="1207"/>
      <c r="DGJ765" s="1207"/>
      <c r="DGK765" s="1207"/>
      <c r="DGL765" s="1207"/>
      <c r="DGM765" s="1207"/>
      <c r="DGN765" s="1207"/>
      <c r="DGO765" s="1207"/>
      <c r="DGP765" s="1207"/>
      <c r="DGQ765" s="1207"/>
      <c r="DGR765" s="1207"/>
      <c r="DGS765" s="1207"/>
      <c r="DGT765" s="1207"/>
      <c r="DGU765" s="1207"/>
      <c r="DGV765" s="1207"/>
      <c r="DGW765" s="1207"/>
      <c r="DGX765" s="1207"/>
      <c r="DGY765" s="1207"/>
      <c r="DGZ765" s="1207"/>
      <c r="DHA765" s="1207"/>
      <c r="DHB765" s="1207"/>
      <c r="DHC765" s="1207"/>
      <c r="DHD765" s="1207"/>
      <c r="DHE765" s="1207"/>
      <c r="DHF765" s="1207"/>
      <c r="DHG765" s="1207"/>
      <c r="DHH765" s="1207"/>
      <c r="DHI765" s="1207"/>
      <c r="DHJ765" s="1207"/>
      <c r="DHK765" s="1207"/>
      <c r="DHL765" s="1207"/>
      <c r="DHM765" s="1207"/>
      <c r="DHN765" s="1207"/>
      <c r="DHO765" s="1207"/>
      <c r="DHP765" s="1207"/>
      <c r="DHQ765" s="1207"/>
      <c r="DHR765" s="1207"/>
      <c r="DHS765" s="1207"/>
      <c r="DHT765" s="1207"/>
      <c r="DHU765" s="1207"/>
      <c r="DHV765" s="1207"/>
      <c r="DHW765" s="1207"/>
      <c r="DHX765" s="1207"/>
      <c r="DHY765" s="1207"/>
      <c r="DHZ765" s="1207"/>
      <c r="DIA765" s="1207"/>
      <c r="DIB765" s="1207"/>
      <c r="DIC765" s="1207"/>
      <c r="DID765" s="1207"/>
      <c r="DIE765" s="1207"/>
      <c r="DIF765" s="1207"/>
      <c r="DIG765" s="1207"/>
      <c r="DIH765" s="1207"/>
      <c r="DII765" s="1207"/>
      <c r="DIJ765" s="1207"/>
      <c r="DIK765" s="1207"/>
      <c r="DIL765" s="1207"/>
      <c r="DIM765" s="1207"/>
      <c r="DIN765" s="1207"/>
      <c r="DIO765" s="1207"/>
      <c r="DIP765" s="1207"/>
      <c r="DIQ765" s="1207"/>
      <c r="DIR765" s="1207"/>
      <c r="DIS765" s="1207"/>
      <c r="DIT765" s="1207"/>
      <c r="DIU765" s="1207"/>
      <c r="DIV765" s="1207"/>
      <c r="DIW765" s="1207"/>
      <c r="DIX765" s="1207"/>
      <c r="DIY765" s="1207"/>
      <c r="DIZ765" s="1207"/>
      <c r="DJA765" s="1207"/>
      <c r="DJB765" s="1207"/>
      <c r="DJC765" s="1207"/>
      <c r="DJD765" s="1207"/>
      <c r="DJE765" s="1207"/>
      <c r="DJF765" s="1207"/>
      <c r="DJG765" s="1207"/>
      <c r="DJH765" s="1207"/>
      <c r="DJI765" s="1207"/>
      <c r="DJJ765" s="1207"/>
      <c r="DJK765" s="1207"/>
      <c r="DJL765" s="1207"/>
      <c r="DJM765" s="1207"/>
      <c r="DJN765" s="1207"/>
      <c r="DJO765" s="1207"/>
      <c r="DJP765" s="1207"/>
      <c r="DJQ765" s="1207"/>
      <c r="DJR765" s="1207"/>
      <c r="DJS765" s="1207"/>
      <c r="DJT765" s="1207"/>
      <c r="DJU765" s="1207"/>
      <c r="DJV765" s="1207"/>
      <c r="DJW765" s="1207"/>
      <c r="DJX765" s="1207"/>
      <c r="DJY765" s="1207"/>
      <c r="DJZ765" s="1207"/>
      <c r="DKA765" s="1207"/>
      <c r="DKB765" s="1207"/>
      <c r="DKC765" s="1207"/>
      <c r="DKD765" s="1207"/>
      <c r="DKE765" s="1207"/>
      <c r="DKF765" s="1207"/>
      <c r="DKG765" s="1207"/>
      <c r="DKH765" s="1207"/>
      <c r="DKI765" s="1207"/>
      <c r="DKJ765" s="1207"/>
      <c r="DKK765" s="1207"/>
      <c r="DKL765" s="1207"/>
      <c r="DKM765" s="1207"/>
      <c r="DKN765" s="1207"/>
      <c r="DKO765" s="1207"/>
      <c r="DKP765" s="1207"/>
      <c r="DKQ765" s="1207"/>
      <c r="DKR765" s="1207"/>
      <c r="DKS765" s="1207"/>
      <c r="DKT765" s="1207"/>
      <c r="DKU765" s="1207"/>
      <c r="DKV765" s="1207"/>
      <c r="DKW765" s="1207"/>
      <c r="DKX765" s="1207"/>
      <c r="DKY765" s="1207"/>
      <c r="DKZ765" s="1207"/>
      <c r="DLA765" s="1207"/>
      <c r="DLB765" s="1207"/>
      <c r="DLC765" s="1207"/>
      <c r="DLD765" s="1207"/>
      <c r="DLE765" s="1207"/>
      <c r="DLF765" s="1207"/>
      <c r="DLG765" s="1207"/>
      <c r="DLH765" s="1207"/>
      <c r="DLI765" s="1207"/>
      <c r="DLJ765" s="1207"/>
      <c r="DLK765" s="1207"/>
      <c r="DLL765" s="1207"/>
      <c r="DLM765" s="1207"/>
      <c r="DLN765" s="1207"/>
      <c r="DLO765" s="1207"/>
      <c r="DLP765" s="1207"/>
      <c r="DLQ765" s="1207"/>
      <c r="DLR765" s="1207"/>
      <c r="DLS765" s="1207"/>
      <c r="DLT765" s="1207"/>
      <c r="DLU765" s="1207"/>
      <c r="DLV765" s="1207"/>
      <c r="DLW765" s="1207"/>
      <c r="DLX765" s="1207"/>
      <c r="DLY765" s="1207"/>
      <c r="DLZ765" s="1207"/>
      <c r="DMA765" s="1207"/>
      <c r="DMB765" s="1207"/>
      <c r="DMC765" s="1207"/>
      <c r="DMD765" s="1207"/>
      <c r="DME765" s="1207"/>
      <c r="DMF765" s="1207"/>
      <c r="DMG765" s="1207"/>
      <c r="DMH765" s="1207"/>
      <c r="DMI765" s="1207"/>
      <c r="DMJ765" s="1207"/>
      <c r="DMK765" s="1207"/>
      <c r="DML765" s="1207"/>
      <c r="DMM765" s="1207"/>
      <c r="DMN765" s="1207"/>
      <c r="DMO765" s="1207"/>
      <c r="DMP765" s="1207"/>
      <c r="DMQ765" s="1207"/>
      <c r="DMR765" s="1207"/>
      <c r="DMS765" s="1207"/>
      <c r="DMT765" s="1207"/>
      <c r="DMU765" s="1207"/>
      <c r="DMV765" s="1207"/>
      <c r="DMW765" s="1207"/>
      <c r="DMX765" s="1207"/>
      <c r="DMY765" s="1207"/>
      <c r="DMZ765" s="1207"/>
      <c r="DNA765" s="1207"/>
      <c r="DNB765" s="1207"/>
      <c r="DNC765" s="1207"/>
      <c r="DND765" s="1207"/>
      <c r="DNE765" s="1207"/>
      <c r="DNF765" s="1207"/>
      <c r="DNG765" s="1207"/>
      <c r="DNH765" s="1207"/>
      <c r="DNI765" s="1207"/>
      <c r="DNJ765" s="1207"/>
      <c r="DNK765" s="1207"/>
      <c r="DNL765" s="1207"/>
      <c r="DNM765" s="1207"/>
      <c r="DNN765" s="1207"/>
      <c r="DNO765" s="1207"/>
      <c r="DNP765" s="1207"/>
      <c r="DNQ765" s="1207"/>
      <c r="DNR765" s="1207"/>
      <c r="DNS765" s="1207"/>
      <c r="DNT765" s="1207"/>
      <c r="DNU765" s="1207"/>
      <c r="DNV765" s="1207"/>
      <c r="DNW765" s="1207"/>
      <c r="DNX765" s="1207"/>
      <c r="DNY765" s="1207"/>
      <c r="DNZ765" s="1207"/>
      <c r="DOA765" s="1207"/>
      <c r="DOB765" s="1207"/>
      <c r="DOC765" s="1207"/>
      <c r="DOD765" s="1207"/>
      <c r="DOE765" s="1207"/>
      <c r="DOF765" s="1207"/>
      <c r="DOG765" s="1207"/>
      <c r="DOH765" s="1207"/>
      <c r="DOI765" s="1207"/>
      <c r="DOJ765" s="1207"/>
      <c r="DOK765" s="1207"/>
      <c r="DOL765" s="1207"/>
      <c r="DOM765" s="1207"/>
      <c r="DON765" s="1207"/>
      <c r="DOO765" s="1207"/>
      <c r="DOP765" s="1207"/>
      <c r="DOQ765" s="1207"/>
      <c r="DOR765" s="1207"/>
      <c r="DOS765" s="1207"/>
      <c r="DOT765" s="1207"/>
      <c r="DOU765" s="1207"/>
      <c r="DOV765" s="1207"/>
      <c r="DOW765" s="1207"/>
      <c r="DOX765" s="1207"/>
      <c r="DOY765" s="1207"/>
      <c r="DOZ765" s="1207"/>
      <c r="DPA765" s="1207"/>
      <c r="DPB765" s="1207"/>
      <c r="DPC765" s="1207"/>
      <c r="DPD765" s="1207"/>
      <c r="DPE765" s="1207"/>
      <c r="DPF765" s="1207"/>
      <c r="DPG765" s="1207"/>
      <c r="DPH765" s="1207"/>
      <c r="DPI765" s="1207"/>
      <c r="DPJ765" s="1207"/>
      <c r="DPK765" s="1207"/>
      <c r="DPL765" s="1207"/>
      <c r="DPM765" s="1207"/>
      <c r="DPN765" s="1207"/>
      <c r="DPO765" s="1207"/>
      <c r="DPP765" s="1207"/>
      <c r="DPQ765" s="1207"/>
      <c r="DPR765" s="1207"/>
      <c r="DPS765" s="1207"/>
      <c r="DPT765" s="1207"/>
      <c r="DPU765" s="1207"/>
      <c r="DPV765" s="1207"/>
      <c r="DPW765" s="1207"/>
      <c r="DPX765" s="1207"/>
      <c r="DPY765" s="1207"/>
      <c r="DPZ765" s="1207"/>
      <c r="DQA765" s="1207"/>
      <c r="DQB765" s="1207"/>
      <c r="DQC765" s="1207"/>
      <c r="DQD765" s="1207"/>
      <c r="DQE765" s="1207"/>
      <c r="DQF765" s="1207"/>
      <c r="DQG765" s="1207"/>
      <c r="DQH765" s="1207"/>
      <c r="DQI765" s="1207"/>
      <c r="DQJ765" s="1207"/>
      <c r="DQK765" s="1207"/>
      <c r="DQL765" s="1207"/>
      <c r="DQM765" s="1207"/>
      <c r="DQN765" s="1207"/>
      <c r="DQO765" s="1207"/>
      <c r="DQP765" s="1207"/>
      <c r="DQQ765" s="1207"/>
      <c r="DQR765" s="1207"/>
      <c r="DQS765" s="1207"/>
      <c r="DQT765" s="1207"/>
      <c r="DQU765" s="1207"/>
      <c r="DQV765" s="1207"/>
      <c r="DQW765" s="1207"/>
      <c r="DQX765" s="1207"/>
      <c r="DQY765" s="1207"/>
      <c r="DQZ765" s="1207"/>
      <c r="DRA765" s="1207"/>
      <c r="DRB765" s="1207"/>
      <c r="DRC765" s="1207"/>
      <c r="DRD765" s="1207"/>
      <c r="DRE765" s="1207"/>
      <c r="DRF765" s="1207"/>
      <c r="DRG765" s="1207"/>
      <c r="DRH765" s="1207"/>
      <c r="DRI765" s="1207"/>
      <c r="DRJ765" s="1207"/>
      <c r="DRK765" s="1207"/>
      <c r="DRL765" s="1207"/>
      <c r="DRM765" s="1207"/>
      <c r="DRN765" s="1207"/>
      <c r="DRO765" s="1207"/>
      <c r="DRP765" s="1207"/>
      <c r="DRQ765" s="1207"/>
      <c r="DRR765" s="1207"/>
      <c r="DRS765" s="1207"/>
      <c r="DRT765" s="1207"/>
      <c r="DRU765" s="1207"/>
      <c r="DRV765" s="1207"/>
      <c r="DRW765" s="1207"/>
      <c r="DRX765" s="1207"/>
      <c r="DRY765" s="1207"/>
      <c r="DRZ765" s="1207"/>
      <c r="DSA765" s="1207"/>
      <c r="DSB765" s="1207"/>
      <c r="DSC765" s="1207"/>
      <c r="DSD765" s="1207"/>
      <c r="DSE765" s="1207"/>
      <c r="DSF765" s="1207"/>
      <c r="DSG765" s="1207"/>
      <c r="DSH765" s="1207"/>
      <c r="DSI765" s="1207"/>
      <c r="DSJ765" s="1207"/>
      <c r="DSK765" s="1207"/>
      <c r="DSL765" s="1207"/>
      <c r="DSM765" s="1207"/>
      <c r="DSN765" s="1207"/>
      <c r="DSO765" s="1207"/>
      <c r="DSP765" s="1207"/>
      <c r="DSQ765" s="1207"/>
      <c r="DSR765" s="1207"/>
      <c r="DSS765" s="1207"/>
      <c r="DST765" s="1207"/>
      <c r="DSU765" s="1207"/>
      <c r="DSV765" s="1207"/>
      <c r="DSW765" s="1207"/>
      <c r="DSX765" s="1207"/>
      <c r="DSY765" s="1207"/>
      <c r="DSZ765" s="1207"/>
      <c r="DTA765" s="1207"/>
      <c r="DTB765" s="1207"/>
      <c r="DTC765" s="1207"/>
      <c r="DTD765" s="1207"/>
      <c r="DTE765" s="1207"/>
      <c r="DTF765" s="1207"/>
      <c r="DTG765" s="1207"/>
      <c r="DTH765" s="1207"/>
      <c r="DTI765" s="1207"/>
      <c r="DTJ765" s="1207"/>
      <c r="DTK765" s="1207"/>
      <c r="DTL765" s="1207"/>
      <c r="DTM765" s="1207"/>
      <c r="DTN765" s="1207"/>
      <c r="DTO765" s="1207"/>
      <c r="DTP765" s="1207"/>
      <c r="DTQ765" s="1207"/>
      <c r="DTR765" s="1207"/>
      <c r="DTS765" s="1207"/>
      <c r="DTT765" s="1207"/>
      <c r="DTU765" s="1207"/>
      <c r="DTV765" s="1207"/>
      <c r="DTW765" s="1207"/>
      <c r="DTX765" s="1207"/>
      <c r="DTY765" s="1207"/>
      <c r="DTZ765" s="1207"/>
      <c r="DUA765" s="1207"/>
      <c r="DUB765" s="1207"/>
      <c r="DUC765" s="1207"/>
      <c r="DUD765" s="1207"/>
      <c r="DUE765" s="1207"/>
      <c r="DUF765" s="1207"/>
      <c r="DUG765" s="1207"/>
      <c r="DUH765" s="1207"/>
      <c r="DUI765" s="1207"/>
      <c r="DUJ765" s="1207"/>
      <c r="DUK765" s="1207"/>
      <c r="DUL765" s="1207"/>
      <c r="DUM765" s="1207"/>
      <c r="DUN765" s="1207"/>
      <c r="DUO765" s="1207"/>
      <c r="DUP765" s="1207"/>
      <c r="DUQ765" s="1207"/>
      <c r="DUR765" s="1207"/>
      <c r="DUS765" s="1207"/>
      <c r="DUT765" s="1207"/>
      <c r="DUU765" s="1207"/>
      <c r="DUV765" s="1207"/>
      <c r="DUW765" s="1207"/>
      <c r="DUX765" s="1207"/>
      <c r="DUY765" s="1207"/>
      <c r="DUZ765" s="1207"/>
      <c r="DVA765" s="1207"/>
      <c r="DVB765" s="1207"/>
      <c r="DVC765" s="1207"/>
      <c r="DVD765" s="1207"/>
      <c r="DVE765" s="1207"/>
      <c r="DVF765" s="1207"/>
      <c r="DVG765" s="1207"/>
      <c r="DVH765" s="1207"/>
      <c r="DVI765" s="1207"/>
      <c r="DVJ765" s="1207"/>
      <c r="DVK765" s="1207"/>
      <c r="DVL765" s="1207"/>
      <c r="DVM765" s="1207"/>
      <c r="DVN765" s="1207"/>
      <c r="DVO765" s="1207"/>
      <c r="DVP765" s="1207"/>
      <c r="DVQ765" s="1207"/>
      <c r="DVR765" s="1207"/>
      <c r="DVS765" s="1207"/>
      <c r="DVT765" s="1207"/>
      <c r="DVU765" s="1207"/>
      <c r="DVV765" s="1207"/>
      <c r="DVW765" s="1207"/>
      <c r="DVX765" s="1207"/>
      <c r="DVY765" s="1207"/>
      <c r="DVZ765" s="1207"/>
      <c r="DWA765" s="1207"/>
      <c r="DWB765" s="1207"/>
      <c r="DWC765" s="1207"/>
      <c r="DWD765" s="1207"/>
      <c r="DWE765" s="1207"/>
      <c r="DWF765" s="1207"/>
      <c r="DWG765" s="1207"/>
      <c r="DWH765" s="1207"/>
      <c r="DWI765" s="1207"/>
      <c r="DWJ765" s="1207"/>
      <c r="DWK765" s="1207"/>
      <c r="DWL765" s="1207"/>
      <c r="DWM765" s="1207"/>
      <c r="DWN765" s="1207"/>
      <c r="DWO765" s="1207"/>
      <c r="DWP765" s="1207"/>
      <c r="DWQ765" s="1207"/>
      <c r="DWR765" s="1207"/>
      <c r="DWS765" s="1207"/>
      <c r="DWT765" s="1207"/>
      <c r="DWU765" s="1207"/>
      <c r="DWV765" s="1207"/>
      <c r="DWW765" s="1207"/>
      <c r="DWX765" s="1207"/>
      <c r="DWY765" s="1207"/>
      <c r="DWZ765" s="1207"/>
      <c r="DXA765" s="1207"/>
      <c r="DXB765" s="1207"/>
      <c r="DXC765" s="1207"/>
      <c r="DXD765" s="1207"/>
      <c r="DXE765" s="1207"/>
      <c r="DXF765" s="1207"/>
      <c r="DXG765" s="1207"/>
      <c r="DXH765" s="1207"/>
      <c r="DXI765" s="1207"/>
      <c r="DXJ765" s="1207"/>
      <c r="DXK765" s="1207"/>
      <c r="DXL765" s="1207"/>
      <c r="DXM765" s="1207"/>
      <c r="DXN765" s="1207"/>
      <c r="DXO765" s="1207"/>
      <c r="DXP765" s="1207"/>
      <c r="DXQ765" s="1207"/>
      <c r="DXR765" s="1207"/>
      <c r="DXS765" s="1207"/>
      <c r="DXT765" s="1207"/>
      <c r="DXU765" s="1207"/>
      <c r="DXV765" s="1207"/>
      <c r="DXW765" s="1207"/>
      <c r="DXX765" s="1207"/>
      <c r="DXY765" s="1207"/>
      <c r="DXZ765" s="1207"/>
      <c r="DYA765" s="1207"/>
      <c r="DYB765" s="1207"/>
      <c r="DYC765" s="1207"/>
      <c r="DYD765" s="1207"/>
      <c r="DYE765" s="1207"/>
      <c r="DYF765" s="1207"/>
      <c r="DYG765" s="1207"/>
      <c r="DYH765" s="1207"/>
      <c r="DYI765" s="1207"/>
      <c r="DYJ765" s="1207"/>
      <c r="DYK765" s="1207"/>
      <c r="DYL765" s="1207"/>
      <c r="DYM765" s="1207"/>
      <c r="DYN765" s="1207"/>
      <c r="DYO765" s="1207"/>
      <c r="DYP765" s="1207"/>
      <c r="DYQ765" s="1207"/>
      <c r="DYR765" s="1207"/>
      <c r="DYS765" s="1207"/>
      <c r="DYT765" s="1207"/>
      <c r="DYU765" s="1207"/>
      <c r="DYV765" s="1207"/>
      <c r="DYW765" s="1207"/>
      <c r="DYX765" s="1207"/>
      <c r="DYY765" s="1207"/>
      <c r="DYZ765" s="1207"/>
      <c r="DZA765" s="1207"/>
      <c r="DZB765" s="1207"/>
      <c r="DZC765" s="1207"/>
      <c r="DZD765" s="1207"/>
      <c r="DZE765" s="1207"/>
      <c r="DZF765" s="1207"/>
      <c r="DZG765" s="1207"/>
      <c r="DZH765" s="1207"/>
      <c r="DZI765" s="1207"/>
      <c r="DZJ765" s="1207"/>
      <c r="DZK765" s="1207"/>
      <c r="DZL765" s="1207"/>
      <c r="DZM765" s="1207"/>
      <c r="DZN765" s="1207"/>
      <c r="DZO765" s="1207"/>
      <c r="DZP765" s="1207"/>
      <c r="DZQ765" s="1207"/>
      <c r="DZR765" s="1207"/>
      <c r="DZS765" s="1207"/>
      <c r="DZT765" s="1207"/>
      <c r="DZU765" s="1207"/>
      <c r="DZV765" s="1207"/>
      <c r="DZW765" s="1207"/>
      <c r="DZX765" s="1207"/>
      <c r="DZY765" s="1207"/>
      <c r="DZZ765" s="1207"/>
      <c r="EAA765" s="1207"/>
      <c r="EAB765" s="1207"/>
      <c r="EAC765" s="1207"/>
      <c r="EAD765" s="1207"/>
      <c r="EAE765" s="1207"/>
      <c r="EAF765" s="1207"/>
      <c r="EAG765" s="1207"/>
      <c r="EAH765" s="1207"/>
      <c r="EAI765" s="1207"/>
      <c r="EAJ765" s="1207"/>
      <c r="EAK765" s="1207"/>
      <c r="EAL765" s="1207"/>
      <c r="EAM765" s="1207"/>
      <c r="EAN765" s="1207"/>
      <c r="EAO765" s="1207"/>
      <c r="EAP765" s="1207"/>
      <c r="EAQ765" s="1207"/>
      <c r="EAR765" s="1207"/>
      <c r="EAS765" s="1207"/>
      <c r="EAT765" s="1207"/>
      <c r="EAU765" s="1207"/>
      <c r="EAV765" s="1207"/>
      <c r="EAW765" s="1207"/>
      <c r="EAX765" s="1207"/>
      <c r="EAY765" s="1207"/>
      <c r="EAZ765" s="1207"/>
      <c r="EBA765" s="1207"/>
      <c r="EBB765" s="1207"/>
      <c r="EBC765" s="1207"/>
      <c r="EBD765" s="1207"/>
      <c r="EBE765" s="1207"/>
      <c r="EBF765" s="1207"/>
      <c r="EBG765" s="1207"/>
      <c r="EBH765" s="1207"/>
      <c r="EBI765" s="1207"/>
      <c r="EBJ765" s="1207"/>
      <c r="EBK765" s="1207"/>
      <c r="EBL765" s="1207"/>
      <c r="EBM765" s="1207"/>
      <c r="EBN765" s="1207"/>
      <c r="EBO765" s="1207"/>
      <c r="EBP765" s="1207"/>
      <c r="EBQ765" s="1207"/>
      <c r="EBR765" s="1207"/>
      <c r="EBS765" s="1207"/>
      <c r="EBT765" s="1207"/>
      <c r="EBU765" s="1207"/>
      <c r="EBV765" s="1207"/>
      <c r="EBW765" s="1207"/>
      <c r="EBX765" s="1207"/>
      <c r="EBY765" s="1207"/>
      <c r="EBZ765" s="1207"/>
      <c r="ECA765" s="1207"/>
      <c r="ECB765" s="1207"/>
      <c r="ECC765" s="1207"/>
      <c r="ECD765" s="1207"/>
      <c r="ECE765" s="1207"/>
      <c r="ECF765" s="1207"/>
      <c r="ECG765" s="1207"/>
      <c r="ECH765" s="1207"/>
      <c r="ECI765" s="1207"/>
      <c r="ECJ765" s="1207"/>
      <c r="ECK765" s="1207"/>
      <c r="ECL765" s="1207"/>
      <c r="ECM765" s="1207"/>
      <c r="ECN765" s="1207"/>
      <c r="ECO765" s="1207"/>
      <c r="ECP765" s="1207"/>
      <c r="ECQ765" s="1207"/>
      <c r="ECR765" s="1207"/>
      <c r="ECS765" s="1207"/>
      <c r="ECT765" s="1207"/>
      <c r="ECU765" s="1207"/>
      <c r="ECV765" s="1207"/>
      <c r="ECW765" s="1207"/>
      <c r="ECX765" s="1207"/>
      <c r="ECY765" s="1207"/>
      <c r="ECZ765" s="1207"/>
      <c r="EDA765" s="1207"/>
      <c r="EDB765" s="1207"/>
      <c r="EDC765" s="1207"/>
      <c r="EDD765" s="1207"/>
      <c r="EDE765" s="1207"/>
      <c r="EDF765" s="1207"/>
      <c r="EDG765" s="1207"/>
      <c r="EDH765" s="1207"/>
      <c r="EDI765" s="1207"/>
      <c r="EDJ765" s="1207"/>
      <c r="EDK765" s="1207"/>
      <c r="EDL765" s="1207"/>
      <c r="EDM765" s="1207"/>
      <c r="EDN765" s="1207"/>
      <c r="EDO765" s="1207"/>
      <c r="EDP765" s="1207"/>
      <c r="EDQ765" s="1207"/>
      <c r="EDR765" s="1207"/>
      <c r="EDS765" s="1207"/>
      <c r="EDT765" s="1207"/>
      <c r="EDU765" s="1207"/>
      <c r="EDV765" s="1207"/>
      <c r="EDW765" s="1207"/>
      <c r="EDX765" s="1207"/>
      <c r="EDY765" s="1207"/>
      <c r="EDZ765" s="1207"/>
      <c r="EEA765" s="1207"/>
      <c r="EEB765" s="1207"/>
      <c r="EEC765" s="1207"/>
      <c r="EED765" s="1207"/>
      <c r="EEE765" s="1207"/>
      <c r="EEF765" s="1207"/>
      <c r="EEG765" s="1207"/>
      <c r="EEH765" s="1207"/>
      <c r="EEI765" s="1207"/>
      <c r="EEJ765" s="1207"/>
      <c r="EEK765" s="1207"/>
      <c r="EEL765" s="1207"/>
      <c r="EEM765" s="1207"/>
      <c r="EEN765" s="1207"/>
      <c r="EEO765" s="1207"/>
      <c r="EEP765" s="1207"/>
      <c r="EEQ765" s="1207"/>
      <c r="EER765" s="1207"/>
      <c r="EES765" s="1207"/>
      <c r="EET765" s="1207"/>
      <c r="EEU765" s="1207"/>
      <c r="EEV765" s="1207"/>
      <c r="EEW765" s="1207"/>
      <c r="EEX765" s="1207"/>
      <c r="EEY765" s="1207"/>
      <c r="EEZ765" s="1207"/>
      <c r="EFA765" s="1207"/>
      <c r="EFB765" s="1207"/>
      <c r="EFC765" s="1207"/>
      <c r="EFD765" s="1207"/>
      <c r="EFE765" s="1207"/>
      <c r="EFF765" s="1207"/>
      <c r="EFG765" s="1207"/>
      <c r="EFH765" s="1207"/>
      <c r="EFI765" s="1207"/>
      <c r="EFJ765" s="1207"/>
      <c r="EFK765" s="1207"/>
      <c r="EFL765" s="1207"/>
      <c r="EFM765" s="1207"/>
      <c r="EFN765" s="1207"/>
      <c r="EFO765" s="1207"/>
      <c r="EFP765" s="1207"/>
      <c r="EFQ765" s="1207"/>
      <c r="EFR765" s="1207"/>
      <c r="EFS765" s="1207"/>
      <c r="EFT765" s="1207"/>
      <c r="EFU765" s="1207"/>
      <c r="EFV765" s="1207"/>
      <c r="EFW765" s="1207"/>
      <c r="EFX765" s="1207"/>
      <c r="EFY765" s="1207"/>
      <c r="EFZ765" s="1207"/>
      <c r="EGA765" s="1207"/>
      <c r="EGB765" s="1207"/>
      <c r="EGC765" s="1207"/>
      <c r="EGD765" s="1207"/>
      <c r="EGE765" s="1207"/>
      <c r="EGF765" s="1207"/>
      <c r="EGG765" s="1207"/>
      <c r="EGH765" s="1207"/>
      <c r="EGI765" s="1207"/>
      <c r="EGJ765" s="1207"/>
      <c r="EGK765" s="1207"/>
      <c r="EGL765" s="1207"/>
      <c r="EGM765" s="1207"/>
      <c r="EGN765" s="1207"/>
      <c r="EGO765" s="1207"/>
      <c r="EGP765" s="1207"/>
      <c r="EGQ765" s="1207"/>
      <c r="EGR765" s="1207"/>
      <c r="EGS765" s="1207"/>
      <c r="EGT765" s="1207"/>
      <c r="EGU765" s="1207"/>
      <c r="EGV765" s="1207"/>
      <c r="EGW765" s="1207"/>
      <c r="EGX765" s="1207"/>
      <c r="EGY765" s="1207"/>
      <c r="EGZ765" s="1207"/>
      <c r="EHA765" s="1207"/>
      <c r="EHB765" s="1207"/>
      <c r="EHC765" s="1207"/>
      <c r="EHD765" s="1207"/>
      <c r="EHE765" s="1207"/>
      <c r="EHF765" s="1207"/>
      <c r="EHG765" s="1207"/>
      <c r="EHH765" s="1207"/>
      <c r="EHI765" s="1207"/>
      <c r="EHJ765" s="1207"/>
      <c r="EHK765" s="1207"/>
      <c r="EHL765" s="1207"/>
      <c r="EHM765" s="1207"/>
      <c r="EHN765" s="1207"/>
      <c r="EHO765" s="1207"/>
      <c r="EHP765" s="1207"/>
      <c r="EHQ765" s="1207"/>
      <c r="EHR765" s="1207"/>
      <c r="EHS765" s="1207"/>
      <c r="EHT765" s="1207"/>
      <c r="EHU765" s="1207"/>
      <c r="EHV765" s="1207"/>
      <c r="EHW765" s="1207"/>
      <c r="EHX765" s="1207"/>
      <c r="EHY765" s="1207"/>
      <c r="EHZ765" s="1207"/>
      <c r="EIA765" s="1207"/>
      <c r="EIB765" s="1207"/>
      <c r="EIC765" s="1207"/>
      <c r="EID765" s="1207"/>
      <c r="EIE765" s="1207"/>
      <c r="EIF765" s="1207"/>
      <c r="EIG765" s="1207"/>
      <c r="EIH765" s="1207"/>
      <c r="EII765" s="1207"/>
      <c r="EIJ765" s="1207"/>
      <c r="EIK765" s="1207"/>
      <c r="EIL765" s="1207"/>
      <c r="EIM765" s="1207"/>
      <c r="EIN765" s="1207"/>
      <c r="EIO765" s="1207"/>
      <c r="EIP765" s="1207"/>
      <c r="EIQ765" s="1207"/>
      <c r="EIR765" s="1207"/>
      <c r="EIS765" s="1207"/>
      <c r="EIT765" s="1207"/>
      <c r="EIU765" s="1207"/>
      <c r="EIV765" s="1207"/>
      <c r="EIW765" s="1207"/>
      <c r="EIX765" s="1207"/>
      <c r="EIY765" s="1207"/>
      <c r="EIZ765" s="1207"/>
      <c r="EJA765" s="1207"/>
      <c r="EJB765" s="1207"/>
      <c r="EJC765" s="1207"/>
      <c r="EJD765" s="1207"/>
      <c r="EJE765" s="1207"/>
      <c r="EJF765" s="1207"/>
      <c r="EJG765" s="1207"/>
      <c r="EJH765" s="1207"/>
      <c r="EJI765" s="1207"/>
      <c r="EJJ765" s="1207"/>
      <c r="EJK765" s="1207"/>
      <c r="EJL765" s="1207"/>
      <c r="EJM765" s="1207"/>
      <c r="EJN765" s="1207"/>
      <c r="EJO765" s="1207"/>
      <c r="EJP765" s="1207"/>
      <c r="EJQ765" s="1207"/>
      <c r="EJR765" s="1207"/>
      <c r="EJS765" s="1207"/>
      <c r="EJT765" s="1207"/>
      <c r="EJU765" s="1207"/>
      <c r="EJV765" s="1207"/>
      <c r="EJW765" s="1207"/>
      <c r="EJX765" s="1207"/>
      <c r="EJY765" s="1207"/>
      <c r="EJZ765" s="1207"/>
      <c r="EKA765" s="1207"/>
      <c r="EKB765" s="1207"/>
      <c r="EKC765" s="1207"/>
      <c r="EKD765" s="1207"/>
      <c r="EKE765" s="1207"/>
      <c r="EKF765" s="1207"/>
      <c r="EKG765" s="1207"/>
      <c r="EKH765" s="1207"/>
      <c r="EKI765" s="1207"/>
      <c r="EKJ765" s="1207"/>
      <c r="EKK765" s="1207"/>
      <c r="EKL765" s="1207"/>
      <c r="EKM765" s="1207"/>
      <c r="EKN765" s="1207"/>
      <c r="EKO765" s="1207"/>
      <c r="EKP765" s="1207"/>
      <c r="EKQ765" s="1207"/>
      <c r="EKR765" s="1207"/>
      <c r="EKS765" s="1207"/>
      <c r="EKT765" s="1207"/>
      <c r="EKU765" s="1207"/>
      <c r="EKV765" s="1207"/>
      <c r="EKW765" s="1207"/>
      <c r="EKX765" s="1207"/>
      <c r="EKY765" s="1207"/>
      <c r="EKZ765" s="1207"/>
      <c r="ELA765" s="1207"/>
      <c r="ELB765" s="1207"/>
      <c r="ELC765" s="1207"/>
      <c r="ELD765" s="1207"/>
      <c r="ELE765" s="1207"/>
      <c r="ELF765" s="1207"/>
      <c r="ELG765" s="1207"/>
      <c r="ELH765" s="1207"/>
      <c r="ELI765" s="1207"/>
      <c r="ELJ765" s="1207"/>
      <c r="ELK765" s="1207"/>
      <c r="ELL765" s="1207"/>
      <c r="ELM765" s="1207"/>
      <c r="ELN765" s="1207"/>
      <c r="ELO765" s="1207"/>
      <c r="ELP765" s="1207"/>
      <c r="ELQ765" s="1207"/>
      <c r="ELR765" s="1207"/>
      <c r="ELS765" s="1207"/>
      <c r="ELT765" s="1207"/>
      <c r="ELU765" s="1207"/>
      <c r="ELV765" s="1207"/>
      <c r="ELW765" s="1207"/>
      <c r="ELX765" s="1207"/>
      <c r="ELY765" s="1207"/>
      <c r="ELZ765" s="1207"/>
      <c r="EMA765" s="1207"/>
      <c r="EMB765" s="1207"/>
      <c r="EMC765" s="1207"/>
      <c r="EMD765" s="1207"/>
      <c r="EME765" s="1207"/>
      <c r="EMF765" s="1207"/>
      <c r="EMG765" s="1207"/>
      <c r="EMH765" s="1207"/>
      <c r="EMI765" s="1207"/>
      <c r="EMJ765" s="1207"/>
      <c r="EMK765" s="1207"/>
      <c r="EML765" s="1207"/>
      <c r="EMM765" s="1207"/>
      <c r="EMN765" s="1207"/>
      <c r="EMO765" s="1207"/>
      <c r="EMP765" s="1207"/>
      <c r="EMQ765" s="1207"/>
      <c r="EMR765" s="1207"/>
      <c r="EMS765" s="1207"/>
      <c r="EMT765" s="1207"/>
      <c r="EMU765" s="1207"/>
      <c r="EMV765" s="1207"/>
      <c r="EMW765" s="1207"/>
      <c r="EMX765" s="1207"/>
      <c r="EMY765" s="1207"/>
      <c r="EMZ765" s="1207"/>
      <c r="ENA765" s="1207"/>
      <c r="ENB765" s="1207"/>
      <c r="ENC765" s="1207"/>
      <c r="END765" s="1207"/>
      <c r="ENE765" s="1207"/>
      <c r="ENF765" s="1207"/>
      <c r="ENG765" s="1207"/>
      <c r="ENH765" s="1207"/>
      <c r="ENI765" s="1207"/>
      <c r="ENJ765" s="1207"/>
      <c r="ENK765" s="1207"/>
      <c r="ENL765" s="1207"/>
      <c r="ENM765" s="1207"/>
      <c r="ENN765" s="1207"/>
      <c r="ENO765" s="1207"/>
      <c r="ENP765" s="1207"/>
      <c r="ENQ765" s="1207"/>
      <c r="ENR765" s="1207"/>
      <c r="ENS765" s="1207"/>
      <c r="ENT765" s="1207"/>
      <c r="ENU765" s="1207"/>
      <c r="ENV765" s="1207"/>
      <c r="ENW765" s="1207"/>
      <c r="ENX765" s="1207"/>
      <c r="ENY765" s="1207"/>
      <c r="ENZ765" s="1207"/>
      <c r="EOA765" s="1207"/>
      <c r="EOB765" s="1207"/>
      <c r="EOC765" s="1207"/>
      <c r="EOD765" s="1207"/>
      <c r="EOE765" s="1207"/>
      <c r="EOF765" s="1207"/>
      <c r="EOG765" s="1207"/>
      <c r="EOH765" s="1207"/>
      <c r="EOI765" s="1207"/>
      <c r="EOJ765" s="1207"/>
      <c r="EOK765" s="1207"/>
      <c r="EOL765" s="1207"/>
      <c r="EOM765" s="1207"/>
      <c r="EON765" s="1207"/>
      <c r="EOO765" s="1207"/>
      <c r="EOP765" s="1207"/>
      <c r="EOQ765" s="1207"/>
      <c r="EOR765" s="1207"/>
      <c r="EOS765" s="1207"/>
      <c r="EOT765" s="1207"/>
      <c r="EOU765" s="1207"/>
      <c r="EOV765" s="1207"/>
      <c r="EOW765" s="1207"/>
      <c r="EOX765" s="1207"/>
      <c r="EOY765" s="1207"/>
      <c r="EOZ765" s="1207"/>
      <c r="EPA765" s="1207"/>
      <c r="EPB765" s="1207"/>
      <c r="EPC765" s="1207"/>
      <c r="EPD765" s="1207"/>
      <c r="EPE765" s="1207"/>
      <c r="EPF765" s="1207"/>
      <c r="EPG765" s="1207"/>
      <c r="EPH765" s="1207"/>
      <c r="EPI765" s="1207"/>
      <c r="EPJ765" s="1207"/>
      <c r="EPK765" s="1207"/>
      <c r="EPL765" s="1207"/>
      <c r="EPM765" s="1207"/>
      <c r="EPN765" s="1207"/>
      <c r="EPO765" s="1207"/>
      <c r="EPP765" s="1207"/>
      <c r="EPQ765" s="1207"/>
      <c r="EPR765" s="1207"/>
      <c r="EPS765" s="1207"/>
      <c r="EPT765" s="1207"/>
      <c r="EPU765" s="1207"/>
      <c r="EPV765" s="1207"/>
      <c r="EPW765" s="1207"/>
      <c r="EPX765" s="1207"/>
      <c r="EPY765" s="1207"/>
      <c r="EPZ765" s="1207"/>
      <c r="EQA765" s="1207"/>
      <c r="EQB765" s="1207"/>
      <c r="EQC765" s="1207"/>
      <c r="EQD765" s="1207"/>
      <c r="EQE765" s="1207"/>
      <c r="EQF765" s="1207"/>
      <c r="EQG765" s="1207"/>
      <c r="EQH765" s="1207"/>
      <c r="EQI765" s="1207"/>
      <c r="EQJ765" s="1207"/>
      <c r="EQK765" s="1207"/>
      <c r="EQL765" s="1207"/>
      <c r="EQM765" s="1207"/>
      <c r="EQN765" s="1207"/>
      <c r="EQO765" s="1207"/>
      <c r="EQP765" s="1207"/>
      <c r="EQQ765" s="1207"/>
      <c r="EQR765" s="1207"/>
      <c r="EQS765" s="1207"/>
      <c r="EQT765" s="1207"/>
      <c r="EQU765" s="1207"/>
      <c r="EQV765" s="1207"/>
      <c r="EQW765" s="1207"/>
      <c r="EQX765" s="1207"/>
      <c r="EQY765" s="1207"/>
      <c r="EQZ765" s="1207"/>
      <c r="ERA765" s="1207"/>
      <c r="ERB765" s="1207"/>
      <c r="ERC765" s="1207"/>
      <c r="ERD765" s="1207"/>
      <c r="ERE765" s="1207"/>
      <c r="ERF765" s="1207"/>
      <c r="ERG765" s="1207"/>
      <c r="ERH765" s="1207"/>
      <c r="ERI765" s="1207"/>
      <c r="ERJ765" s="1207"/>
      <c r="ERK765" s="1207"/>
      <c r="ERL765" s="1207"/>
      <c r="ERM765" s="1207"/>
      <c r="ERN765" s="1207"/>
      <c r="ERO765" s="1207"/>
      <c r="ERP765" s="1207"/>
      <c r="ERQ765" s="1207"/>
      <c r="ERR765" s="1207"/>
      <c r="ERS765" s="1207"/>
      <c r="ERT765" s="1207"/>
      <c r="ERU765" s="1207"/>
      <c r="ERV765" s="1207"/>
      <c r="ERW765" s="1207"/>
      <c r="ERX765" s="1207"/>
      <c r="ERY765" s="1207"/>
      <c r="ERZ765" s="1207"/>
      <c r="ESA765" s="1207"/>
      <c r="ESB765" s="1207"/>
      <c r="ESC765" s="1207"/>
      <c r="ESD765" s="1207"/>
      <c r="ESE765" s="1207"/>
      <c r="ESF765" s="1207"/>
      <c r="ESG765" s="1207"/>
      <c r="ESH765" s="1207"/>
      <c r="ESI765" s="1207"/>
      <c r="ESJ765" s="1207"/>
      <c r="ESK765" s="1207"/>
      <c r="ESL765" s="1207"/>
      <c r="ESM765" s="1207"/>
      <c r="ESN765" s="1207"/>
      <c r="ESO765" s="1207"/>
      <c r="ESP765" s="1207"/>
      <c r="ESQ765" s="1207"/>
      <c r="ESR765" s="1207"/>
      <c r="ESS765" s="1207"/>
      <c r="EST765" s="1207"/>
      <c r="ESU765" s="1207"/>
      <c r="ESV765" s="1207"/>
      <c r="ESW765" s="1207"/>
      <c r="ESX765" s="1207"/>
      <c r="ESY765" s="1207"/>
      <c r="ESZ765" s="1207"/>
      <c r="ETA765" s="1207"/>
      <c r="ETB765" s="1207"/>
      <c r="ETC765" s="1207"/>
      <c r="ETD765" s="1207"/>
      <c r="ETE765" s="1207"/>
      <c r="ETF765" s="1207"/>
      <c r="ETG765" s="1207"/>
      <c r="ETH765" s="1207"/>
      <c r="ETI765" s="1207"/>
      <c r="ETJ765" s="1207"/>
      <c r="ETK765" s="1207"/>
      <c r="ETL765" s="1207"/>
      <c r="ETM765" s="1207"/>
      <c r="ETN765" s="1207"/>
      <c r="ETO765" s="1207"/>
      <c r="ETP765" s="1207"/>
      <c r="ETQ765" s="1207"/>
      <c r="ETR765" s="1207"/>
      <c r="ETS765" s="1207"/>
      <c r="ETT765" s="1207"/>
      <c r="ETU765" s="1207"/>
      <c r="ETV765" s="1207"/>
      <c r="ETW765" s="1207"/>
      <c r="ETX765" s="1207"/>
      <c r="ETY765" s="1207"/>
      <c r="ETZ765" s="1207"/>
      <c r="EUA765" s="1207"/>
      <c r="EUB765" s="1207"/>
      <c r="EUC765" s="1207"/>
      <c r="EUD765" s="1207"/>
      <c r="EUE765" s="1207"/>
      <c r="EUF765" s="1207"/>
      <c r="EUG765" s="1207"/>
      <c r="EUH765" s="1207"/>
      <c r="EUI765" s="1207"/>
      <c r="EUJ765" s="1207"/>
      <c r="EUK765" s="1207"/>
      <c r="EUL765" s="1207"/>
      <c r="EUM765" s="1207"/>
      <c r="EUN765" s="1207"/>
      <c r="EUO765" s="1207"/>
      <c r="EUP765" s="1207"/>
      <c r="EUQ765" s="1207"/>
      <c r="EUR765" s="1207"/>
      <c r="EUS765" s="1207"/>
      <c r="EUT765" s="1207"/>
      <c r="EUU765" s="1207"/>
      <c r="EUV765" s="1207"/>
      <c r="EUW765" s="1207"/>
      <c r="EUX765" s="1207"/>
      <c r="EUY765" s="1207"/>
      <c r="EUZ765" s="1207"/>
      <c r="EVA765" s="1207"/>
      <c r="EVB765" s="1207"/>
      <c r="EVC765" s="1207"/>
      <c r="EVD765" s="1207"/>
      <c r="EVE765" s="1207"/>
      <c r="EVF765" s="1207"/>
      <c r="EVG765" s="1207"/>
      <c r="EVH765" s="1207"/>
      <c r="EVI765" s="1207"/>
      <c r="EVJ765" s="1207"/>
      <c r="EVK765" s="1207"/>
      <c r="EVL765" s="1207"/>
      <c r="EVM765" s="1207"/>
      <c r="EVN765" s="1207"/>
      <c r="EVO765" s="1207"/>
      <c r="EVP765" s="1207"/>
      <c r="EVQ765" s="1207"/>
      <c r="EVR765" s="1207"/>
      <c r="EVS765" s="1207"/>
      <c r="EVT765" s="1207"/>
      <c r="EVU765" s="1207"/>
      <c r="EVV765" s="1207"/>
      <c r="EVW765" s="1207"/>
      <c r="EVX765" s="1207"/>
      <c r="EVY765" s="1207"/>
      <c r="EVZ765" s="1207"/>
      <c r="EWA765" s="1207"/>
      <c r="EWB765" s="1207"/>
      <c r="EWC765" s="1207"/>
      <c r="EWD765" s="1207"/>
      <c r="EWE765" s="1207"/>
      <c r="EWF765" s="1207"/>
      <c r="EWG765" s="1207"/>
      <c r="EWH765" s="1207"/>
      <c r="EWI765" s="1207"/>
      <c r="EWJ765" s="1207"/>
      <c r="EWK765" s="1207"/>
      <c r="EWL765" s="1207"/>
      <c r="EWM765" s="1207"/>
      <c r="EWN765" s="1207"/>
      <c r="EWO765" s="1207"/>
      <c r="EWP765" s="1207"/>
      <c r="EWQ765" s="1207"/>
      <c r="EWR765" s="1207"/>
      <c r="EWS765" s="1207"/>
      <c r="EWT765" s="1207"/>
      <c r="EWU765" s="1207"/>
      <c r="EWV765" s="1207"/>
      <c r="EWW765" s="1207"/>
      <c r="EWX765" s="1207"/>
      <c r="EWY765" s="1207"/>
      <c r="EWZ765" s="1207"/>
      <c r="EXA765" s="1207"/>
      <c r="EXB765" s="1207"/>
      <c r="EXC765" s="1207"/>
      <c r="EXD765" s="1207"/>
      <c r="EXE765" s="1207"/>
      <c r="EXF765" s="1207"/>
      <c r="EXG765" s="1207"/>
      <c r="EXH765" s="1207"/>
      <c r="EXI765" s="1207"/>
      <c r="EXJ765" s="1207"/>
      <c r="EXK765" s="1207"/>
      <c r="EXL765" s="1207"/>
      <c r="EXM765" s="1207"/>
      <c r="EXN765" s="1207"/>
      <c r="EXO765" s="1207"/>
      <c r="EXP765" s="1207"/>
      <c r="EXQ765" s="1207"/>
      <c r="EXR765" s="1207"/>
      <c r="EXS765" s="1207"/>
      <c r="EXT765" s="1207"/>
      <c r="EXU765" s="1207"/>
      <c r="EXV765" s="1207"/>
      <c r="EXW765" s="1207"/>
      <c r="EXX765" s="1207"/>
      <c r="EXY765" s="1207"/>
      <c r="EXZ765" s="1207"/>
      <c r="EYA765" s="1207"/>
      <c r="EYB765" s="1207"/>
      <c r="EYC765" s="1207"/>
      <c r="EYD765" s="1207"/>
      <c r="EYE765" s="1207"/>
      <c r="EYF765" s="1207"/>
      <c r="EYG765" s="1207"/>
      <c r="EYH765" s="1207"/>
      <c r="EYI765" s="1207"/>
      <c r="EYJ765" s="1207"/>
      <c r="EYK765" s="1207"/>
      <c r="EYL765" s="1207"/>
      <c r="EYM765" s="1207"/>
      <c r="EYN765" s="1207"/>
      <c r="EYO765" s="1207"/>
      <c r="EYP765" s="1207"/>
      <c r="EYQ765" s="1207"/>
      <c r="EYR765" s="1207"/>
      <c r="EYS765" s="1207"/>
      <c r="EYT765" s="1207"/>
      <c r="EYU765" s="1207"/>
      <c r="EYV765" s="1207"/>
      <c r="EYW765" s="1207"/>
      <c r="EYX765" s="1207"/>
      <c r="EYY765" s="1207"/>
      <c r="EYZ765" s="1207"/>
      <c r="EZA765" s="1207"/>
      <c r="EZB765" s="1207"/>
      <c r="EZC765" s="1207"/>
      <c r="EZD765" s="1207"/>
      <c r="EZE765" s="1207"/>
      <c r="EZF765" s="1207"/>
      <c r="EZG765" s="1207"/>
      <c r="EZH765" s="1207"/>
      <c r="EZI765" s="1207"/>
      <c r="EZJ765" s="1207"/>
      <c r="EZK765" s="1207"/>
      <c r="EZL765" s="1207"/>
      <c r="EZM765" s="1207"/>
      <c r="EZN765" s="1207"/>
      <c r="EZO765" s="1207"/>
      <c r="EZP765" s="1207"/>
      <c r="EZQ765" s="1207"/>
      <c r="EZR765" s="1207"/>
      <c r="EZS765" s="1207"/>
      <c r="EZT765" s="1207"/>
      <c r="EZU765" s="1207"/>
      <c r="EZV765" s="1207"/>
      <c r="EZW765" s="1207"/>
      <c r="EZX765" s="1207"/>
      <c r="EZY765" s="1207"/>
      <c r="EZZ765" s="1207"/>
      <c r="FAA765" s="1207"/>
      <c r="FAB765" s="1207"/>
      <c r="FAC765" s="1207"/>
      <c r="FAD765" s="1207"/>
      <c r="FAE765" s="1207"/>
      <c r="FAF765" s="1207"/>
      <c r="FAG765" s="1207"/>
      <c r="FAH765" s="1207"/>
      <c r="FAI765" s="1207"/>
      <c r="FAJ765" s="1207"/>
      <c r="FAK765" s="1207"/>
      <c r="FAL765" s="1207"/>
      <c r="FAM765" s="1207"/>
      <c r="FAN765" s="1207"/>
      <c r="FAO765" s="1207"/>
      <c r="FAP765" s="1207"/>
      <c r="FAQ765" s="1207"/>
      <c r="FAR765" s="1207"/>
      <c r="FAS765" s="1207"/>
      <c r="FAT765" s="1207"/>
      <c r="FAU765" s="1207"/>
      <c r="FAV765" s="1207"/>
      <c r="FAW765" s="1207"/>
      <c r="FAX765" s="1207"/>
      <c r="FAY765" s="1207"/>
      <c r="FAZ765" s="1207"/>
      <c r="FBA765" s="1207"/>
      <c r="FBB765" s="1207"/>
      <c r="FBC765" s="1207"/>
      <c r="FBD765" s="1207"/>
      <c r="FBE765" s="1207"/>
      <c r="FBF765" s="1207"/>
      <c r="FBG765" s="1207"/>
      <c r="FBH765" s="1207"/>
      <c r="FBI765" s="1207"/>
      <c r="FBJ765" s="1207"/>
      <c r="FBK765" s="1207"/>
      <c r="FBL765" s="1207"/>
      <c r="FBM765" s="1207"/>
      <c r="FBN765" s="1207"/>
      <c r="FBO765" s="1207"/>
      <c r="FBP765" s="1207"/>
      <c r="FBQ765" s="1207"/>
      <c r="FBR765" s="1207"/>
      <c r="FBS765" s="1207"/>
      <c r="FBT765" s="1207"/>
      <c r="FBU765" s="1207"/>
      <c r="FBV765" s="1207"/>
      <c r="FBW765" s="1207"/>
      <c r="FBX765" s="1207"/>
      <c r="FBY765" s="1207"/>
      <c r="FBZ765" s="1207"/>
      <c r="FCA765" s="1207"/>
      <c r="FCB765" s="1207"/>
      <c r="FCC765" s="1207"/>
      <c r="FCD765" s="1207"/>
      <c r="FCE765" s="1207"/>
      <c r="FCF765" s="1207"/>
      <c r="FCG765" s="1207"/>
      <c r="FCH765" s="1207"/>
      <c r="FCI765" s="1207"/>
      <c r="FCJ765" s="1207"/>
      <c r="FCK765" s="1207"/>
      <c r="FCL765" s="1207"/>
      <c r="FCM765" s="1207"/>
      <c r="FCN765" s="1207"/>
      <c r="FCO765" s="1207"/>
      <c r="FCP765" s="1207"/>
      <c r="FCQ765" s="1207"/>
      <c r="FCR765" s="1207"/>
      <c r="FCS765" s="1207"/>
      <c r="FCT765" s="1207"/>
      <c r="FCU765" s="1207"/>
      <c r="FCV765" s="1207"/>
      <c r="FCW765" s="1207"/>
      <c r="FCX765" s="1207"/>
      <c r="FCY765" s="1207"/>
      <c r="FCZ765" s="1207"/>
      <c r="FDA765" s="1207"/>
      <c r="FDB765" s="1207"/>
      <c r="FDC765" s="1207"/>
      <c r="FDD765" s="1207"/>
      <c r="FDE765" s="1207"/>
      <c r="FDF765" s="1207"/>
      <c r="FDG765" s="1207"/>
      <c r="FDH765" s="1207"/>
      <c r="FDI765" s="1207"/>
      <c r="FDJ765" s="1207"/>
      <c r="FDK765" s="1207"/>
      <c r="FDL765" s="1207"/>
      <c r="FDM765" s="1207"/>
      <c r="FDN765" s="1207"/>
      <c r="FDO765" s="1207"/>
      <c r="FDP765" s="1207"/>
      <c r="FDQ765" s="1207"/>
      <c r="FDR765" s="1207"/>
      <c r="FDS765" s="1207"/>
      <c r="FDT765" s="1207"/>
      <c r="FDU765" s="1207"/>
      <c r="FDV765" s="1207"/>
      <c r="FDW765" s="1207"/>
      <c r="FDX765" s="1207"/>
      <c r="FDY765" s="1207"/>
      <c r="FDZ765" s="1207"/>
      <c r="FEA765" s="1207"/>
      <c r="FEB765" s="1207"/>
      <c r="FEC765" s="1207"/>
      <c r="FED765" s="1207"/>
      <c r="FEE765" s="1207"/>
      <c r="FEF765" s="1207"/>
      <c r="FEG765" s="1207"/>
      <c r="FEH765" s="1207"/>
      <c r="FEI765" s="1207"/>
      <c r="FEJ765" s="1207"/>
      <c r="FEK765" s="1207"/>
      <c r="FEL765" s="1207"/>
      <c r="FEM765" s="1207"/>
      <c r="FEN765" s="1207"/>
      <c r="FEO765" s="1207"/>
      <c r="FEP765" s="1207"/>
      <c r="FEQ765" s="1207"/>
      <c r="FER765" s="1207"/>
      <c r="FES765" s="1207"/>
      <c r="FET765" s="1207"/>
      <c r="FEU765" s="1207"/>
      <c r="FEV765" s="1207"/>
      <c r="FEW765" s="1207"/>
      <c r="FEX765" s="1207"/>
      <c r="FEY765" s="1207"/>
      <c r="FEZ765" s="1207"/>
      <c r="FFA765" s="1207"/>
      <c r="FFB765" s="1207"/>
      <c r="FFC765" s="1207"/>
      <c r="FFD765" s="1207"/>
      <c r="FFE765" s="1207"/>
      <c r="FFF765" s="1207"/>
      <c r="FFG765" s="1207"/>
      <c r="FFH765" s="1207"/>
      <c r="FFI765" s="1207"/>
      <c r="FFJ765" s="1207"/>
      <c r="FFK765" s="1207"/>
      <c r="FFL765" s="1207"/>
      <c r="FFM765" s="1207"/>
      <c r="FFN765" s="1207"/>
      <c r="FFO765" s="1207"/>
      <c r="FFP765" s="1207"/>
      <c r="FFQ765" s="1207"/>
      <c r="FFR765" s="1207"/>
      <c r="FFS765" s="1207"/>
      <c r="FFT765" s="1207"/>
      <c r="FFU765" s="1207"/>
      <c r="FFV765" s="1207"/>
      <c r="FFW765" s="1207"/>
      <c r="FFX765" s="1207"/>
      <c r="FFY765" s="1207"/>
      <c r="FFZ765" s="1207"/>
      <c r="FGA765" s="1207"/>
      <c r="FGB765" s="1207"/>
      <c r="FGC765" s="1207"/>
      <c r="FGD765" s="1207"/>
      <c r="FGE765" s="1207"/>
      <c r="FGF765" s="1207"/>
      <c r="FGG765" s="1207"/>
      <c r="FGH765" s="1207"/>
      <c r="FGI765" s="1207"/>
      <c r="FGJ765" s="1207"/>
      <c r="FGK765" s="1207"/>
      <c r="FGL765" s="1207"/>
      <c r="FGM765" s="1207"/>
      <c r="FGN765" s="1207"/>
      <c r="FGO765" s="1207"/>
      <c r="FGP765" s="1207"/>
      <c r="FGQ765" s="1207"/>
      <c r="FGR765" s="1207"/>
      <c r="FGS765" s="1207"/>
      <c r="FGT765" s="1207"/>
      <c r="FGU765" s="1207"/>
      <c r="FGV765" s="1207"/>
      <c r="FGW765" s="1207"/>
      <c r="FGX765" s="1207"/>
      <c r="FGY765" s="1207"/>
      <c r="FGZ765" s="1207"/>
      <c r="FHA765" s="1207"/>
      <c r="FHB765" s="1207"/>
      <c r="FHC765" s="1207"/>
      <c r="FHD765" s="1207"/>
      <c r="FHE765" s="1207"/>
      <c r="FHF765" s="1207"/>
      <c r="FHG765" s="1207"/>
      <c r="FHH765" s="1207"/>
      <c r="FHI765" s="1207"/>
      <c r="FHJ765" s="1207"/>
      <c r="FHK765" s="1207"/>
      <c r="FHL765" s="1207"/>
      <c r="FHM765" s="1207"/>
      <c r="FHN765" s="1207"/>
      <c r="FHO765" s="1207"/>
      <c r="FHP765" s="1207"/>
      <c r="FHQ765" s="1207"/>
      <c r="FHR765" s="1207"/>
      <c r="FHS765" s="1207"/>
      <c r="FHT765" s="1207"/>
      <c r="FHU765" s="1207"/>
      <c r="FHV765" s="1207"/>
      <c r="FHW765" s="1207"/>
      <c r="FHX765" s="1207"/>
      <c r="FHY765" s="1207"/>
      <c r="FHZ765" s="1207"/>
      <c r="FIA765" s="1207"/>
      <c r="FIB765" s="1207"/>
      <c r="FIC765" s="1207"/>
      <c r="FID765" s="1207"/>
      <c r="FIE765" s="1207"/>
      <c r="FIF765" s="1207"/>
      <c r="FIG765" s="1207"/>
      <c r="FIH765" s="1207"/>
      <c r="FII765" s="1207"/>
      <c r="FIJ765" s="1207"/>
      <c r="FIK765" s="1207"/>
      <c r="FIL765" s="1207"/>
      <c r="FIM765" s="1207"/>
      <c r="FIN765" s="1207"/>
      <c r="FIO765" s="1207"/>
      <c r="FIP765" s="1207"/>
      <c r="FIQ765" s="1207"/>
      <c r="FIR765" s="1207"/>
      <c r="FIS765" s="1207"/>
      <c r="FIT765" s="1207"/>
      <c r="FIU765" s="1207"/>
      <c r="FIV765" s="1207"/>
      <c r="FIW765" s="1207"/>
      <c r="FIX765" s="1207"/>
      <c r="FIY765" s="1207"/>
      <c r="FIZ765" s="1207"/>
      <c r="FJA765" s="1207"/>
      <c r="FJB765" s="1207"/>
      <c r="FJC765" s="1207"/>
      <c r="FJD765" s="1207"/>
      <c r="FJE765" s="1207"/>
      <c r="FJF765" s="1207"/>
      <c r="FJG765" s="1207"/>
      <c r="FJH765" s="1207"/>
      <c r="FJI765" s="1207"/>
      <c r="FJJ765" s="1207"/>
      <c r="FJK765" s="1207"/>
      <c r="FJL765" s="1207"/>
      <c r="FJM765" s="1207"/>
      <c r="FJN765" s="1207"/>
      <c r="FJO765" s="1207"/>
      <c r="FJP765" s="1207"/>
      <c r="FJQ765" s="1207"/>
      <c r="FJR765" s="1207"/>
      <c r="FJS765" s="1207"/>
      <c r="FJT765" s="1207"/>
      <c r="FJU765" s="1207"/>
      <c r="FJV765" s="1207"/>
      <c r="FJW765" s="1207"/>
      <c r="FJX765" s="1207"/>
      <c r="FJY765" s="1207"/>
      <c r="FJZ765" s="1207"/>
      <c r="FKA765" s="1207"/>
      <c r="FKB765" s="1207"/>
      <c r="FKC765" s="1207"/>
      <c r="FKD765" s="1207"/>
      <c r="FKE765" s="1207"/>
      <c r="FKF765" s="1207"/>
      <c r="FKG765" s="1207"/>
      <c r="FKH765" s="1207"/>
      <c r="FKI765" s="1207"/>
      <c r="FKJ765" s="1207"/>
      <c r="FKK765" s="1207"/>
      <c r="FKL765" s="1207"/>
      <c r="FKM765" s="1207"/>
      <c r="FKN765" s="1207"/>
      <c r="FKO765" s="1207"/>
      <c r="FKP765" s="1207"/>
      <c r="FKQ765" s="1207"/>
      <c r="FKR765" s="1207"/>
      <c r="FKS765" s="1207"/>
      <c r="FKT765" s="1207"/>
      <c r="FKU765" s="1207"/>
      <c r="FKV765" s="1207"/>
      <c r="FKW765" s="1207"/>
      <c r="FKX765" s="1207"/>
      <c r="FKY765" s="1207"/>
      <c r="FKZ765" s="1207"/>
      <c r="FLA765" s="1207"/>
      <c r="FLB765" s="1207"/>
      <c r="FLC765" s="1207"/>
      <c r="FLD765" s="1207"/>
      <c r="FLE765" s="1207"/>
      <c r="FLF765" s="1207"/>
      <c r="FLG765" s="1207"/>
      <c r="FLH765" s="1207"/>
      <c r="FLI765" s="1207"/>
      <c r="FLJ765" s="1207"/>
      <c r="FLK765" s="1207"/>
      <c r="FLL765" s="1207"/>
      <c r="FLM765" s="1207"/>
      <c r="FLN765" s="1207"/>
      <c r="FLO765" s="1207"/>
      <c r="FLP765" s="1207"/>
      <c r="FLQ765" s="1207"/>
      <c r="FLR765" s="1207"/>
      <c r="FLS765" s="1207"/>
      <c r="FLT765" s="1207"/>
      <c r="FLU765" s="1207"/>
      <c r="FLV765" s="1207"/>
      <c r="FLW765" s="1207"/>
      <c r="FLX765" s="1207"/>
      <c r="FLY765" s="1207"/>
      <c r="FLZ765" s="1207"/>
      <c r="FMA765" s="1207"/>
      <c r="FMB765" s="1207"/>
      <c r="FMC765" s="1207"/>
      <c r="FMD765" s="1207"/>
      <c r="FME765" s="1207"/>
      <c r="FMF765" s="1207"/>
      <c r="FMG765" s="1207"/>
      <c r="FMH765" s="1207"/>
      <c r="FMI765" s="1207"/>
      <c r="FMJ765" s="1207"/>
      <c r="FMK765" s="1207"/>
      <c r="FML765" s="1207"/>
      <c r="FMM765" s="1207"/>
      <c r="FMN765" s="1207"/>
      <c r="FMO765" s="1207"/>
      <c r="FMP765" s="1207"/>
      <c r="FMQ765" s="1207"/>
      <c r="FMR765" s="1207"/>
      <c r="FMS765" s="1207"/>
      <c r="FMT765" s="1207"/>
      <c r="FMU765" s="1207"/>
      <c r="FMV765" s="1207"/>
      <c r="FMW765" s="1207"/>
      <c r="FMX765" s="1207"/>
      <c r="FMY765" s="1207"/>
      <c r="FMZ765" s="1207"/>
      <c r="FNA765" s="1207"/>
      <c r="FNB765" s="1207"/>
      <c r="FNC765" s="1207"/>
      <c r="FND765" s="1207"/>
      <c r="FNE765" s="1207"/>
      <c r="FNF765" s="1207"/>
      <c r="FNG765" s="1207"/>
      <c r="FNH765" s="1207"/>
      <c r="FNI765" s="1207"/>
      <c r="FNJ765" s="1207"/>
      <c r="FNK765" s="1207"/>
      <c r="FNL765" s="1207"/>
      <c r="FNM765" s="1207"/>
      <c r="FNN765" s="1207"/>
      <c r="FNO765" s="1207"/>
      <c r="FNP765" s="1207"/>
      <c r="FNQ765" s="1207"/>
      <c r="FNR765" s="1207"/>
      <c r="FNS765" s="1207"/>
      <c r="FNT765" s="1207"/>
      <c r="FNU765" s="1207"/>
      <c r="FNV765" s="1207"/>
      <c r="FNW765" s="1207"/>
      <c r="FNX765" s="1207"/>
      <c r="FNY765" s="1207"/>
      <c r="FNZ765" s="1207"/>
      <c r="FOA765" s="1207"/>
      <c r="FOB765" s="1207"/>
      <c r="FOC765" s="1207"/>
      <c r="FOD765" s="1207"/>
      <c r="FOE765" s="1207"/>
      <c r="FOF765" s="1207"/>
      <c r="FOG765" s="1207"/>
      <c r="FOH765" s="1207"/>
      <c r="FOI765" s="1207"/>
      <c r="FOJ765" s="1207"/>
      <c r="FOK765" s="1207"/>
      <c r="FOL765" s="1207"/>
      <c r="FOM765" s="1207"/>
      <c r="FON765" s="1207"/>
      <c r="FOO765" s="1207"/>
      <c r="FOP765" s="1207"/>
      <c r="FOQ765" s="1207"/>
      <c r="FOR765" s="1207"/>
      <c r="FOS765" s="1207"/>
      <c r="FOT765" s="1207"/>
      <c r="FOU765" s="1207"/>
      <c r="FOV765" s="1207"/>
      <c r="FOW765" s="1207"/>
      <c r="FOX765" s="1207"/>
      <c r="FOY765" s="1207"/>
      <c r="FOZ765" s="1207"/>
      <c r="FPA765" s="1207"/>
      <c r="FPB765" s="1207"/>
      <c r="FPC765" s="1207"/>
      <c r="FPD765" s="1207"/>
      <c r="FPE765" s="1207"/>
      <c r="FPF765" s="1207"/>
      <c r="FPG765" s="1207"/>
      <c r="FPH765" s="1207"/>
      <c r="FPI765" s="1207"/>
      <c r="FPJ765" s="1207"/>
      <c r="FPK765" s="1207"/>
      <c r="FPL765" s="1207"/>
      <c r="FPM765" s="1207"/>
      <c r="FPN765" s="1207"/>
      <c r="FPO765" s="1207"/>
      <c r="FPP765" s="1207"/>
      <c r="FPQ765" s="1207"/>
      <c r="FPR765" s="1207"/>
      <c r="FPS765" s="1207"/>
      <c r="FPT765" s="1207"/>
      <c r="FPU765" s="1207"/>
      <c r="FPV765" s="1207"/>
      <c r="FPW765" s="1207"/>
      <c r="FPX765" s="1207"/>
      <c r="FPY765" s="1207"/>
      <c r="FPZ765" s="1207"/>
      <c r="FQA765" s="1207"/>
      <c r="FQB765" s="1207"/>
      <c r="FQC765" s="1207"/>
      <c r="FQD765" s="1207"/>
      <c r="FQE765" s="1207"/>
      <c r="FQF765" s="1207"/>
      <c r="FQG765" s="1207"/>
      <c r="FQH765" s="1207"/>
      <c r="FQI765" s="1207"/>
      <c r="FQJ765" s="1207"/>
      <c r="FQK765" s="1207"/>
      <c r="FQL765" s="1207"/>
      <c r="FQM765" s="1207"/>
      <c r="FQN765" s="1207"/>
      <c r="FQO765" s="1207"/>
      <c r="FQP765" s="1207"/>
      <c r="FQQ765" s="1207"/>
      <c r="FQR765" s="1207"/>
      <c r="FQS765" s="1207"/>
      <c r="FQT765" s="1207"/>
      <c r="FQU765" s="1207"/>
      <c r="FQV765" s="1207"/>
      <c r="FQW765" s="1207"/>
      <c r="FQX765" s="1207"/>
      <c r="FQY765" s="1207"/>
      <c r="FQZ765" s="1207"/>
      <c r="FRA765" s="1207"/>
      <c r="FRB765" s="1207"/>
      <c r="FRC765" s="1207"/>
      <c r="FRD765" s="1207"/>
      <c r="FRE765" s="1207"/>
      <c r="FRF765" s="1207"/>
      <c r="FRG765" s="1207"/>
      <c r="FRH765" s="1207"/>
      <c r="FRI765" s="1207"/>
      <c r="FRJ765" s="1207"/>
      <c r="FRK765" s="1207"/>
      <c r="FRL765" s="1207"/>
      <c r="FRM765" s="1207"/>
      <c r="FRN765" s="1207"/>
      <c r="FRO765" s="1207"/>
      <c r="FRP765" s="1207"/>
      <c r="FRQ765" s="1207"/>
      <c r="FRR765" s="1207"/>
      <c r="FRS765" s="1207"/>
      <c r="FRT765" s="1207"/>
      <c r="FRU765" s="1207"/>
      <c r="FRV765" s="1207"/>
      <c r="FRW765" s="1207"/>
      <c r="FRX765" s="1207"/>
      <c r="FRY765" s="1207"/>
      <c r="FRZ765" s="1207"/>
      <c r="FSA765" s="1207"/>
      <c r="FSB765" s="1207"/>
      <c r="FSC765" s="1207"/>
      <c r="FSD765" s="1207"/>
      <c r="FSE765" s="1207"/>
      <c r="FSF765" s="1207"/>
      <c r="FSG765" s="1207"/>
      <c r="FSH765" s="1207"/>
      <c r="FSI765" s="1207"/>
      <c r="FSJ765" s="1207"/>
      <c r="FSK765" s="1207"/>
      <c r="FSL765" s="1207"/>
      <c r="FSM765" s="1207"/>
      <c r="FSN765" s="1207"/>
      <c r="FSO765" s="1207"/>
      <c r="FSP765" s="1207"/>
      <c r="FSQ765" s="1207"/>
      <c r="FSR765" s="1207"/>
      <c r="FSS765" s="1207"/>
      <c r="FST765" s="1207"/>
      <c r="FSU765" s="1207"/>
      <c r="FSV765" s="1207"/>
      <c r="FSW765" s="1207"/>
      <c r="FSX765" s="1207"/>
      <c r="FSY765" s="1207"/>
      <c r="FSZ765" s="1207"/>
      <c r="FTA765" s="1207"/>
      <c r="FTB765" s="1207"/>
      <c r="FTC765" s="1207"/>
      <c r="FTD765" s="1207"/>
      <c r="FTE765" s="1207"/>
      <c r="FTF765" s="1207"/>
      <c r="FTG765" s="1207"/>
      <c r="FTH765" s="1207"/>
      <c r="FTI765" s="1207"/>
      <c r="FTJ765" s="1207"/>
      <c r="FTK765" s="1207"/>
      <c r="FTL765" s="1207"/>
      <c r="FTM765" s="1207"/>
      <c r="FTN765" s="1207"/>
      <c r="FTO765" s="1207"/>
      <c r="FTP765" s="1207"/>
      <c r="FTQ765" s="1207"/>
      <c r="FTR765" s="1207"/>
      <c r="FTS765" s="1207"/>
      <c r="FTT765" s="1207"/>
      <c r="FTU765" s="1207"/>
      <c r="FTV765" s="1207"/>
      <c r="FTW765" s="1207"/>
      <c r="FTX765" s="1207"/>
      <c r="FTY765" s="1207"/>
      <c r="FTZ765" s="1207"/>
      <c r="FUA765" s="1207"/>
      <c r="FUB765" s="1207"/>
      <c r="FUC765" s="1207"/>
      <c r="FUD765" s="1207"/>
      <c r="FUE765" s="1207"/>
      <c r="FUF765" s="1207"/>
      <c r="FUG765" s="1207"/>
      <c r="FUH765" s="1207"/>
      <c r="FUI765" s="1207"/>
      <c r="FUJ765" s="1207"/>
      <c r="FUK765" s="1207"/>
      <c r="FUL765" s="1207"/>
      <c r="FUM765" s="1207"/>
      <c r="FUN765" s="1207"/>
      <c r="FUO765" s="1207"/>
      <c r="FUP765" s="1207"/>
      <c r="FUQ765" s="1207"/>
      <c r="FUR765" s="1207"/>
      <c r="FUS765" s="1207"/>
      <c r="FUT765" s="1207"/>
      <c r="FUU765" s="1207"/>
      <c r="FUV765" s="1207"/>
      <c r="FUW765" s="1207"/>
      <c r="FUX765" s="1207"/>
      <c r="FUY765" s="1207"/>
      <c r="FUZ765" s="1207"/>
      <c r="FVA765" s="1207"/>
      <c r="FVB765" s="1207"/>
      <c r="FVC765" s="1207"/>
      <c r="FVD765" s="1207"/>
      <c r="FVE765" s="1207"/>
      <c r="FVF765" s="1207"/>
      <c r="FVG765" s="1207"/>
      <c r="FVH765" s="1207"/>
      <c r="FVI765" s="1207"/>
      <c r="FVJ765" s="1207"/>
      <c r="FVK765" s="1207"/>
      <c r="FVL765" s="1207"/>
      <c r="FVM765" s="1207"/>
      <c r="FVN765" s="1207"/>
      <c r="FVO765" s="1207"/>
      <c r="FVP765" s="1207"/>
      <c r="FVQ765" s="1207"/>
      <c r="FVR765" s="1207"/>
      <c r="FVS765" s="1207"/>
      <c r="FVT765" s="1207"/>
      <c r="FVU765" s="1207"/>
      <c r="FVV765" s="1207"/>
      <c r="FVW765" s="1207"/>
      <c r="FVX765" s="1207"/>
      <c r="FVY765" s="1207"/>
      <c r="FVZ765" s="1207"/>
      <c r="FWA765" s="1207"/>
      <c r="FWB765" s="1207"/>
      <c r="FWC765" s="1207"/>
      <c r="FWD765" s="1207"/>
      <c r="FWE765" s="1207"/>
      <c r="FWF765" s="1207"/>
      <c r="FWG765" s="1207"/>
      <c r="FWH765" s="1207"/>
      <c r="FWI765" s="1207"/>
      <c r="FWJ765" s="1207"/>
      <c r="FWK765" s="1207"/>
      <c r="FWL765" s="1207"/>
      <c r="FWM765" s="1207"/>
      <c r="FWN765" s="1207"/>
      <c r="FWO765" s="1207"/>
      <c r="FWP765" s="1207"/>
      <c r="FWQ765" s="1207"/>
      <c r="FWR765" s="1207"/>
      <c r="FWS765" s="1207"/>
      <c r="FWT765" s="1207"/>
      <c r="FWU765" s="1207"/>
      <c r="FWV765" s="1207"/>
      <c r="FWW765" s="1207"/>
      <c r="FWX765" s="1207"/>
      <c r="FWY765" s="1207"/>
      <c r="FWZ765" s="1207"/>
      <c r="FXA765" s="1207"/>
      <c r="FXB765" s="1207"/>
      <c r="FXC765" s="1207"/>
      <c r="FXD765" s="1207"/>
      <c r="FXE765" s="1207"/>
      <c r="FXF765" s="1207"/>
      <c r="FXG765" s="1207"/>
      <c r="FXH765" s="1207"/>
      <c r="FXI765" s="1207"/>
      <c r="FXJ765" s="1207"/>
      <c r="FXK765" s="1207"/>
      <c r="FXL765" s="1207"/>
      <c r="FXM765" s="1207"/>
      <c r="FXN765" s="1207"/>
      <c r="FXO765" s="1207"/>
      <c r="FXP765" s="1207"/>
      <c r="FXQ765" s="1207"/>
      <c r="FXR765" s="1207"/>
      <c r="FXS765" s="1207"/>
      <c r="FXT765" s="1207"/>
      <c r="FXU765" s="1207"/>
      <c r="FXV765" s="1207"/>
      <c r="FXW765" s="1207"/>
      <c r="FXX765" s="1207"/>
      <c r="FXY765" s="1207"/>
      <c r="FXZ765" s="1207"/>
      <c r="FYA765" s="1207"/>
      <c r="FYB765" s="1207"/>
      <c r="FYC765" s="1207"/>
      <c r="FYD765" s="1207"/>
      <c r="FYE765" s="1207"/>
      <c r="FYF765" s="1207"/>
      <c r="FYG765" s="1207"/>
      <c r="FYH765" s="1207"/>
      <c r="FYI765" s="1207"/>
      <c r="FYJ765" s="1207"/>
      <c r="FYK765" s="1207"/>
      <c r="FYL765" s="1207"/>
      <c r="FYM765" s="1207"/>
      <c r="FYN765" s="1207"/>
      <c r="FYO765" s="1207"/>
      <c r="FYP765" s="1207"/>
      <c r="FYQ765" s="1207"/>
      <c r="FYR765" s="1207"/>
      <c r="FYS765" s="1207"/>
      <c r="FYT765" s="1207"/>
      <c r="FYU765" s="1207"/>
      <c r="FYV765" s="1207"/>
      <c r="FYW765" s="1207"/>
      <c r="FYX765" s="1207"/>
      <c r="FYY765" s="1207"/>
      <c r="FYZ765" s="1207"/>
      <c r="FZA765" s="1207"/>
      <c r="FZB765" s="1207"/>
      <c r="FZC765" s="1207"/>
      <c r="FZD765" s="1207"/>
      <c r="FZE765" s="1207"/>
      <c r="FZF765" s="1207"/>
      <c r="FZG765" s="1207"/>
      <c r="FZH765" s="1207"/>
      <c r="FZI765" s="1207"/>
      <c r="FZJ765" s="1207"/>
      <c r="FZK765" s="1207"/>
      <c r="FZL765" s="1207"/>
      <c r="FZM765" s="1207"/>
      <c r="FZN765" s="1207"/>
      <c r="FZO765" s="1207"/>
      <c r="FZP765" s="1207"/>
      <c r="FZQ765" s="1207"/>
      <c r="FZR765" s="1207"/>
      <c r="FZS765" s="1207"/>
      <c r="FZT765" s="1207"/>
      <c r="FZU765" s="1207"/>
      <c r="FZV765" s="1207"/>
      <c r="FZW765" s="1207"/>
      <c r="FZX765" s="1207"/>
      <c r="FZY765" s="1207"/>
      <c r="FZZ765" s="1207"/>
      <c r="GAA765" s="1207"/>
      <c r="GAB765" s="1207"/>
      <c r="GAC765" s="1207"/>
      <c r="GAD765" s="1207"/>
      <c r="GAE765" s="1207"/>
      <c r="GAF765" s="1207"/>
      <c r="GAG765" s="1207"/>
      <c r="GAH765" s="1207"/>
      <c r="GAI765" s="1207"/>
      <c r="GAJ765" s="1207"/>
      <c r="GAK765" s="1207"/>
      <c r="GAL765" s="1207"/>
      <c r="GAM765" s="1207"/>
      <c r="GAN765" s="1207"/>
      <c r="GAO765" s="1207"/>
      <c r="GAP765" s="1207"/>
      <c r="GAQ765" s="1207"/>
      <c r="GAR765" s="1207"/>
      <c r="GAS765" s="1207"/>
      <c r="GAT765" s="1207"/>
      <c r="GAU765" s="1207"/>
      <c r="GAV765" s="1207"/>
      <c r="GAW765" s="1207"/>
      <c r="GAX765" s="1207"/>
      <c r="GAY765" s="1207"/>
      <c r="GAZ765" s="1207"/>
      <c r="GBA765" s="1207"/>
      <c r="GBB765" s="1207"/>
      <c r="GBC765" s="1207"/>
      <c r="GBD765" s="1207"/>
      <c r="GBE765" s="1207"/>
      <c r="GBF765" s="1207"/>
      <c r="GBG765" s="1207"/>
      <c r="GBH765" s="1207"/>
      <c r="GBI765" s="1207"/>
      <c r="GBJ765" s="1207"/>
      <c r="GBK765" s="1207"/>
      <c r="GBL765" s="1207"/>
      <c r="GBM765" s="1207"/>
      <c r="GBN765" s="1207"/>
      <c r="GBO765" s="1207"/>
      <c r="GBP765" s="1207"/>
      <c r="GBQ765" s="1207"/>
      <c r="GBR765" s="1207"/>
      <c r="GBS765" s="1207"/>
      <c r="GBT765" s="1207"/>
      <c r="GBU765" s="1207"/>
      <c r="GBV765" s="1207"/>
      <c r="GBW765" s="1207"/>
      <c r="GBX765" s="1207"/>
      <c r="GBY765" s="1207"/>
      <c r="GBZ765" s="1207"/>
      <c r="GCA765" s="1207"/>
      <c r="GCB765" s="1207"/>
      <c r="GCC765" s="1207"/>
      <c r="GCD765" s="1207"/>
      <c r="GCE765" s="1207"/>
      <c r="GCF765" s="1207"/>
      <c r="GCG765" s="1207"/>
      <c r="GCH765" s="1207"/>
      <c r="GCI765" s="1207"/>
      <c r="GCJ765" s="1207"/>
      <c r="GCK765" s="1207"/>
      <c r="GCL765" s="1207"/>
      <c r="GCM765" s="1207"/>
      <c r="GCN765" s="1207"/>
      <c r="GCO765" s="1207"/>
      <c r="GCP765" s="1207"/>
      <c r="GCQ765" s="1207"/>
      <c r="GCR765" s="1207"/>
      <c r="GCS765" s="1207"/>
      <c r="GCT765" s="1207"/>
      <c r="GCU765" s="1207"/>
      <c r="GCV765" s="1207"/>
      <c r="GCW765" s="1207"/>
      <c r="GCX765" s="1207"/>
      <c r="GCY765" s="1207"/>
      <c r="GCZ765" s="1207"/>
      <c r="GDA765" s="1207"/>
      <c r="GDB765" s="1207"/>
      <c r="GDC765" s="1207"/>
      <c r="GDD765" s="1207"/>
      <c r="GDE765" s="1207"/>
      <c r="GDF765" s="1207"/>
      <c r="GDG765" s="1207"/>
      <c r="GDH765" s="1207"/>
      <c r="GDI765" s="1207"/>
      <c r="GDJ765" s="1207"/>
      <c r="GDK765" s="1207"/>
      <c r="GDL765" s="1207"/>
      <c r="GDM765" s="1207"/>
      <c r="GDN765" s="1207"/>
      <c r="GDO765" s="1207"/>
      <c r="GDP765" s="1207"/>
      <c r="GDQ765" s="1207"/>
      <c r="GDR765" s="1207"/>
      <c r="GDS765" s="1207"/>
      <c r="GDT765" s="1207"/>
      <c r="GDU765" s="1207"/>
      <c r="GDV765" s="1207"/>
      <c r="GDW765" s="1207"/>
      <c r="GDX765" s="1207"/>
      <c r="GDY765" s="1207"/>
      <c r="GDZ765" s="1207"/>
      <c r="GEA765" s="1207"/>
      <c r="GEB765" s="1207"/>
      <c r="GEC765" s="1207"/>
      <c r="GED765" s="1207"/>
      <c r="GEE765" s="1207"/>
      <c r="GEF765" s="1207"/>
      <c r="GEG765" s="1207"/>
      <c r="GEH765" s="1207"/>
      <c r="GEI765" s="1207"/>
      <c r="GEJ765" s="1207"/>
      <c r="GEK765" s="1207"/>
      <c r="GEL765" s="1207"/>
      <c r="GEM765" s="1207"/>
      <c r="GEN765" s="1207"/>
      <c r="GEO765" s="1207"/>
      <c r="GEP765" s="1207"/>
      <c r="GEQ765" s="1207"/>
      <c r="GER765" s="1207"/>
      <c r="GES765" s="1207"/>
      <c r="GET765" s="1207"/>
      <c r="GEU765" s="1207"/>
      <c r="GEV765" s="1207"/>
      <c r="GEW765" s="1207"/>
      <c r="GEX765" s="1207"/>
      <c r="GEY765" s="1207"/>
      <c r="GEZ765" s="1207"/>
      <c r="GFA765" s="1207"/>
      <c r="GFB765" s="1207"/>
      <c r="GFC765" s="1207"/>
      <c r="GFD765" s="1207"/>
      <c r="GFE765" s="1207"/>
      <c r="GFF765" s="1207"/>
      <c r="GFG765" s="1207"/>
      <c r="GFH765" s="1207"/>
      <c r="GFI765" s="1207"/>
      <c r="GFJ765" s="1207"/>
      <c r="GFK765" s="1207"/>
      <c r="GFL765" s="1207"/>
      <c r="GFM765" s="1207"/>
      <c r="GFN765" s="1207"/>
      <c r="GFO765" s="1207"/>
      <c r="GFP765" s="1207"/>
      <c r="GFQ765" s="1207"/>
      <c r="GFR765" s="1207"/>
      <c r="GFS765" s="1207"/>
      <c r="GFT765" s="1207"/>
      <c r="GFU765" s="1207"/>
      <c r="GFV765" s="1207"/>
      <c r="GFW765" s="1207"/>
      <c r="GFX765" s="1207"/>
      <c r="GFY765" s="1207"/>
      <c r="GFZ765" s="1207"/>
      <c r="GGA765" s="1207"/>
      <c r="GGB765" s="1207"/>
      <c r="GGC765" s="1207"/>
      <c r="GGD765" s="1207"/>
      <c r="GGE765" s="1207"/>
      <c r="GGF765" s="1207"/>
      <c r="GGG765" s="1207"/>
      <c r="GGH765" s="1207"/>
      <c r="GGI765" s="1207"/>
      <c r="GGJ765" s="1207"/>
      <c r="GGK765" s="1207"/>
      <c r="GGL765" s="1207"/>
      <c r="GGM765" s="1207"/>
      <c r="GGN765" s="1207"/>
      <c r="GGO765" s="1207"/>
      <c r="GGP765" s="1207"/>
      <c r="GGQ765" s="1207"/>
      <c r="GGR765" s="1207"/>
      <c r="GGS765" s="1207"/>
      <c r="GGT765" s="1207"/>
      <c r="GGU765" s="1207"/>
      <c r="GGV765" s="1207"/>
      <c r="GGW765" s="1207"/>
      <c r="GGX765" s="1207"/>
      <c r="GGY765" s="1207"/>
      <c r="GGZ765" s="1207"/>
      <c r="GHA765" s="1207"/>
      <c r="GHB765" s="1207"/>
      <c r="GHC765" s="1207"/>
      <c r="GHD765" s="1207"/>
      <c r="GHE765" s="1207"/>
      <c r="GHF765" s="1207"/>
      <c r="GHG765" s="1207"/>
      <c r="GHH765" s="1207"/>
      <c r="GHI765" s="1207"/>
      <c r="GHJ765" s="1207"/>
      <c r="GHK765" s="1207"/>
      <c r="GHL765" s="1207"/>
      <c r="GHM765" s="1207"/>
      <c r="GHN765" s="1207"/>
      <c r="GHO765" s="1207"/>
      <c r="GHP765" s="1207"/>
      <c r="GHQ765" s="1207"/>
      <c r="GHR765" s="1207"/>
      <c r="GHS765" s="1207"/>
      <c r="GHT765" s="1207"/>
      <c r="GHU765" s="1207"/>
      <c r="GHV765" s="1207"/>
      <c r="GHW765" s="1207"/>
      <c r="GHX765" s="1207"/>
      <c r="GHY765" s="1207"/>
      <c r="GHZ765" s="1207"/>
      <c r="GIA765" s="1207"/>
      <c r="GIB765" s="1207"/>
      <c r="GIC765" s="1207"/>
      <c r="GID765" s="1207"/>
      <c r="GIE765" s="1207"/>
      <c r="GIF765" s="1207"/>
      <c r="GIG765" s="1207"/>
      <c r="GIH765" s="1207"/>
      <c r="GII765" s="1207"/>
      <c r="GIJ765" s="1207"/>
      <c r="GIK765" s="1207"/>
      <c r="GIL765" s="1207"/>
      <c r="GIM765" s="1207"/>
      <c r="GIN765" s="1207"/>
      <c r="GIO765" s="1207"/>
      <c r="GIP765" s="1207"/>
      <c r="GIQ765" s="1207"/>
      <c r="GIR765" s="1207"/>
      <c r="GIS765" s="1207"/>
      <c r="GIT765" s="1207"/>
      <c r="GIU765" s="1207"/>
      <c r="GIV765" s="1207"/>
      <c r="GIW765" s="1207"/>
      <c r="GIX765" s="1207"/>
      <c r="GIY765" s="1207"/>
      <c r="GIZ765" s="1207"/>
      <c r="GJA765" s="1207"/>
      <c r="GJB765" s="1207"/>
      <c r="GJC765" s="1207"/>
      <c r="GJD765" s="1207"/>
      <c r="GJE765" s="1207"/>
      <c r="GJF765" s="1207"/>
      <c r="GJG765" s="1207"/>
      <c r="GJH765" s="1207"/>
      <c r="GJI765" s="1207"/>
      <c r="GJJ765" s="1207"/>
      <c r="GJK765" s="1207"/>
      <c r="GJL765" s="1207"/>
      <c r="GJM765" s="1207"/>
      <c r="GJN765" s="1207"/>
      <c r="GJO765" s="1207"/>
      <c r="GJP765" s="1207"/>
      <c r="GJQ765" s="1207"/>
      <c r="GJR765" s="1207"/>
      <c r="GJS765" s="1207"/>
      <c r="GJT765" s="1207"/>
      <c r="GJU765" s="1207"/>
      <c r="GJV765" s="1207"/>
      <c r="GJW765" s="1207"/>
      <c r="GJX765" s="1207"/>
      <c r="GJY765" s="1207"/>
      <c r="GJZ765" s="1207"/>
      <c r="GKA765" s="1207"/>
      <c r="GKB765" s="1207"/>
      <c r="GKC765" s="1207"/>
      <c r="GKD765" s="1207"/>
      <c r="GKE765" s="1207"/>
      <c r="GKF765" s="1207"/>
      <c r="GKG765" s="1207"/>
      <c r="GKH765" s="1207"/>
      <c r="GKI765" s="1207"/>
      <c r="GKJ765" s="1207"/>
      <c r="GKK765" s="1207"/>
      <c r="GKL765" s="1207"/>
      <c r="GKM765" s="1207"/>
      <c r="GKN765" s="1207"/>
      <c r="GKO765" s="1207"/>
      <c r="GKP765" s="1207"/>
      <c r="GKQ765" s="1207"/>
      <c r="GKR765" s="1207"/>
      <c r="GKS765" s="1207"/>
      <c r="GKT765" s="1207"/>
      <c r="GKU765" s="1207"/>
      <c r="GKV765" s="1207"/>
      <c r="GKW765" s="1207"/>
      <c r="GKX765" s="1207"/>
      <c r="GKY765" s="1207"/>
      <c r="GKZ765" s="1207"/>
      <c r="GLA765" s="1207"/>
      <c r="GLB765" s="1207"/>
      <c r="GLC765" s="1207"/>
      <c r="GLD765" s="1207"/>
      <c r="GLE765" s="1207"/>
      <c r="GLF765" s="1207"/>
      <c r="GLG765" s="1207"/>
      <c r="GLH765" s="1207"/>
      <c r="GLI765" s="1207"/>
      <c r="GLJ765" s="1207"/>
      <c r="GLK765" s="1207"/>
      <c r="GLL765" s="1207"/>
      <c r="GLM765" s="1207"/>
      <c r="GLN765" s="1207"/>
      <c r="GLO765" s="1207"/>
      <c r="GLP765" s="1207"/>
      <c r="GLQ765" s="1207"/>
      <c r="GLR765" s="1207"/>
      <c r="GLS765" s="1207"/>
      <c r="GLT765" s="1207"/>
      <c r="GLU765" s="1207"/>
      <c r="GLV765" s="1207"/>
      <c r="GLW765" s="1207"/>
      <c r="GLX765" s="1207"/>
      <c r="GLY765" s="1207"/>
      <c r="GLZ765" s="1207"/>
      <c r="GMA765" s="1207"/>
      <c r="GMB765" s="1207"/>
      <c r="GMC765" s="1207"/>
      <c r="GMD765" s="1207"/>
      <c r="GME765" s="1207"/>
      <c r="GMF765" s="1207"/>
      <c r="GMG765" s="1207"/>
      <c r="GMH765" s="1207"/>
      <c r="GMI765" s="1207"/>
      <c r="GMJ765" s="1207"/>
      <c r="GMK765" s="1207"/>
      <c r="GML765" s="1207"/>
      <c r="GMM765" s="1207"/>
      <c r="GMN765" s="1207"/>
      <c r="GMO765" s="1207"/>
      <c r="GMP765" s="1207"/>
      <c r="GMQ765" s="1207"/>
      <c r="GMR765" s="1207"/>
      <c r="GMS765" s="1207"/>
      <c r="GMT765" s="1207"/>
      <c r="GMU765" s="1207"/>
      <c r="GMV765" s="1207"/>
      <c r="GMW765" s="1207"/>
      <c r="GMX765" s="1207"/>
      <c r="GMY765" s="1207"/>
      <c r="GMZ765" s="1207"/>
      <c r="GNA765" s="1207"/>
      <c r="GNB765" s="1207"/>
      <c r="GNC765" s="1207"/>
      <c r="GND765" s="1207"/>
      <c r="GNE765" s="1207"/>
      <c r="GNF765" s="1207"/>
      <c r="GNG765" s="1207"/>
      <c r="GNH765" s="1207"/>
      <c r="GNI765" s="1207"/>
      <c r="GNJ765" s="1207"/>
      <c r="GNK765" s="1207"/>
      <c r="GNL765" s="1207"/>
      <c r="GNM765" s="1207"/>
      <c r="GNN765" s="1207"/>
      <c r="GNO765" s="1207"/>
      <c r="GNP765" s="1207"/>
      <c r="GNQ765" s="1207"/>
      <c r="GNR765" s="1207"/>
      <c r="GNS765" s="1207"/>
      <c r="GNT765" s="1207"/>
      <c r="GNU765" s="1207"/>
      <c r="GNV765" s="1207"/>
      <c r="GNW765" s="1207"/>
      <c r="GNX765" s="1207"/>
      <c r="GNY765" s="1207"/>
      <c r="GNZ765" s="1207"/>
      <c r="GOA765" s="1207"/>
      <c r="GOB765" s="1207"/>
      <c r="GOC765" s="1207"/>
      <c r="GOD765" s="1207"/>
      <c r="GOE765" s="1207"/>
      <c r="GOF765" s="1207"/>
      <c r="GOG765" s="1207"/>
      <c r="GOH765" s="1207"/>
      <c r="GOI765" s="1207"/>
      <c r="GOJ765" s="1207"/>
      <c r="GOK765" s="1207"/>
      <c r="GOL765" s="1207"/>
      <c r="GOM765" s="1207"/>
      <c r="GON765" s="1207"/>
      <c r="GOO765" s="1207"/>
      <c r="GOP765" s="1207"/>
      <c r="GOQ765" s="1207"/>
      <c r="GOR765" s="1207"/>
      <c r="GOS765" s="1207"/>
      <c r="GOT765" s="1207"/>
      <c r="GOU765" s="1207"/>
      <c r="GOV765" s="1207"/>
      <c r="GOW765" s="1207"/>
      <c r="GOX765" s="1207"/>
      <c r="GOY765" s="1207"/>
      <c r="GOZ765" s="1207"/>
      <c r="GPA765" s="1207"/>
      <c r="GPB765" s="1207"/>
      <c r="GPC765" s="1207"/>
      <c r="GPD765" s="1207"/>
      <c r="GPE765" s="1207"/>
      <c r="GPF765" s="1207"/>
      <c r="GPG765" s="1207"/>
      <c r="GPH765" s="1207"/>
      <c r="GPI765" s="1207"/>
      <c r="GPJ765" s="1207"/>
      <c r="GPK765" s="1207"/>
      <c r="GPL765" s="1207"/>
      <c r="GPM765" s="1207"/>
      <c r="GPN765" s="1207"/>
      <c r="GPO765" s="1207"/>
      <c r="GPP765" s="1207"/>
      <c r="GPQ765" s="1207"/>
      <c r="GPR765" s="1207"/>
      <c r="GPS765" s="1207"/>
      <c r="GPT765" s="1207"/>
      <c r="GPU765" s="1207"/>
      <c r="GPV765" s="1207"/>
      <c r="GPW765" s="1207"/>
      <c r="GPX765" s="1207"/>
      <c r="GPY765" s="1207"/>
      <c r="GPZ765" s="1207"/>
      <c r="GQA765" s="1207"/>
      <c r="GQB765" s="1207"/>
      <c r="GQC765" s="1207"/>
      <c r="GQD765" s="1207"/>
      <c r="GQE765" s="1207"/>
      <c r="GQF765" s="1207"/>
      <c r="GQG765" s="1207"/>
      <c r="GQH765" s="1207"/>
      <c r="GQI765" s="1207"/>
      <c r="GQJ765" s="1207"/>
      <c r="GQK765" s="1207"/>
      <c r="GQL765" s="1207"/>
      <c r="GQM765" s="1207"/>
      <c r="GQN765" s="1207"/>
      <c r="GQO765" s="1207"/>
      <c r="GQP765" s="1207"/>
      <c r="GQQ765" s="1207"/>
      <c r="GQR765" s="1207"/>
      <c r="GQS765" s="1207"/>
      <c r="GQT765" s="1207"/>
      <c r="GQU765" s="1207"/>
      <c r="GQV765" s="1207"/>
      <c r="GQW765" s="1207"/>
      <c r="GQX765" s="1207"/>
      <c r="GQY765" s="1207"/>
      <c r="GQZ765" s="1207"/>
      <c r="GRA765" s="1207"/>
      <c r="GRB765" s="1207"/>
      <c r="GRC765" s="1207"/>
      <c r="GRD765" s="1207"/>
      <c r="GRE765" s="1207"/>
      <c r="GRF765" s="1207"/>
      <c r="GRG765" s="1207"/>
      <c r="GRH765" s="1207"/>
      <c r="GRI765" s="1207"/>
      <c r="GRJ765" s="1207"/>
      <c r="GRK765" s="1207"/>
      <c r="GRL765" s="1207"/>
      <c r="GRM765" s="1207"/>
      <c r="GRN765" s="1207"/>
      <c r="GRO765" s="1207"/>
      <c r="GRP765" s="1207"/>
      <c r="GRQ765" s="1207"/>
      <c r="GRR765" s="1207"/>
      <c r="GRS765" s="1207"/>
      <c r="GRT765" s="1207"/>
      <c r="GRU765" s="1207"/>
      <c r="GRV765" s="1207"/>
      <c r="GRW765" s="1207"/>
      <c r="GRX765" s="1207"/>
      <c r="GRY765" s="1207"/>
      <c r="GRZ765" s="1207"/>
      <c r="GSA765" s="1207"/>
      <c r="GSB765" s="1207"/>
      <c r="GSC765" s="1207"/>
      <c r="GSD765" s="1207"/>
      <c r="GSE765" s="1207"/>
      <c r="GSF765" s="1207"/>
      <c r="GSG765" s="1207"/>
      <c r="GSH765" s="1207"/>
      <c r="GSI765" s="1207"/>
      <c r="GSJ765" s="1207"/>
      <c r="GSK765" s="1207"/>
      <c r="GSL765" s="1207"/>
      <c r="GSM765" s="1207"/>
      <c r="GSN765" s="1207"/>
      <c r="GSO765" s="1207"/>
      <c r="GSP765" s="1207"/>
      <c r="GSQ765" s="1207"/>
      <c r="GSR765" s="1207"/>
      <c r="GSS765" s="1207"/>
      <c r="GST765" s="1207"/>
      <c r="GSU765" s="1207"/>
      <c r="GSV765" s="1207"/>
      <c r="GSW765" s="1207"/>
      <c r="GSX765" s="1207"/>
      <c r="GSY765" s="1207"/>
      <c r="GSZ765" s="1207"/>
      <c r="GTA765" s="1207"/>
      <c r="GTB765" s="1207"/>
      <c r="GTC765" s="1207"/>
      <c r="GTD765" s="1207"/>
      <c r="GTE765" s="1207"/>
      <c r="GTF765" s="1207"/>
      <c r="GTG765" s="1207"/>
      <c r="GTH765" s="1207"/>
      <c r="GTI765" s="1207"/>
      <c r="GTJ765" s="1207"/>
      <c r="GTK765" s="1207"/>
      <c r="GTL765" s="1207"/>
      <c r="GTM765" s="1207"/>
      <c r="GTN765" s="1207"/>
      <c r="GTO765" s="1207"/>
      <c r="GTP765" s="1207"/>
      <c r="GTQ765" s="1207"/>
      <c r="GTR765" s="1207"/>
      <c r="GTS765" s="1207"/>
      <c r="GTT765" s="1207"/>
      <c r="GTU765" s="1207"/>
      <c r="GTV765" s="1207"/>
      <c r="GTW765" s="1207"/>
      <c r="GTX765" s="1207"/>
      <c r="GTY765" s="1207"/>
      <c r="GTZ765" s="1207"/>
      <c r="GUA765" s="1207"/>
      <c r="GUB765" s="1207"/>
      <c r="GUC765" s="1207"/>
      <c r="GUD765" s="1207"/>
      <c r="GUE765" s="1207"/>
      <c r="GUF765" s="1207"/>
      <c r="GUG765" s="1207"/>
      <c r="GUH765" s="1207"/>
      <c r="GUI765" s="1207"/>
      <c r="GUJ765" s="1207"/>
      <c r="GUK765" s="1207"/>
      <c r="GUL765" s="1207"/>
      <c r="GUM765" s="1207"/>
      <c r="GUN765" s="1207"/>
      <c r="GUO765" s="1207"/>
      <c r="GUP765" s="1207"/>
      <c r="GUQ765" s="1207"/>
      <c r="GUR765" s="1207"/>
      <c r="GUS765" s="1207"/>
      <c r="GUT765" s="1207"/>
      <c r="GUU765" s="1207"/>
      <c r="GUV765" s="1207"/>
      <c r="GUW765" s="1207"/>
      <c r="GUX765" s="1207"/>
      <c r="GUY765" s="1207"/>
      <c r="GUZ765" s="1207"/>
      <c r="GVA765" s="1207"/>
      <c r="GVB765" s="1207"/>
      <c r="GVC765" s="1207"/>
      <c r="GVD765" s="1207"/>
      <c r="GVE765" s="1207"/>
      <c r="GVF765" s="1207"/>
      <c r="GVG765" s="1207"/>
      <c r="GVH765" s="1207"/>
      <c r="GVI765" s="1207"/>
      <c r="GVJ765" s="1207"/>
      <c r="GVK765" s="1207"/>
      <c r="GVL765" s="1207"/>
      <c r="GVM765" s="1207"/>
      <c r="GVN765" s="1207"/>
      <c r="GVO765" s="1207"/>
      <c r="GVP765" s="1207"/>
      <c r="GVQ765" s="1207"/>
      <c r="GVR765" s="1207"/>
      <c r="GVS765" s="1207"/>
      <c r="GVT765" s="1207"/>
      <c r="GVU765" s="1207"/>
      <c r="GVV765" s="1207"/>
      <c r="GVW765" s="1207"/>
      <c r="GVX765" s="1207"/>
      <c r="GVY765" s="1207"/>
      <c r="GVZ765" s="1207"/>
      <c r="GWA765" s="1207"/>
      <c r="GWB765" s="1207"/>
      <c r="GWC765" s="1207"/>
      <c r="GWD765" s="1207"/>
      <c r="GWE765" s="1207"/>
      <c r="GWF765" s="1207"/>
      <c r="GWG765" s="1207"/>
      <c r="GWH765" s="1207"/>
      <c r="GWI765" s="1207"/>
      <c r="GWJ765" s="1207"/>
      <c r="GWK765" s="1207"/>
      <c r="GWL765" s="1207"/>
      <c r="GWM765" s="1207"/>
      <c r="GWN765" s="1207"/>
      <c r="GWO765" s="1207"/>
      <c r="GWP765" s="1207"/>
      <c r="GWQ765" s="1207"/>
      <c r="GWR765" s="1207"/>
      <c r="GWS765" s="1207"/>
      <c r="GWT765" s="1207"/>
      <c r="GWU765" s="1207"/>
      <c r="GWV765" s="1207"/>
      <c r="GWW765" s="1207"/>
      <c r="GWX765" s="1207"/>
      <c r="GWY765" s="1207"/>
      <c r="GWZ765" s="1207"/>
      <c r="GXA765" s="1207"/>
      <c r="GXB765" s="1207"/>
      <c r="GXC765" s="1207"/>
      <c r="GXD765" s="1207"/>
      <c r="GXE765" s="1207"/>
      <c r="GXF765" s="1207"/>
      <c r="GXG765" s="1207"/>
      <c r="GXH765" s="1207"/>
      <c r="GXI765" s="1207"/>
      <c r="GXJ765" s="1207"/>
      <c r="GXK765" s="1207"/>
      <c r="GXL765" s="1207"/>
      <c r="GXM765" s="1207"/>
      <c r="GXN765" s="1207"/>
      <c r="GXO765" s="1207"/>
      <c r="GXP765" s="1207"/>
      <c r="GXQ765" s="1207"/>
      <c r="GXR765" s="1207"/>
      <c r="GXS765" s="1207"/>
      <c r="GXT765" s="1207"/>
      <c r="GXU765" s="1207"/>
      <c r="GXV765" s="1207"/>
      <c r="GXW765" s="1207"/>
      <c r="GXX765" s="1207"/>
      <c r="GXY765" s="1207"/>
      <c r="GXZ765" s="1207"/>
      <c r="GYA765" s="1207"/>
      <c r="GYB765" s="1207"/>
      <c r="GYC765" s="1207"/>
      <c r="GYD765" s="1207"/>
      <c r="GYE765" s="1207"/>
      <c r="GYF765" s="1207"/>
      <c r="GYG765" s="1207"/>
      <c r="GYH765" s="1207"/>
      <c r="GYI765" s="1207"/>
      <c r="GYJ765" s="1207"/>
      <c r="GYK765" s="1207"/>
      <c r="GYL765" s="1207"/>
      <c r="GYM765" s="1207"/>
      <c r="GYN765" s="1207"/>
      <c r="GYO765" s="1207"/>
      <c r="GYP765" s="1207"/>
      <c r="GYQ765" s="1207"/>
      <c r="GYR765" s="1207"/>
      <c r="GYS765" s="1207"/>
      <c r="GYT765" s="1207"/>
      <c r="GYU765" s="1207"/>
      <c r="GYV765" s="1207"/>
      <c r="GYW765" s="1207"/>
      <c r="GYX765" s="1207"/>
      <c r="GYY765" s="1207"/>
      <c r="GYZ765" s="1207"/>
      <c r="GZA765" s="1207"/>
      <c r="GZB765" s="1207"/>
      <c r="GZC765" s="1207"/>
      <c r="GZD765" s="1207"/>
      <c r="GZE765" s="1207"/>
      <c r="GZF765" s="1207"/>
      <c r="GZG765" s="1207"/>
      <c r="GZH765" s="1207"/>
      <c r="GZI765" s="1207"/>
      <c r="GZJ765" s="1207"/>
      <c r="GZK765" s="1207"/>
      <c r="GZL765" s="1207"/>
      <c r="GZM765" s="1207"/>
      <c r="GZN765" s="1207"/>
      <c r="GZO765" s="1207"/>
      <c r="GZP765" s="1207"/>
      <c r="GZQ765" s="1207"/>
      <c r="GZR765" s="1207"/>
      <c r="GZS765" s="1207"/>
      <c r="GZT765" s="1207"/>
      <c r="GZU765" s="1207"/>
      <c r="GZV765" s="1207"/>
      <c r="GZW765" s="1207"/>
      <c r="GZX765" s="1207"/>
      <c r="GZY765" s="1207"/>
      <c r="GZZ765" s="1207"/>
      <c r="HAA765" s="1207"/>
      <c r="HAB765" s="1207"/>
      <c r="HAC765" s="1207"/>
      <c r="HAD765" s="1207"/>
      <c r="HAE765" s="1207"/>
      <c r="HAF765" s="1207"/>
      <c r="HAG765" s="1207"/>
      <c r="HAH765" s="1207"/>
      <c r="HAI765" s="1207"/>
      <c r="HAJ765" s="1207"/>
      <c r="HAK765" s="1207"/>
      <c r="HAL765" s="1207"/>
      <c r="HAM765" s="1207"/>
      <c r="HAN765" s="1207"/>
      <c r="HAO765" s="1207"/>
      <c r="HAP765" s="1207"/>
      <c r="HAQ765" s="1207"/>
      <c r="HAR765" s="1207"/>
      <c r="HAS765" s="1207"/>
      <c r="HAT765" s="1207"/>
      <c r="HAU765" s="1207"/>
      <c r="HAV765" s="1207"/>
      <c r="HAW765" s="1207"/>
      <c r="HAX765" s="1207"/>
      <c r="HAY765" s="1207"/>
      <c r="HAZ765" s="1207"/>
      <c r="HBA765" s="1207"/>
      <c r="HBB765" s="1207"/>
      <c r="HBC765" s="1207"/>
      <c r="HBD765" s="1207"/>
      <c r="HBE765" s="1207"/>
      <c r="HBF765" s="1207"/>
      <c r="HBG765" s="1207"/>
      <c r="HBH765" s="1207"/>
      <c r="HBI765" s="1207"/>
      <c r="HBJ765" s="1207"/>
      <c r="HBK765" s="1207"/>
      <c r="HBL765" s="1207"/>
      <c r="HBM765" s="1207"/>
      <c r="HBN765" s="1207"/>
      <c r="HBO765" s="1207"/>
      <c r="HBP765" s="1207"/>
      <c r="HBQ765" s="1207"/>
      <c r="HBR765" s="1207"/>
      <c r="HBS765" s="1207"/>
      <c r="HBT765" s="1207"/>
      <c r="HBU765" s="1207"/>
      <c r="HBV765" s="1207"/>
      <c r="HBW765" s="1207"/>
      <c r="HBX765" s="1207"/>
      <c r="HBY765" s="1207"/>
      <c r="HBZ765" s="1207"/>
      <c r="HCA765" s="1207"/>
      <c r="HCB765" s="1207"/>
      <c r="HCC765" s="1207"/>
      <c r="HCD765" s="1207"/>
      <c r="HCE765" s="1207"/>
      <c r="HCF765" s="1207"/>
      <c r="HCG765" s="1207"/>
      <c r="HCH765" s="1207"/>
      <c r="HCI765" s="1207"/>
      <c r="HCJ765" s="1207"/>
      <c r="HCK765" s="1207"/>
      <c r="HCL765" s="1207"/>
      <c r="HCM765" s="1207"/>
      <c r="HCN765" s="1207"/>
      <c r="HCO765" s="1207"/>
      <c r="HCP765" s="1207"/>
      <c r="HCQ765" s="1207"/>
      <c r="HCR765" s="1207"/>
      <c r="HCS765" s="1207"/>
      <c r="HCT765" s="1207"/>
      <c r="HCU765" s="1207"/>
      <c r="HCV765" s="1207"/>
      <c r="HCW765" s="1207"/>
      <c r="HCX765" s="1207"/>
      <c r="HCY765" s="1207"/>
      <c r="HCZ765" s="1207"/>
      <c r="HDA765" s="1207"/>
      <c r="HDB765" s="1207"/>
      <c r="HDC765" s="1207"/>
      <c r="HDD765" s="1207"/>
      <c r="HDE765" s="1207"/>
      <c r="HDF765" s="1207"/>
      <c r="HDG765" s="1207"/>
      <c r="HDH765" s="1207"/>
      <c r="HDI765" s="1207"/>
      <c r="HDJ765" s="1207"/>
      <c r="HDK765" s="1207"/>
      <c r="HDL765" s="1207"/>
      <c r="HDM765" s="1207"/>
      <c r="HDN765" s="1207"/>
      <c r="HDO765" s="1207"/>
      <c r="HDP765" s="1207"/>
      <c r="HDQ765" s="1207"/>
      <c r="HDR765" s="1207"/>
      <c r="HDS765" s="1207"/>
      <c r="HDT765" s="1207"/>
      <c r="HDU765" s="1207"/>
      <c r="HDV765" s="1207"/>
      <c r="HDW765" s="1207"/>
      <c r="HDX765" s="1207"/>
      <c r="HDY765" s="1207"/>
      <c r="HDZ765" s="1207"/>
      <c r="HEA765" s="1207"/>
      <c r="HEB765" s="1207"/>
      <c r="HEC765" s="1207"/>
      <c r="HED765" s="1207"/>
      <c r="HEE765" s="1207"/>
      <c r="HEF765" s="1207"/>
      <c r="HEG765" s="1207"/>
      <c r="HEH765" s="1207"/>
      <c r="HEI765" s="1207"/>
      <c r="HEJ765" s="1207"/>
      <c r="HEK765" s="1207"/>
      <c r="HEL765" s="1207"/>
      <c r="HEM765" s="1207"/>
      <c r="HEN765" s="1207"/>
      <c r="HEO765" s="1207"/>
      <c r="HEP765" s="1207"/>
      <c r="HEQ765" s="1207"/>
      <c r="HER765" s="1207"/>
      <c r="HES765" s="1207"/>
      <c r="HET765" s="1207"/>
      <c r="HEU765" s="1207"/>
      <c r="HEV765" s="1207"/>
      <c r="HEW765" s="1207"/>
      <c r="HEX765" s="1207"/>
      <c r="HEY765" s="1207"/>
      <c r="HEZ765" s="1207"/>
      <c r="HFA765" s="1207"/>
      <c r="HFB765" s="1207"/>
      <c r="HFC765" s="1207"/>
      <c r="HFD765" s="1207"/>
      <c r="HFE765" s="1207"/>
      <c r="HFF765" s="1207"/>
      <c r="HFG765" s="1207"/>
      <c r="HFH765" s="1207"/>
      <c r="HFI765" s="1207"/>
      <c r="HFJ765" s="1207"/>
      <c r="HFK765" s="1207"/>
      <c r="HFL765" s="1207"/>
      <c r="HFM765" s="1207"/>
      <c r="HFN765" s="1207"/>
      <c r="HFO765" s="1207"/>
      <c r="HFP765" s="1207"/>
      <c r="HFQ765" s="1207"/>
      <c r="HFR765" s="1207"/>
      <c r="HFS765" s="1207"/>
      <c r="HFT765" s="1207"/>
      <c r="HFU765" s="1207"/>
      <c r="HFV765" s="1207"/>
      <c r="HFW765" s="1207"/>
      <c r="HFX765" s="1207"/>
      <c r="HFY765" s="1207"/>
      <c r="HFZ765" s="1207"/>
      <c r="HGA765" s="1207"/>
      <c r="HGB765" s="1207"/>
      <c r="HGC765" s="1207"/>
      <c r="HGD765" s="1207"/>
      <c r="HGE765" s="1207"/>
      <c r="HGF765" s="1207"/>
      <c r="HGG765" s="1207"/>
      <c r="HGH765" s="1207"/>
      <c r="HGI765" s="1207"/>
      <c r="HGJ765" s="1207"/>
      <c r="HGK765" s="1207"/>
      <c r="HGL765" s="1207"/>
      <c r="HGM765" s="1207"/>
      <c r="HGN765" s="1207"/>
      <c r="HGO765" s="1207"/>
      <c r="HGP765" s="1207"/>
      <c r="HGQ765" s="1207"/>
      <c r="HGR765" s="1207"/>
      <c r="HGS765" s="1207"/>
      <c r="HGT765" s="1207"/>
      <c r="HGU765" s="1207"/>
      <c r="HGV765" s="1207"/>
      <c r="HGW765" s="1207"/>
      <c r="HGX765" s="1207"/>
      <c r="HGY765" s="1207"/>
      <c r="HGZ765" s="1207"/>
      <c r="HHA765" s="1207"/>
      <c r="HHB765" s="1207"/>
      <c r="HHC765" s="1207"/>
      <c r="HHD765" s="1207"/>
      <c r="HHE765" s="1207"/>
      <c r="HHF765" s="1207"/>
      <c r="HHG765" s="1207"/>
      <c r="HHH765" s="1207"/>
      <c r="HHI765" s="1207"/>
      <c r="HHJ765" s="1207"/>
      <c r="HHK765" s="1207"/>
      <c r="HHL765" s="1207"/>
      <c r="HHM765" s="1207"/>
      <c r="HHN765" s="1207"/>
      <c r="HHO765" s="1207"/>
      <c r="HHP765" s="1207"/>
      <c r="HHQ765" s="1207"/>
      <c r="HHR765" s="1207"/>
      <c r="HHS765" s="1207"/>
      <c r="HHT765" s="1207"/>
      <c r="HHU765" s="1207"/>
      <c r="HHV765" s="1207"/>
      <c r="HHW765" s="1207"/>
      <c r="HHX765" s="1207"/>
      <c r="HHY765" s="1207"/>
      <c r="HHZ765" s="1207"/>
      <c r="HIA765" s="1207"/>
      <c r="HIB765" s="1207"/>
      <c r="HIC765" s="1207"/>
      <c r="HID765" s="1207"/>
      <c r="HIE765" s="1207"/>
      <c r="HIF765" s="1207"/>
      <c r="HIG765" s="1207"/>
      <c r="HIH765" s="1207"/>
      <c r="HII765" s="1207"/>
      <c r="HIJ765" s="1207"/>
      <c r="HIK765" s="1207"/>
      <c r="HIL765" s="1207"/>
      <c r="HIM765" s="1207"/>
      <c r="HIN765" s="1207"/>
      <c r="HIO765" s="1207"/>
      <c r="HIP765" s="1207"/>
      <c r="HIQ765" s="1207"/>
      <c r="HIR765" s="1207"/>
      <c r="HIS765" s="1207"/>
      <c r="HIT765" s="1207"/>
      <c r="HIU765" s="1207"/>
      <c r="HIV765" s="1207"/>
      <c r="HIW765" s="1207"/>
      <c r="HIX765" s="1207"/>
      <c r="HIY765" s="1207"/>
      <c r="HIZ765" s="1207"/>
      <c r="HJA765" s="1207"/>
      <c r="HJB765" s="1207"/>
      <c r="HJC765" s="1207"/>
      <c r="HJD765" s="1207"/>
      <c r="HJE765" s="1207"/>
      <c r="HJF765" s="1207"/>
      <c r="HJG765" s="1207"/>
      <c r="HJH765" s="1207"/>
      <c r="HJI765" s="1207"/>
      <c r="HJJ765" s="1207"/>
      <c r="HJK765" s="1207"/>
      <c r="HJL765" s="1207"/>
      <c r="HJM765" s="1207"/>
      <c r="HJN765" s="1207"/>
      <c r="HJO765" s="1207"/>
      <c r="HJP765" s="1207"/>
      <c r="HJQ765" s="1207"/>
      <c r="HJR765" s="1207"/>
      <c r="HJS765" s="1207"/>
      <c r="HJT765" s="1207"/>
      <c r="HJU765" s="1207"/>
      <c r="HJV765" s="1207"/>
      <c r="HJW765" s="1207"/>
      <c r="HJX765" s="1207"/>
      <c r="HJY765" s="1207"/>
      <c r="HJZ765" s="1207"/>
      <c r="HKA765" s="1207"/>
      <c r="HKB765" s="1207"/>
      <c r="HKC765" s="1207"/>
      <c r="HKD765" s="1207"/>
      <c r="HKE765" s="1207"/>
      <c r="HKF765" s="1207"/>
      <c r="HKG765" s="1207"/>
      <c r="HKH765" s="1207"/>
      <c r="HKI765" s="1207"/>
      <c r="HKJ765" s="1207"/>
      <c r="HKK765" s="1207"/>
      <c r="HKL765" s="1207"/>
      <c r="HKM765" s="1207"/>
      <c r="HKN765" s="1207"/>
      <c r="HKO765" s="1207"/>
      <c r="HKP765" s="1207"/>
      <c r="HKQ765" s="1207"/>
      <c r="HKR765" s="1207"/>
      <c r="HKS765" s="1207"/>
      <c r="HKT765" s="1207"/>
      <c r="HKU765" s="1207"/>
      <c r="HKV765" s="1207"/>
      <c r="HKW765" s="1207"/>
      <c r="HKX765" s="1207"/>
      <c r="HKY765" s="1207"/>
      <c r="HKZ765" s="1207"/>
      <c r="HLA765" s="1207"/>
      <c r="HLB765" s="1207"/>
      <c r="HLC765" s="1207"/>
      <c r="HLD765" s="1207"/>
      <c r="HLE765" s="1207"/>
      <c r="HLF765" s="1207"/>
      <c r="HLG765" s="1207"/>
      <c r="HLH765" s="1207"/>
      <c r="HLI765" s="1207"/>
      <c r="HLJ765" s="1207"/>
      <c r="HLK765" s="1207"/>
      <c r="HLL765" s="1207"/>
      <c r="HLM765" s="1207"/>
      <c r="HLN765" s="1207"/>
      <c r="HLO765" s="1207"/>
      <c r="HLP765" s="1207"/>
      <c r="HLQ765" s="1207"/>
      <c r="HLR765" s="1207"/>
      <c r="HLS765" s="1207"/>
      <c r="HLT765" s="1207"/>
      <c r="HLU765" s="1207"/>
      <c r="HLV765" s="1207"/>
      <c r="HLW765" s="1207"/>
      <c r="HLX765" s="1207"/>
      <c r="HLY765" s="1207"/>
      <c r="HLZ765" s="1207"/>
      <c r="HMA765" s="1207"/>
      <c r="HMB765" s="1207"/>
      <c r="HMC765" s="1207"/>
      <c r="HMD765" s="1207"/>
      <c r="HME765" s="1207"/>
      <c r="HMF765" s="1207"/>
      <c r="HMG765" s="1207"/>
      <c r="HMH765" s="1207"/>
      <c r="HMI765" s="1207"/>
      <c r="HMJ765" s="1207"/>
      <c r="HMK765" s="1207"/>
      <c r="HML765" s="1207"/>
      <c r="HMM765" s="1207"/>
      <c r="HMN765" s="1207"/>
      <c r="HMO765" s="1207"/>
      <c r="HMP765" s="1207"/>
      <c r="HMQ765" s="1207"/>
      <c r="HMR765" s="1207"/>
      <c r="HMS765" s="1207"/>
      <c r="HMT765" s="1207"/>
      <c r="HMU765" s="1207"/>
      <c r="HMV765" s="1207"/>
      <c r="HMW765" s="1207"/>
      <c r="HMX765" s="1207"/>
      <c r="HMY765" s="1207"/>
      <c r="HMZ765" s="1207"/>
      <c r="HNA765" s="1207"/>
      <c r="HNB765" s="1207"/>
      <c r="HNC765" s="1207"/>
      <c r="HND765" s="1207"/>
      <c r="HNE765" s="1207"/>
      <c r="HNF765" s="1207"/>
      <c r="HNG765" s="1207"/>
      <c r="HNH765" s="1207"/>
      <c r="HNI765" s="1207"/>
      <c r="HNJ765" s="1207"/>
      <c r="HNK765" s="1207"/>
      <c r="HNL765" s="1207"/>
      <c r="HNM765" s="1207"/>
      <c r="HNN765" s="1207"/>
      <c r="HNO765" s="1207"/>
      <c r="HNP765" s="1207"/>
      <c r="HNQ765" s="1207"/>
      <c r="HNR765" s="1207"/>
      <c r="HNS765" s="1207"/>
      <c r="HNT765" s="1207"/>
      <c r="HNU765" s="1207"/>
      <c r="HNV765" s="1207"/>
      <c r="HNW765" s="1207"/>
      <c r="HNX765" s="1207"/>
      <c r="HNY765" s="1207"/>
      <c r="HNZ765" s="1207"/>
      <c r="HOA765" s="1207"/>
      <c r="HOB765" s="1207"/>
      <c r="HOC765" s="1207"/>
      <c r="HOD765" s="1207"/>
      <c r="HOE765" s="1207"/>
      <c r="HOF765" s="1207"/>
      <c r="HOG765" s="1207"/>
      <c r="HOH765" s="1207"/>
      <c r="HOI765" s="1207"/>
      <c r="HOJ765" s="1207"/>
      <c r="HOK765" s="1207"/>
      <c r="HOL765" s="1207"/>
      <c r="HOM765" s="1207"/>
      <c r="HON765" s="1207"/>
      <c r="HOO765" s="1207"/>
      <c r="HOP765" s="1207"/>
      <c r="HOQ765" s="1207"/>
      <c r="HOR765" s="1207"/>
      <c r="HOS765" s="1207"/>
      <c r="HOT765" s="1207"/>
      <c r="HOU765" s="1207"/>
      <c r="HOV765" s="1207"/>
      <c r="HOW765" s="1207"/>
      <c r="HOX765" s="1207"/>
      <c r="HOY765" s="1207"/>
      <c r="HOZ765" s="1207"/>
      <c r="HPA765" s="1207"/>
      <c r="HPB765" s="1207"/>
      <c r="HPC765" s="1207"/>
      <c r="HPD765" s="1207"/>
      <c r="HPE765" s="1207"/>
      <c r="HPF765" s="1207"/>
      <c r="HPG765" s="1207"/>
      <c r="HPH765" s="1207"/>
      <c r="HPI765" s="1207"/>
      <c r="HPJ765" s="1207"/>
      <c r="HPK765" s="1207"/>
      <c r="HPL765" s="1207"/>
      <c r="HPM765" s="1207"/>
      <c r="HPN765" s="1207"/>
      <c r="HPO765" s="1207"/>
      <c r="HPP765" s="1207"/>
      <c r="HPQ765" s="1207"/>
      <c r="HPR765" s="1207"/>
      <c r="HPS765" s="1207"/>
      <c r="HPT765" s="1207"/>
      <c r="HPU765" s="1207"/>
      <c r="HPV765" s="1207"/>
      <c r="HPW765" s="1207"/>
      <c r="HPX765" s="1207"/>
      <c r="HPY765" s="1207"/>
      <c r="HPZ765" s="1207"/>
      <c r="HQA765" s="1207"/>
      <c r="HQB765" s="1207"/>
      <c r="HQC765" s="1207"/>
      <c r="HQD765" s="1207"/>
      <c r="HQE765" s="1207"/>
      <c r="HQF765" s="1207"/>
      <c r="HQG765" s="1207"/>
      <c r="HQH765" s="1207"/>
      <c r="HQI765" s="1207"/>
      <c r="HQJ765" s="1207"/>
      <c r="HQK765" s="1207"/>
      <c r="HQL765" s="1207"/>
      <c r="HQM765" s="1207"/>
      <c r="HQN765" s="1207"/>
      <c r="HQO765" s="1207"/>
      <c r="HQP765" s="1207"/>
      <c r="HQQ765" s="1207"/>
      <c r="HQR765" s="1207"/>
      <c r="HQS765" s="1207"/>
      <c r="HQT765" s="1207"/>
      <c r="HQU765" s="1207"/>
      <c r="HQV765" s="1207"/>
      <c r="HQW765" s="1207"/>
      <c r="HQX765" s="1207"/>
      <c r="HQY765" s="1207"/>
      <c r="HQZ765" s="1207"/>
      <c r="HRA765" s="1207"/>
      <c r="HRB765" s="1207"/>
      <c r="HRC765" s="1207"/>
      <c r="HRD765" s="1207"/>
      <c r="HRE765" s="1207"/>
      <c r="HRF765" s="1207"/>
      <c r="HRG765" s="1207"/>
      <c r="HRH765" s="1207"/>
      <c r="HRI765" s="1207"/>
      <c r="HRJ765" s="1207"/>
      <c r="HRK765" s="1207"/>
      <c r="HRL765" s="1207"/>
      <c r="HRM765" s="1207"/>
      <c r="HRN765" s="1207"/>
      <c r="HRO765" s="1207"/>
      <c r="HRP765" s="1207"/>
      <c r="HRQ765" s="1207"/>
      <c r="HRR765" s="1207"/>
      <c r="HRS765" s="1207"/>
      <c r="HRT765" s="1207"/>
      <c r="HRU765" s="1207"/>
      <c r="HRV765" s="1207"/>
      <c r="HRW765" s="1207"/>
      <c r="HRX765" s="1207"/>
      <c r="HRY765" s="1207"/>
      <c r="HRZ765" s="1207"/>
      <c r="HSA765" s="1207"/>
      <c r="HSB765" s="1207"/>
      <c r="HSC765" s="1207"/>
      <c r="HSD765" s="1207"/>
      <c r="HSE765" s="1207"/>
      <c r="HSF765" s="1207"/>
      <c r="HSG765" s="1207"/>
      <c r="HSH765" s="1207"/>
      <c r="HSI765" s="1207"/>
      <c r="HSJ765" s="1207"/>
      <c r="HSK765" s="1207"/>
      <c r="HSL765" s="1207"/>
      <c r="HSM765" s="1207"/>
      <c r="HSN765" s="1207"/>
      <c r="HSO765" s="1207"/>
      <c r="HSP765" s="1207"/>
      <c r="HSQ765" s="1207"/>
      <c r="HSR765" s="1207"/>
      <c r="HSS765" s="1207"/>
      <c r="HST765" s="1207"/>
      <c r="HSU765" s="1207"/>
      <c r="HSV765" s="1207"/>
      <c r="HSW765" s="1207"/>
      <c r="HSX765" s="1207"/>
      <c r="HSY765" s="1207"/>
      <c r="HSZ765" s="1207"/>
      <c r="HTA765" s="1207"/>
      <c r="HTB765" s="1207"/>
      <c r="HTC765" s="1207"/>
      <c r="HTD765" s="1207"/>
      <c r="HTE765" s="1207"/>
      <c r="HTF765" s="1207"/>
      <c r="HTG765" s="1207"/>
      <c r="HTH765" s="1207"/>
      <c r="HTI765" s="1207"/>
      <c r="HTJ765" s="1207"/>
      <c r="HTK765" s="1207"/>
      <c r="HTL765" s="1207"/>
      <c r="HTM765" s="1207"/>
      <c r="HTN765" s="1207"/>
      <c r="HTO765" s="1207"/>
      <c r="HTP765" s="1207"/>
      <c r="HTQ765" s="1207"/>
      <c r="HTR765" s="1207"/>
      <c r="HTS765" s="1207"/>
      <c r="HTT765" s="1207"/>
      <c r="HTU765" s="1207"/>
      <c r="HTV765" s="1207"/>
      <c r="HTW765" s="1207"/>
      <c r="HTX765" s="1207"/>
      <c r="HTY765" s="1207"/>
      <c r="HTZ765" s="1207"/>
      <c r="HUA765" s="1207"/>
      <c r="HUB765" s="1207"/>
      <c r="HUC765" s="1207"/>
      <c r="HUD765" s="1207"/>
      <c r="HUE765" s="1207"/>
      <c r="HUF765" s="1207"/>
      <c r="HUG765" s="1207"/>
      <c r="HUH765" s="1207"/>
      <c r="HUI765" s="1207"/>
      <c r="HUJ765" s="1207"/>
      <c r="HUK765" s="1207"/>
      <c r="HUL765" s="1207"/>
      <c r="HUM765" s="1207"/>
      <c r="HUN765" s="1207"/>
      <c r="HUO765" s="1207"/>
      <c r="HUP765" s="1207"/>
      <c r="HUQ765" s="1207"/>
      <c r="HUR765" s="1207"/>
      <c r="HUS765" s="1207"/>
      <c r="HUT765" s="1207"/>
      <c r="HUU765" s="1207"/>
      <c r="HUV765" s="1207"/>
      <c r="HUW765" s="1207"/>
      <c r="HUX765" s="1207"/>
      <c r="HUY765" s="1207"/>
      <c r="HUZ765" s="1207"/>
      <c r="HVA765" s="1207"/>
      <c r="HVB765" s="1207"/>
      <c r="HVC765" s="1207"/>
      <c r="HVD765" s="1207"/>
      <c r="HVE765" s="1207"/>
      <c r="HVF765" s="1207"/>
      <c r="HVG765" s="1207"/>
      <c r="HVH765" s="1207"/>
      <c r="HVI765" s="1207"/>
      <c r="HVJ765" s="1207"/>
      <c r="HVK765" s="1207"/>
      <c r="HVL765" s="1207"/>
      <c r="HVM765" s="1207"/>
      <c r="HVN765" s="1207"/>
      <c r="HVO765" s="1207"/>
      <c r="HVP765" s="1207"/>
      <c r="HVQ765" s="1207"/>
      <c r="HVR765" s="1207"/>
      <c r="HVS765" s="1207"/>
      <c r="HVT765" s="1207"/>
      <c r="HVU765" s="1207"/>
      <c r="HVV765" s="1207"/>
      <c r="HVW765" s="1207"/>
      <c r="HVX765" s="1207"/>
      <c r="HVY765" s="1207"/>
      <c r="HVZ765" s="1207"/>
      <c r="HWA765" s="1207"/>
      <c r="HWB765" s="1207"/>
      <c r="HWC765" s="1207"/>
      <c r="HWD765" s="1207"/>
      <c r="HWE765" s="1207"/>
      <c r="HWF765" s="1207"/>
      <c r="HWG765" s="1207"/>
      <c r="HWH765" s="1207"/>
      <c r="HWI765" s="1207"/>
      <c r="HWJ765" s="1207"/>
      <c r="HWK765" s="1207"/>
      <c r="HWL765" s="1207"/>
      <c r="HWM765" s="1207"/>
      <c r="HWN765" s="1207"/>
      <c r="HWO765" s="1207"/>
      <c r="HWP765" s="1207"/>
      <c r="HWQ765" s="1207"/>
      <c r="HWR765" s="1207"/>
      <c r="HWS765" s="1207"/>
      <c r="HWT765" s="1207"/>
      <c r="HWU765" s="1207"/>
      <c r="HWV765" s="1207"/>
      <c r="HWW765" s="1207"/>
      <c r="HWX765" s="1207"/>
      <c r="HWY765" s="1207"/>
      <c r="HWZ765" s="1207"/>
      <c r="HXA765" s="1207"/>
      <c r="HXB765" s="1207"/>
      <c r="HXC765" s="1207"/>
      <c r="HXD765" s="1207"/>
      <c r="HXE765" s="1207"/>
      <c r="HXF765" s="1207"/>
      <c r="HXG765" s="1207"/>
      <c r="HXH765" s="1207"/>
      <c r="HXI765" s="1207"/>
      <c r="HXJ765" s="1207"/>
      <c r="HXK765" s="1207"/>
      <c r="HXL765" s="1207"/>
      <c r="HXM765" s="1207"/>
      <c r="HXN765" s="1207"/>
      <c r="HXO765" s="1207"/>
      <c r="HXP765" s="1207"/>
      <c r="HXQ765" s="1207"/>
      <c r="HXR765" s="1207"/>
      <c r="HXS765" s="1207"/>
      <c r="HXT765" s="1207"/>
      <c r="HXU765" s="1207"/>
      <c r="HXV765" s="1207"/>
      <c r="HXW765" s="1207"/>
      <c r="HXX765" s="1207"/>
      <c r="HXY765" s="1207"/>
      <c r="HXZ765" s="1207"/>
      <c r="HYA765" s="1207"/>
      <c r="HYB765" s="1207"/>
      <c r="HYC765" s="1207"/>
      <c r="HYD765" s="1207"/>
      <c r="HYE765" s="1207"/>
      <c r="HYF765" s="1207"/>
      <c r="HYG765" s="1207"/>
      <c r="HYH765" s="1207"/>
      <c r="HYI765" s="1207"/>
      <c r="HYJ765" s="1207"/>
      <c r="HYK765" s="1207"/>
      <c r="HYL765" s="1207"/>
      <c r="HYM765" s="1207"/>
      <c r="HYN765" s="1207"/>
      <c r="HYO765" s="1207"/>
      <c r="HYP765" s="1207"/>
      <c r="HYQ765" s="1207"/>
      <c r="HYR765" s="1207"/>
      <c r="HYS765" s="1207"/>
      <c r="HYT765" s="1207"/>
      <c r="HYU765" s="1207"/>
      <c r="HYV765" s="1207"/>
      <c r="HYW765" s="1207"/>
      <c r="HYX765" s="1207"/>
      <c r="HYY765" s="1207"/>
      <c r="HYZ765" s="1207"/>
      <c r="HZA765" s="1207"/>
      <c r="HZB765" s="1207"/>
      <c r="HZC765" s="1207"/>
      <c r="HZD765" s="1207"/>
      <c r="HZE765" s="1207"/>
      <c r="HZF765" s="1207"/>
      <c r="HZG765" s="1207"/>
      <c r="HZH765" s="1207"/>
      <c r="HZI765" s="1207"/>
      <c r="HZJ765" s="1207"/>
      <c r="HZK765" s="1207"/>
      <c r="HZL765" s="1207"/>
      <c r="HZM765" s="1207"/>
      <c r="HZN765" s="1207"/>
      <c r="HZO765" s="1207"/>
      <c r="HZP765" s="1207"/>
      <c r="HZQ765" s="1207"/>
      <c r="HZR765" s="1207"/>
      <c r="HZS765" s="1207"/>
      <c r="HZT765" s="1207"/>
      <c r="HZU765" s="1207"/>
      <c r="HZV765" s="1207"/>
      <c r="HZW765" s="1207"/>
      <c r="HZX765" s="1207"/>
      <c r="HZY765" s="1207"/>
      <c r="HZZ765" s="1207"/>
      <c r="IAA765" s="1207"/>
      <c r="IAB765" s="1207"/>
      <c r="IAC765" s="1207"/>
      <c r="IAD765" s="1207"/>
      <c r="IAE765" s="1207"/>
      <c r="IAF765" s="1207"/>
      <c r="IAG765" s="1207"/>
      <c r="IAH765" s="1207"/>
      <c r="IAI765" s="1207"/>
      <c r="IAJ765" s="1207"/>
      <c r="IAK765" s="1207"/>
      <c r="IAL765" s="1207"/>
      <c r="IAM765" s="1207"/>
      <c r="IAN765" s="1207"/>
      <c r="IAO765" s="1207"/>
      <c r="IAP765" s="1207"/>
      <c r="IAQ765" s="1207"/>
      <c r="IAR765" s="1207"/>
      <c r="IAS765" s="1207"/>
      <c r="IAT765" s="1207"/>
      <c r="IAU765" s="1207"/>
      <c r="IAV765" s="1207"/>
      <c r="IAW765" s="1207"/>
      <c r="IAX765" s="1207"/>
      <c r="IAY765" s="1207"/>
      <c r="IAZ765" s="1207"/>
      <c r="IBA765" s="1207"/>
      <c r="IBB765" s="1207"/>
      <c r="IBC765" s="1207"/>
      <c r="IBD765" s="1207"/>
      <c r="IBE765" s="1207"/>
      <c r="IBF765" s="1207"/>
      <c r="IBG765" s="1207"/>
      <c r="IBH765" s="1207"/>
      <c r="IBI765" s="1207"/>
      <c r="IBJ765" s="1207"/>
      <c r="IBK765" s="1207"/>
      <c r="IBL765" s="1207"/>
      <c r="IBM765" s="1207"/>
      <c r="IBN765" s="1207"/>
      <c r="IBO765" s="1207"/>
      <c r="IBP765" s="1207"/>
      <c r="IBQ765" s="1207"/>
      <c r="IBR765" s="1207"/>
      <c r="IBS765" s="1207"/>
      <c r="IBT765" s="1207"/>
      <c r="IBU765" s="1207"/>
      <c r="IBV765" s="1207"/>
      <c r="IBW765" s="1207"/>
      <c r="IBX765" s="1207"/>
      <c r="IBY765" s="1207"/>
      <c r="IBZ765" s="1207"/>
      <c r="ICA765" s="1207"/>
      <c r="ICB765" s="1207"/>
      <c r="ICC765" s="1207"/>
      <c r="ICD765" s="1207"/>
      <c r="ICE765" s="1207"/>
      <c r="ICF765" s="1207"/>
      <c r="ICG765" s="1207"/>
      <c r="ICH765" s="1207"/>
      <c r="ICI765" s="1207"/>
      <c r="ICJ765" s="1207"/>
      <c r="ICK765" s="1207"/>
      <c r="ICL765" s="1207"/>
      <c r="ICM765" s="1207"/>
      <c r="ICN765" s="1207"/>
      <c r="ICO765" s="1207"/>
      <c r="ICP765" s="1207"/>
      <c r="ICQ765" s="1207"/>
      <c r="ICR765" s="1207"/>
      <c r="ICS765" s="1207"/>
      <c r="ICT765" s="1207"/>
      <c r="ICU765" s="1207"/>
      <c r="ICV765" s="1207"/>
      <c r="ICW765" s="1207"/>
      <c r="ICX765" s="1207"/>
      <c r="ICY765" s="1207"/>
      <c r="ICZ765" s="1207"/>
      <c r="IDA765" s="1207"/>
      <c r="IDB765" s="1207"/>
      <c r="IDC765" s="1207"/>
      <c r="IDD765" s="1207"/>
      <c r="IDE765" s="1207"/>
      <c r="IDF765" s="1207"/>
      <c r="IDG765" s="1207"/>
      <c r="IDH765" s="1207"/>
      <c r="IDI765" s="1207"/>
      <c r="IDJ765" s="1207"/>
      <c r="IDK765" s="1207"/>
      <c r="IDL765" s="1207"/>
      <c r="IDM765" s="1207"/>
      <c r="IDN765" s="1207"/>
      <c r="IDO765" s="1207"/>
      <c r="IDP765" s="1207"/>
      <c r="IDQ765" s="1207"/>
      <c r="IDR765" s="1207"/>
      <c r="IDS765" s="1207"/>
      <c r="IDT765" s="1207"/>
      <c r="IDU765" s="1207"/>
      <c r="IDV765" s="1207"/>
      <c r="IDW765" s="1207"/>
      <c r="IDX765" s="1207"/>
      <c r="IDY765" s="1207"/>
      <c r="IDZ765" s="1207"/>
      <c r="IEA765" s="1207"/>
      <c r="IEB765" s="1207"/>
      <c r="IEC765" s="1207"/>
      <c r="IED765" s="1207"/>
      <c r="IEE765" s="1207"/>
      <c r="IEF765" s="1207"/>
      <c r="IEG765" s="1207"/>
      <c r="IEH765" s="1207"/>
      <c r="IEI765" s="1207"/>
      <c r="IEJ765" s="1207"/>
      <c r="IEK765" s="1207"/>
      <c r="IEL765" s="1207"/>
      <c r="IEM765" s="1207"/>
      <c r="IEN765" s="1207"/>
      <c r="IEO765" s="1207"/>
      <c r="IEP765" s="1207"/>
      <c r="IEQ765" s="1207"/>
      <c r="IER765" s="1207"/>
      <c r="IES765" s="1207"/>
      <c r="IET765" s="1207"/>
      <c r="IEU765" s="1207"/>
      <c r="IEV765" s="1207"/>
      <c r="IEW765" s="1207"/>
      <c r="IEX765" s="1207"/>
      <c r="IEY765" s="1207"/>
      <c r="IEZ765" s="1207"/>
      <c r="IFA765" s="1207"/>
      <c r="IFB765" s="1207"/>
      <c r="IFC765" s="1207"/>
      <c r="IFD765" s="1207"/>
      <c r="IFE765" s="1207"/>
      <c r="IFF765" s="1207"/>
      <c r="IFG765" s="1207"/>
      <c r="IFH765" s="1207"/>
      <c r="IFI765" s="1207"/>
      <c r="IFJ765" s="1207"/>
      <c r="IFK765" s="1207"/>
      <c r="IFL765" s="1207"/>
      <c r="IFM765" s="1207"/>
      <c r="IFN765" s="1207"/>
      <c r="IFO765" s="1207"/>
      <c r="IFP765" s="1207"/>
      <c r="IFQ765" s="1207"/>
      <c r="IFR765" s="1207"/>
      <c r="IFS765" s="1207"/>
      <c r="IFT765" s="1207"/>
      <c r="IFU765" s="1207"/>
      <c r="IFV765" s="1207"/>
      <c r="IFW765" s="1207"/>
      <c r="IFX765" s="1207"/>
      <c r="IFY765" s="1207"/>
      <c r="IFZ765" s="1207"/>
      <c r="IGA765" s="1207"/>
      <c r="IGB765" s="1207"/>
      <c r="IGC765" s="1207"/>
      <c r="IGD765" s="1207"/>
      <c r="IGE765" s="1207"/>
      <c r="IGF765" s="1207"/>
      <c r="IGG765" s="1207"/>
      <c r="IGH765" s="1207"/>
      <c r="IGI765" s="1207"/>
      <c r="IGJ765" s="1207"/>
      <c r="IGK765" s="1207"/>
      <c r="IGL765" s="1207"/>
      <c r="IGM765" s="1207"/>
      <c r="IGN765" s="1207"/>
      <c r="IGO765" s="1207"/>
      <c r="IGP765" s="1207"/>
      <c r="IGQ765" s="1207"/>
      <c r="IGR765" s="1207"/>
      <c r="IGS765" s="1207"/>
      <c r="IGT765" s="1207"/>
      <c r="IGU765" s="1207"/>
      <c r="IGV765" s="1207"/>
      <c r="IGW765" s="1207"/>
      <c r="IGX765" s="1207"/>
      <c r="IGY765" s="1207"/>
      <c r="IGZ765" s="1207"/>
      <c r="IHA765" s="1207"/>
      <c r="IHB765" s="1207"/>
      <c r="IHC765" s="1207"/>
      <c r="IHD765" s="1207"/>
      <c r="IHE765" s="1207"/>
      <c r="IHF765" s="1207"/>
      <c r="IHG765" s="1207"/>
      <c r="IHH765" s="1207"/>
      <c r="IHI765" s="1207"/>
      <c r="IHJ765" s="1207"/>
      <c r="IHK765" s="1207"/>
      <c r="IHL765" s="1207"/>
      <c r="IHM765" s="1207"/>
      <c r="IHN765" s="1207"/>
      <c r="IHO765" s="1207"/>
      <c r="IHP765" s="1207"/>
      <c r="IHQ765" s="1207"/>
      <c r="IHR765" s="1207"/>
      <c r="IHS765" s="1207"/>
      <c r="IHT765" s="1207"/>
      <c r="IHU765" s="1207"/>
      <c r="IHV765" s="1207"/>
      <c r="IHW765" s="1207"/>
      <c r="IHX765" s="1207"/>
      <c r="IHY765" s="1207"/>
      <c r="IHZ765" s="1207"/>
      <c r="IIA765" s="1207"/>
      <c r="IIB765" s="1207"/>
      <c r="IIC765" s="1207"/>
      <c r="IID765" s="1207"/>
      <c r="IIE765" s="1207"/>
      <c r="IIF765" s="1207"/>
      <c r="IIG765" s="1207"/>
      <c r="IIH765" s="1207"/>
      <c r="III765" s="1207"/>
      <c r="IIJ765" s="1207"/>
      <c r="IIK765" s="1207"/>
      <c r="IIL765" s="1207"/>
      <c r="IIM765" s="1207"/>
      <c r="IIN765" s="1207"/>
      <c r="IIO765" s="1207"/>
      <c r="IIP765" s="1207"/>
      <c r="IIQ765" s="1207"/>
      <c r="IIR765" s="1207"/>
      <c r="IIS765" s="1207"/>
      <c r="IIT765" s="1207"/>
      <c r="IIU765" s="1207"/>
      <c r="IIV765" s="1207"/>
      <c r="IIW765" s="1207"/>
      <c r="IIX765" s="1207"/>
      <c r="IIY765" s="1207"/>
      <c r="IIZ765" s="1207"/>
      <c r="IJA765" s="1207"/>
      <c r="IJB765" s="1207"/>
      <c r="IJC765" s="1207"/>
      <c r="IJD765" s="1207"/>
      <c r="IJE765" s="1207"/>
      <c r="IJF765" s="1207"/>
      <c r="IJG765" s="1207"/>
      <c r="IJH765" s="1207"/>
      <c r="IJI765" s="1207"/>
      <c r="IJJ765" s="1207"/>
      <c r="IJK765" s="1207"/>
      <c r="IJL765" s="1207"/>
      <c r="IJM765" s="1207"/>
      <c r="IJN765" s="1207"/>
      <c r="IJO765" s="1207"/>
      <c r="IJP765" s="1207"/>
      <c r="IJQ765" s="1207"/>
      <c r="IJR765" s="1207"/>
      <c r="IJS765" s="1207"/>
      <c r="IJT765" s="1207"/>
      <c r="IJU765" s="1207"/>
      <c r="IJV765" s="1207"/>
      <c r="IJW765" s="1207"/>
      <c r="IJX765" s="1207"/>
      <c r="IJY765" s="1207"/>
      <c r="IJZ765" s="1207"/>
      <c r="IKA765" s="1207"/>
      <c r="IKB765" s="1207"/>
      <c r="IKC765" s="1207"/>
      <c r="IKD765" s="1207"/>
      <c r="IKE765" s="1207"/>
      <c r="IKF765" s="1207"/>
      <c r="IKG765" s="1207"/>
      <c r="IKH765" s="1207"/>
      <c r="IKI765" s="1207"/>
      <c r="IKJ765" s="1207"/>
      <c r="IKK765" s="1207"/>
      <c r="IKL765" s="1207"/>
      <c r="IKM765" s="1207"/>
      <c r="IKN765" s="1207"/>
      <c r="IKO765" s="1207"/>
      <c r="IKP765" s="1207"/>
      <c r="IKQ765" s="1207"/>
      <c r="IKR765" s="1207"/>
      <c r="IKS765" s="1207"/>
      <c r="IKT765" s="1207"/>
      <c r="IKU765" s="1207"/>
      <c r="IKV765" s="1207"/>
      <c r="IKW765" s="1207"/>
      <c r="IKX765" s="1207"/>
      <c r="IKY765" s="1207"/>
      <c r="IKZ765" s="1207"/>
      <c r="ILA765" s="1207"/>
      <c r="ILB765" s="1207"/>
      <c r="ILC765" s="1207"/>
      <c r="ILD765" s="1207"/>
      <c r="ILE765" s="1207"/>
      <c r="ILF765" s="1207"/>
      <c r="ILG765" s="1207"/>
      <c r="ILH765" s="1207"/>
      <c r="ILI765" s="1207"/>
      <c r="ILJ765" s="1207"/>
      <c r="ILK765" s="1207"/>
      <c r="ILL765" s="1207"/>
      <c r="ILM765" s="1207"/>
      <c r="ILN765" s="1207"/>
      <c r="ILO765" s="1207"/>
      <c r="ILP765" s="1207"/>
      <c r="ILQ765" s="1207"/>
      <c r="ILR765" s="1207"/>
      <c r="ILS765" s="1207"/>
      <c r="ILT765" s="1207"/>
      <c r="ILU765" s="1207"/>
      <c r="ILV765" s="1207"/>
      <c r="ILW765" s="1207"/>
      <c r="ILX765" s="1207"/>
      <c r="ILY765" s="1207"/>
      <c r="ILZ765" s="1207"/>
      <c r="IMA765" s="1207"/>
      <c r="IMB765" s="1207"/>
      <c r="IMC765" s="1207"/>
      <c r="IMD765" s="1207"/>
      <c r="IME765" s="1207"/>
      <c r="IMF765" s="1207"/>
      <c r="IMG765" s="1207"/>
      <c r="IMH765" s="1207"/>
      <c r="IMI765" s="1207"/>
      <c r="IMJ765" s="1207"/>
      <c r="IMK765" s="1207"/>
      <c r="IML765" s="1207"/>
      <c r="IMM765" s="1207"/>
      <c r="IMN765" s="1207"/>
      <c r="IMO765" s="1207"/>
      <c r="IMP765" s="1207"/>
      <c r="IMQ765" s="1207"/>
      <c r="IMR765" s="1207"/>
      <c r="IMS765" s="1207"/>
      <c r="IMT765" s="1207"/>
      <c r="IMU765" s="1207"/>
      <c r="IMV765" s="1207"/>
      <c r="IMW765" s="1207"/>
      <c r="IMX765" s="1207"/>
      <c r="IMY765" s="1207"/>
      <c r="IMZ765" s="1207"/>
      <c r="INA765" s="1207"/>
      <c r="INB765" s="1207"/>
      <c r="INC765" s="1207"/>
      <c r="IND765" s="1207"/>
      <c r="INE765" s="1207"/>
      <c r="INF765" s="1207"/>
      <c r="ING765" s="1207"/>
      <c r="INH765" s="1207"/>
      <c r="INI765" s="1207"/>
      <c r="INJ765" s="1207"/>
      <c r="INK765" s="1207"/>
      <c r="INL765" s="1207"/>
      <c r="INM765" s="1207"/>
      <c r="INN765" s="1207"/>
      <c r="INO765" s="1207"/>
      <c r="INP765" s="1207"/>
      <c r="INQ765" s="1207"/>
      <c r="INR765" s="1207"/>
      <c r="INS765" s="1207"/>
      <c r="INT765" s="1207"/>
      <c r="INU765" s="1207"/>
      <c r="INV765" s="1207"/>
      <c r="INW765" s="1207"/>
      <c r="INX765" s="1207"/>
      <c r="INY765" s="1207"/>
      <c r="INZ765" s="1207"/>
      <c r="IOA765" s="1207"/>
      <c r="IOB765" s="1207"/>
      <c r="IOC765" s="1207"/>
      <c r="IOD765" s="1207"/>
      <c r="IOE765" s="1207"/>
      <c r="IOF765" s="1207"/>
      <c r="IOG765" s="1207"/>
      <c r="IOH765" s="1207"/>
      <c r="IOI765" s="1207"/>
      <c r="IOJ765" s="1207"/>
      <c r="IOK765" s="1207"/>
      <c r="IOL765" s="1207"/>
      <c r="IOM765" s="1207"/>
      <c r="ION765" s="1207"/>
      <c r="IOO765" s="1207"/>
      <c r="IOP765" s="1207"/>
      <c r="IOQ765" s="1207"/>
      <c r="IOR765" s="1207"/>
      <c r="IOS765" s="1207"/>
      <c r="IOT765" s="1207"/>
      <c r="IOU765" s="1207"/>
      <c r="IOV765" s="1207"/>
      <c r="IOW765" s="1207"/>
      <c r="IOX765" s="1207"/>
      <c r="IOY765" s="1207"/>
      <c r="IOZ765" s="1207"/>
      <c r="IPA765" s="1207"/>
      <c r="IPB765" s="1207"/>
      <c r="IPC765" s="1207"/>
      <c r="IPD765" s="1207"/>
      <c r="IPE765" s="1207"/>
      <c r="IPF765" s="1207"/>
      <c r="IPG765" s="1207"/>
      <c r="IPH765" s="1207"/>
      <c r="IPI765" s="1207"/>
      <c r="IPJ765" s="1207"/>
      <c r="IPK765" s="1207"/>
      <c r="IPL765" s="1207"/>
      <c r="IPM765" s="1207"/>
      <c r="IPN765" s="1207"/>
      <c r="IPO765" s="1207"/>
      <c r="IPP765" s="1207"/>
      <c r="IPQ765" s="1207"/>
      <c r="IPR765" s="1207"/>
      <c r="IPS765" s="1207"/>
      <c r="IPT765" s="1207"/>
      <c r="IPU765" s="1207"/>
      <c r="IPV765" s="1207"/>
      <c r="IPW765" s="1207"/>
      <c r="IPX765" s="1207"/>
      <c r="IPY765" s="1207"/>
      <c r="IPZ765" s="1207"/>
      <c r="IQA765" s="1207"/>
      <c r="IQB765" s="1207"/>
      <c r="IQC765" s="1207"/>
      <c r="IQD765" s="1207"/>
      <c r="IQE765" s="1207"/>
      <c r="IQF765" s="1207"/>
      <c r="IQG765" s="1207"/>
      <c r="IQH765" s="1207"/>
      <c r="IQI765" s="1207"/>
      <c r="IQJ765" s="1207"/>
      <c r="IQK765" s="1207"/>
      <c r="IQL765" s="1207"/>
      <c r="IQM765" s="1207"/>
      <c r="IQN765" s="1207"/>
      <c r="IQO765" s="1207"/>
      <c r="IQP765" s="1207"/>
      <c r="IQQ765" s="1207"/>
      <c r="IQR765" s="1207"/>
      <c r="IQS765" s="1207"/>
      <c r="IQT765" s="1207"/>
      <c r="IQU765" s="1207"/>
      <c r="IQV765" s="1207"/>
      <c r="IQW765" s="1207"/>
      <c r="IQX765" s="1207"/>
      <c r="IQY765" s="1207"/>
      <c r="IQZ765" s="1207"/>
      <c r="IRA765" s="1207"/>
      <c r="IRB765" s="1207"/>
      <c r="IRC765" s="1207"/>
      <c r="IRD765" s="1207"/>
      <c r="IRE765" s="1207"/>
      <c r="IRF765" s="1207"/>
      <c r="IRG765" s="1207"/>
      <c r="IRH765" s="1207"/>
      <c r="IRI765" s="1207"/>
      <c r="IRJ765" s="1207"/>
      <c r="IRK765" s="1207"/>
      <c r="IRL765" s="1207"/>
      <c r="IRM765" s="1207"/>
      <c r="IRN765" s="1207"/>
      <c r="IRO765" s="1207"/>
      <c r="IRP765" s="1207"/>
      <c r="IRQ765" s="1207"/>
      <c r="IRR765" s="1207"/>
      <c r="IRS765" s="1207"/>
      <c r="IRT765" s="1207"/>
      <c r="IRU765" s="1207"/>
      <c r="IRV765" s="1207"/>
      <c r="IRW765" s="1207"/>
      <c r="IRX765" s="1207"/>
      <c r="IRY765" s="1207"/>
      <c r="IRZ765" s="1207"/>
      <c r="ISA765" s="1207"/>
      <c r="ISB765" s="1207"/>
      <c r="ISC765" s="1207"/>
      <c r="ISD765" s="1207"/>
      <c r="ISE765" s="1207"/>
      <c r="ISF765" s="1207"/>
      <c r="ISG765" s="1207"/>
      <c r="ISH765" s="1207"/>
      <c r="ISI765" s="1207"/>
      <c r="ISJ765" s="1207"/>
      <c r="ISK765" s="1207"/>
      <c r="ISL765" s="1207"/>
      <c r="ISM765" s="1207"/>
      <c r="ISN765" s="1207"/>
      <c r="ISO765" s="1207"/>
      <c r="ISP765" s="1207"/>
      <c r="ISQ765" s="1207"/>
      <c r="ISR765" s="1207"/>
      <c r="ISS765" s="1207"/>
      <c r="IST765" s="1207"/>
      <c r="ISU765" s="1207"/>
      <c r="ISV765" s="1207"/>
      <c r="ISW765" s="1207"/>
      <c r="ISX765" s="1207"/>
      <c r="ISY765" s="1207"/>
      <c r="ISZ765" s="1207"/>
      <c r="ITA765" s="1207"/>
      <c r="ITB765" s="1207"/>
      <c r="ITC765" s="1207"/>
      <c r="ITD765" s="1207"/>
      <c r="ITE765" s="1207"/>
      <c r="ITF765" s="1207"/>
      <c r="ITG765" s="1207"/>
      <c r="ITH765" s="1207"/>
      <c r="ITI765" s="1207"/>
      <c r="ITJ765" s="1207"/>
      <c r="ITK765" s="1207"/>
      <c r="ITL765" s="1207"/>
      <c r="ITM765" s="1207"/>
      <c r="ITN765" s="1207"/>
      <c r="ITO765" s="1207"/>
      <c r="ITP765" s="1207"/>
      <c r="ITQ765" s="1207"/>
      <c r="ITR765" s="1207"/>
      <c r="ITS765" s="1207"/>
      <c r="ITT765" s="1207"/>
      <c r="ITU765" s="1207"/>
      <c r="ITV765" s="1207"/>
      <c r="ITW765" s="1207"/>
      <c r="ITX765" s="1207"/>
      <c r="ITY765" s="1207"/>
      <c r="ITZ765" s="1207"/>
      <c r="IUA765" s="1207"/>
      <c r="IUB765" s="1207"/>
      <c r="IUC765" s="1207"/>
      <c r="IUD765" s="1207"/>
      <c r="IUE765" s="1207"/>
      <c r="IUF765" s="1207"/>
      <c r="IUG765" s="1207"/>
      <c r="IUH765" s="1207"/>
      <c r="IUI765" s="1207"/>
      <c r="IUJ765" s="1207"/>
      <c r="IUK765" s="1207"/>
      <c r="IUL765" s="1207"/>
      <c r="IUM765" s="1207"/>
      <c r="IUN765" s="1207"/>
      <c r="IUO765" s="1207"/>
      <c r="IUP765" s="1207"/>
      <c r="IUQ765" s="1207"/>
      <c r="IUR765" s="1207"/>
      <c r="IUS765" s="1207"/>
      <c r="IUT765" s="1207"/>
      <c r="IUU765" s="1207"/>
      <c r="IUV765" s="1207"/>
      <c r="IUW765" s="1207"/>
      <c r="IUX765" s="1207"/>
      <c r="IUY765" s="1207"/>
      <c r="IUZ765" s="1207"/>
      <c r="IVA765" s="1207"/>
      <c r="IVB765" s="1207"/>
      <c r="IVC765" s="1207"/>
      <c r="IVD765" s="1207"/>
      <c r="IVE765" s="1207"/>
      <c r="IVF765" s="1207"/>
      <c r="IVG765" s="1207"/>
      <c r="IVH765" s="1207"/>
      <c r="IVI765" s="1207"/>
      <c r="IVJ765" s="1207"/>
      <c r="IVK765" s="1207"/>
      <c r="IVL765" s="1207"/>
      <c r="IVM765" s="1207"/>
      <c r="IVN765" s="1207"/>
      <c r="IVO765" s="1207"/>
      <c r="IVP765" s="1207"/>
      <c r="IVQ765" s="1207"/>
      <c r="IVR765" s="1207"/>
      <c r="IVS765" s="1207"/>
      <c r="IVT765" s="1207"/>
      <c r="IVU765" s="1207"/>
      <c r="IVV765" s="1207"/>
      <c r="IVW765" s="1207"/>
      <c r="IVX765" s="1207"/>
      <c r="IVY765" s="1207"/>
      <c r="IVZ765" s="1207"/>
      <c r="IWA765" s="1207"/>
      <c r="IWB765" s="1207"/>
      <c r="IWC765" s="1207"/>
      <c r="IWD765" s="1207"/>
      <c r="IWE765" s="1207"/>
      <c r="IWF765" s="1207"/>
      <c r="IWG765" s="1207"/>
      <c r="IWH765" s="1207"/>
      <c r="IWI765" s="1207"/>
      <c r="IWJ765" s="1207"/>
      <c r="IWK765" s="1207"/>
      <c r="IWL765" s="1207"/>
      <c r="IWM765" s="1207"/>
      <c r="IWN765" s="1207"/>
      <c r="IWO765" s="1207"/>
      <c r="IWP765" s="1207"/>
      <c r="IWQ765" s="1207"/>
      <c r="IWR765" s="1207"/>
      <c r="IWS765" s="1207"/>
      <c r="IWT765" s="1207"/>
      <c r="IWU765" s="1207"/>
      <c r="IWV765" s="1207"/>
      <c r="IWW765" s="1207"/>
      <c r="IWX765" s="1207"/>
      <c r="IWY765" s="1207"/>
      <c r="IWZ765" s="1207"/>
      <c r="IXA765" s="1207"/>
      <c r="IXB765" s="1207"/>
      <c r="IXC765" s="1207"/>
      <c r="IXD765" s="1207"/>
      <c r="IXE765" s="1207"/>
      <c r="IXF765" s="1207"/>
      <c r="IXG765" s="1207"/>
      <c r="IXH765" s="1207"/>
      <c r="IXI765" s="1207"/>
      <c r="IXJ765" s="1207"/>
      <c r="IXK765" s="1207"/>
      <c r="IXL765" s="1207"/>
      <c r="IXM765" s="1207"/>
      <c r="IXN765" s="1207"/>
      <c r="IXO765" s="1207"/>
      <c r="IXP765" s="1207"/>
      <c r="IXQ765" s="1207"/>
      <c r="IXR765" s="1207"/>
      <c r="IXS765" s="1207"/>
      <c r="IXT765" s="1207"/>
      <c r="IXU765" s="1207"/>
      <c r="IXV765" s="1207"/>
      <c r="IXW765" s="1207"/>
      <c r="IXX765" s="1207"/>
      <c r="IXY765" s="1207"/>
      <c r="IXZ765" s="1207"/>
      <c r="IYA765" s="1207"/>
      <c r="IYB765" s="1207"/>
      <c r="IYC765" s="1207"/>
      <c r="IYD765" s="1207"/>
      <c r="IYE765" s="1207"/>
      <c r="IYF765" s="1207"/>
      <c r="IYG765" s="1207"/>
      <c r="IYH765" s="1207"/>
      <c r="IYI765" s="1207"/>
      <c r="IYJ765" s="1207"/>
      <c r="IYK765" s="1207"/>
      <c r="IYL765" s="1207"/>
      <c r="IYM765" s="1207"/>
      <c r="IYN765" s="1207"/>
      <c r="IYO765" s="1207"/>
      <c r="IYP765" s="1207"/>
      <c r="IYQ765" s="1207"/>
      <c r="IYR765" s="1207"/>
      <c r="IYS765" s="1207"/>
      <c r="IYT765" s="1207"/>
      <c r="IYU765" s="1207"/>
      <c r="IYV765" s="1207"/>
      <c r="IYW765" s="1207"/>
      <c r="IYX765" s="1207"/>
      <c r="IYY765" s="1207"/>
      <c r="IYZ765" s="1207"/>
      <c r="IZA765" s="1207"/>
      <c r="IZB765" s="1207"/>
      <c r="IZC765" s="1207"/>
      <c r="IZD765" s="1207"/>
      <c r="IZE765" s="1207"/>
      <c r="IZF765" s="1207"/>
      <c r="IZG765" s="1207"/>
      <c r="IZH765" s="1207"/>
      <c r="IZI765" s="1207"/>
      <c r="IZJ765" s="1207"/>
      <c r="IZK765" s="1207"/>
      <c r="IZL765" s="1207"/>
      <c r="IZM765" s="1207"/>
      <c r="IZN765" s="1207"/>
      <c r="IZO765" s="1207"/>
      <c r="IZP765" s="1207"/>
      <c r="IZQ765" s="1207"/>
      <c r="IZR765" s="1207"/>
      <c r="IZS765" s="1207"/>
      <c r="IZT765" s="1207"/>
      <c r="IZU765" s="1207"/>
      <c r="IZV765" s="1207"/>
      <c r="IZW765" s="1207"/>
      <c r="IZX765" s="1207"/>
      <c r="IZY765" s="1207"/>
      <c r="IZZ765" s="1207"/>
      <c r="JAA765" s="1207"/>
      <c r="JAB765" s="1207"/>
      <c r="JAC765" s="1207"/>
      <c r="JAD765" s="1207"/>
      <c r="JAE765" s="1207"/>
      <c r="JAF765" s="1207"/>
      <c r="JAG765" s="1207"/>
      <c r="JAH765" s="1207"/>
      <c r="JAI765" s="1207"/>
      <c r="JAJ765" s="1207"/>
      <c r="JAK765" s="1207"/>
      <c r="JAL765" s="1207"/>
      <c r="JAM765" s="1207"/>
      <c r="JAN765" s="1207"/>
      <c r="JAO765" s="1207"/>
      <c r="JAP765" s="1207"/>
      <c r="JAQ765" s="1207"/>
      <c r="JAR765" s="1207"/>
      <c r="JAS765" s="1207"/>
      <c r="JAT765" s="1207"/>
      <c r="JAU765" s="1207"/>
      <c r="JAV765" s="1207"/>
      <c r="JAW765" s="1207"/>
      <c r="JAX765" s="1207"/>
      <c r="JAY765" s="1207"/>
      <c r="JAZ765" s="1207"/>
      <c r="JBA765" s="1207"/>
      <c r="JBB765" s="1207"/>
      <c r="JBC765" s="1207"/>
      <c r="JBD765" s="1207"/>
      <c r="JBE765" s="1207"/>
      <c r="JBF765" s="1207"/>
      <c r="JBG765" s="1207"/>
      <c r="JBH765" s="1207"/>
      <c r="JBI765" s="1207"/>
      <c r="JBJ765" s="1207"/>
      <c r="JBK765" s="1207"/>
      <c r="JBL765" s="1207"/>
      <c r="JBM765" s="1207"/>
      <c r="JBN765" s="1207"/>
      <c r="JBO765" s="1207"/>
      <c r="JBP765" s="1207"/>
      <c r="JBQ765" s="1207"/>
      <c r="JBR765" s="1207"/>
      <c r="JBS765" s="1207"/>
      <c r="JBT765" s="1207"/>
      <c r="JBU765" s="1207"/>
      <c r="JBV765" s="1207"/>
      <c r="JBW765" s="1207"/>
      <c r="JBX765" s="1207"/>
      <c r="JBY765" s="1207"/>
      <c r="JBZ765" s="1207"/>
      <c r="JCA765" s="1207"/>
      <c r="JCB765" s="1207"/>
      <c r="JCC765" s="1207"/>
      <c r="JCD765" s="1207"/>
      <c r="JCE765" s="1207"/>
      <c r="JCF765" s="1207"/>
      <c r="JCG765" s="1207"/>
      <c r="JCH765" s="1207"/>
      <c r="JCI765" s="1207"/>
      <c r="JCJ765" s="1207"/>
      <c r="JCK765" s="1207"/>
      <c r="JCL765" s="1207"/>
      <c r="JCM765" s="1207"/>
      <c r="JCN765" s="1207"/>
      <c r="JCO765" s="1207"/>
      <c r="JCP765" s="1207"/>
      <c r="JCQ765" s="1207"/>
      <c r="JCR765" s="1207"/>
      <c r="JCS765" s="1207"/>
      <c r="JCT765" s="1207"/>
      <c r="JCU765" s="1207"/>
      <c r="JCV765" s="1207"/>
      <c r="JCW765" s="1207"/>
      <c r="JCX765" s="1207"/>
      <c r="JCY765" s="1207"/>
      <c r="JCZ765" s="1207"/>
      <c r="JDA765" s="1207"/>
      <c r="JDB765" s="1207"/>
      <c r="JDC765" s="1207"/>
      <c r="JDD765" s="1207"/>
      <c r="JDE765" s="1207"/>
      <c r="JDF765" s="1207"/>
      <c r="JDG765" s="1207"/>
      <c r="JDH765" s="1207"/>
      <c r="JDI765" s="1207"/>
      <c r="JDJ765" s="1207"/>
      <c r="JDK765" s="1207"/>
      <c r="JDL765" s="1207"/>
      <c r="JDM765" s="1207"/>
      <c r="JDN765" s="1207"/>
      <c r="JDO765" s="1207"/>
      <c r="JDP765" s="1207"/>
      <c r="JDQ765" s="1207"/>
      <c r="JDR765" s="1207"/>
      <c r="JDS765" s="1207"/>
      <c r="JDT765" s="1207"/>
      <c r="JDU765" s="1207"/>
      <c r="JDV765" s="1207"/>
      <c r="JDW765" s="1207"/>
      <c r="JDX765" s="1207"/>
      <c r="JDY765" s="1207"/>
      <c r="JDZ765" s="1207"/>
      <c r="JEA765" s="1207"/>
      <c r="JEB765" s="1207"/>
      <c r="JEC765" s="1207"/>
      <c r="JED765" s="1207"/>
      <c r="JEE765" s="1207"/>
      <c r="JEF765" s="1207"/>
      <c r="JEG765" s="1207"/>
      <c r="JEH765" s="1207"/>
      <c r="JEI765" s="1207"/>
      <c r="JEJ765" s="1207"/>
      <c r="JEK765" s="1207"/>
      <c r="JEL765" s="1207"/>
      <c r="JEM765" s="1207"/>
      <c r="JEN765" s="1207"/>
      <c r="JEO765" s="1207"/>
      <c r="JEP765" s="1207"/>
      <c r="JEQ765" s="1207"/>
      <c r="JER765" s="1207"/>
      <c r="JES765" s="1207"/>
      <c r="JET765" s="1207"/>
      <c r="JEU765" s="1207"/>
      <c r="JEV765" s="1207"/>
      <c r="JEW765" s="1207"/>
      <c r="JEX765" s="1207"/>
      <c r="JEY765" s="1207"/>
      <c r="JEZ765" s="1207"/>
      <c r="JFA765" s="1207"/>
      <c r="JFB765" s="1207"/>
      <c r="JFC765" s="1207"/>
      <c r="JFD765" s="1207"/>
      <c r="JFE765" s="1207"/>
      <c r="JFF765" s="1207"/>
      <c r="JFG765" s="1207"/>
      <c r="JFH765" s="1207"/>
      <c r="JFI765" s="1207"/>
      <c r="JFJ765" s="1207"/>
      <c r="JFK765" s="1207"/>
      <c r="JFL765" s="1207"/>
      <c r="JFM765" s="1207"/>
      <c r="JFN765" s="1207"/>
      <c r="JFO765" s="1207"/>
      <c r="JFP765" s="1207"/>
      <c r="JFQ765" s="1207"/>
      <c r="JFR765" s="1207"/>
      <c r="JFS765" s="1207"/>
      <c r="JFT765" s="1207"/>
      <c r="JFU765" s="1207"/>
      <c r="JFV765" s="1207"/>
      <c r="JFW765" s="1207"/>
      <c r="JFX765" s="1207"/>
      <c r="JFY765" s="1207"/>
      <c r="JFZ765" s="1207"/>
      <c r="JGA765" s="1207"/>
      <c r="JGB765" s="1207"/>
      <c r="JGC765" s="1207"/>
      <c r="JGD765" s="1207"/>
      <c r="JGE765" s="1207"/>
      <c r="JGF765" s="1207"/>
      <c r="JGG765" s="1207"/>
      <c r="JGH765" s="1207"/>
      <c r="JGI765" s="1207"/>
      <c r="JGJ765" s="1207"/>
      <c r="JGK765" s="1207"/>
      <c r="JGL765" s="1207"/>
      <c r="JGM765" s="1207"/>
      <c r="JGN765" s="1207"/>
      <c r="JGO765" s="1207"/>
      <c r="JGP765" s="1207"/>
      <c r="JGQ765" s="1207"/>
      <c r="JGR765" s="1207"/>
      <c r="JGS765" s="1207"/>
      <c r="JGT765" s="1207"/>
      <c r="JGU765" s="1207"/>
      <c r="JGV765" s="1207"/>
      <c r="JGW765" s="1207"/>
      <c r="JGX765" s="1207"/>
      <c r="JGY765" s="1207"/>
      <c r="JGZ765" s="1207"/>
      <c r="JHA765" s="1207"/>
      <c r="JHB765" s="1207"/>
      <c r="JHC765" s="1207"/>
      <c r="JHD765" s="1207"/>
      <c r="JHE765" s="1207"/>
      <c r="JHF765" s="1207"/>
      <c r="JHG765" s="1207"/>
      <c r="JHH765" s="1207"/>
      <c r="JHI765" s="1207"/>
      <c r="JHJ765" s="1207"/>
      <c r="JHK765" s="1207"/>
      <c r="JHL765" s="1207"/>
      <c r="JHM765" s="1207"/>
      <c r="JHN765" s="1207"/>
      <c r="JHO765" s="1207"/>
      <c r="JHP765" s="1207"/>
      <c r="JHQ765" s="1207"/>
      <c r="JHR765" s="1207"/>
      <c r="JHS765" s="1207"/>
      <c r="JHT765" s="1207"/>
      <c r="JHU765" s="1207"/>
      <c r="JHV765" s="1207"/>
      <c r="JHW765" s="1207"/>
      <c r="JHX765" s="1207"/>
      <c r="JHY765" s="1207"/>
      <c r="JHZ765" s="1207"/>
      <c r="JIA765" s="1207"/>
      <c r="JIB765" s="1207"/>
      <c r="JIC765" s="1207"/>
      <c r="JID765" s="1207"/>
      <c r="JIE765" s="1207"/>
      <c r="JIF765" s="1207"/>
      <c r="JIG765" s="1207"/>
      <c r="JIH765" s="1207"/>
      <c r="JII765" s="1207"/>
      <c r="JIJ765" s="1207"/>
      <c r="JIK765" s="1207"/>
      <c r="JIL765" s="1207"/>
      <c r="JIM765" s="1207"/>
      <c r="JIN765" s="1207"/>
      <c r="JIO765" s="1207"/>
      <c r="JIP765" s="1207"/>
      <c r="JIQ765" s="1207"/>
      <c r="JIR765" s="1207"/>
      <c r="JIS765" s="1207"/>
      <c r="JIT765" s="1207"/>
      <c r="JIU765" s="1207"/>
      <c r="JIV765" s="1207"/>
      <c r="JIW765" s="1207"/>
      <c r="JIX765" s="1207"/>
      <c r="JIY765" s="1207"/>
      <c r="JIZ765" s="1207"/>
      <c r="JJA765" s="1207"/>
      <c r="JJB765" s="1207"/>
      <c r="JJC765" s="1207"/>
      <c r="JJD765" s="1207"/>
      <c r="JJE765" s="1207"/>
      <c r="JJF765" s="1207"/>
      <c r="JJG765" s="1207"/>
      <c r="JJH765" s="1207"/>
      <c r="JJI765" s="1207"/>
      <c r="JJJ765" s="1207"/>
      <c r="JJK765" s="1207"/>
      <c r="JJL765" s="1207"/>
      <c r="JJM765" s="1207"/>
      <c r="JJN765" s="1207"/>
      <c r="JJO765" s="1207"/>
      <c r="JJP765" s="1207"/>
      <c r="JJQ765" s="1207"/>
      <c r="JJR765" s="1207"/>
      <c r="JJS765" s="1207"/>
      <c r="JJT765" s="1207"/>
      <c r="JJU765" s="1207"/>
      <c r="JJV765" s="1207"/>
      <c r="JJW765" s="1207"/>
      <c r="JJX765" s="1207"/>
      <c r="JJY765" s="1207"/>
      <c r="JJZ765" s="1207"/>
      <c r="JKA765" s="1207"/>
      <c r="JKB765" s="1207"/>
      <c r="JKC765" s="1207"/>
      <c r="JKD765" s="1207"/>
      <c r="JKE765" s="1207"/>
      <c r="JKF765" s="1207"/>
      <c r="JKG765" s="1207"/>
      <c r="JKH765" s="1207"/>
      <c r="JKI765" s="1207"/>
      <c r="JKJ765" s="1207"/>
      <c r="JKK765" s="1207"/>
      <c r="JKL765" s="1207"/>
      <c r="JKM765" s="1207"/>
      <c r="JKN765" s="1207"/>
      <c r="JKO765" s="1207"/>
      <c r="JKP765" s="1207"/>
      <c r="JKQ765" s="1207"/>
      <c r="JKR765" s="1207"/>
      <c r="JKS765" s="1207"/>
      <c r="JKT765" s="1207"/>
      <c r="JKU765" s="1207"/>
      <c r="JKV765" s="1207"/>
      <c r="JKW765" s="1207"/>
      <c r="JKX765" s="1207"/>
      <c r="JKY765" s="1207"/>
      <c r="JKZ765" s="1207"/>
      <c r="JLA765" s="1207"/>
      <c r="JLB765" s="1207"/>
      <c r="JLC765" s="1207"/>
      <c r="JLD765" s="1207"/>
      <c r="JLE765" s="1207"/>
      <c r="JLF765" s="1207"/>
      <c r="JLG765" s="1207"/>
      <c r="JLH765" s="1207"/>
      <c r="JLI765" s="1207"/>
      <c r="JLJ765" s="1207"/>
      <c r="JLK765" s="1207"/>
      <c r="JLL765" s="1207"/>
      <c r="JLM765" s="1207"/>
      <c r="JLN765" s="1207"/>
      <c r="JLO765" s="1207"/>
      <c r="JLP765" s="1207"/>
      <c r="JLQ765" s="1207"/>
      <c r="JLR765" s="1207"/>
      <c r="JLS765" s="1207"/>
      <c r="JLT765" s="1207"/>
      <c r="JLU765" s="1207"/>
      <c r="JLV765" s="1207"/>
      <c r="JLW765" s="1207"/>
      <c r="JLX765" s="1207"/>
      <c r="JLY765" s="1207"/>
      <c r="JLZ765" s="1207"/>
      <c r="JMA765" s="1207"/>
      <c r="JMB765" s="1207"/>
      <c r="JMC765" s="1207"/>
      <c r="JMD765" s="1207"/>
      <c r="JME765" s="1207"/>
      <c r="JMF765" s="1207"/>
      <c r="JMG765" s="1207"/>
      <c r="JMH765" s="1207"/>
      <c r="JMI765" s="1207"/>
      <c r="JMJ765" s="1207"/>
      <c r="JMK765" s="1207"/>
      <c r="JML765" s="1207"/>
      <c r="JMM765" s="1207"/>
      <c r="JMN765" s="1207"/>
      <c r="JMO765" s="1207"/>
      <c r="JMP765" s="1207"/>
      <c r="JMQ765" s="1207"/>
      <c r="JMR765" s="1207"/>
      <c r="JMS765" s="1207"/>
      <c r="JMT765" s="1207"/>
      <c r="JMU765" s="1207"/>
      <c r="JMV765" s="1207"/>
      <c r="JMW765" s="1207"/>
      <c r="JMX765" s="1207"/>
      <c r="JMY765" s="1207"/>
      <c r="JMZ765" s="1207"/>
      <c r="JNA765" s="1207"/>
      <c r="JNB765" s="1207"/>
      <c r="JNC765" s="1207"/>
      <c r="JND765" s="1207"/>
      <c r="JNE765" s="1207"/>
      <c r="JNF765" s="1207"/>
      <c r="JNG765" s="1207"/>
      <c r="JNH765" s="1207"/>
      <c r="JNI765" s="1207"/>
      <c r="JNJ765" s="1207"/>
      <c r="JNK765" s="1207"/>
      <c r="JNL765" s="1207"/>
      <c r="JNM765" s="1207"/>
      <c r="JNN765" s="1207"/>
      <c r="JNO765" s="1207"/>
      <c r="JNP765" s="1207"/>
      <c r="JNQ765" s="1207"/>
      <c r="JNR765" s="1207"/>
      <c r="JNS765" s="1207"/>
      <c r="JNT765" s="1207"/>
      <c r="JNU765" s="1207"/>
      <c r="JNV765" s="1207"/>
      <c r="JNW765" s="1207"/>
      <c r="JNX765" s="1207"/>
      <c r="JNY765" s="1207"/>
      <c r="JNZ765" s="1207"/>
      <c r="JOA765" s="1207"/>
      <c r="JOB765" s="1207"/>
      <c r="JOC765" s="1207"/>
      <c r="JOD765" s="1207"/>
      <c r="JOE765" s="1207"/>
      <c r="JOF765" s="1207"/>
      <c r="JOG765" s="1207"/>
      <c r="JOH765" s="1207"/>
      <c r="JOI765" s="1207"/>
      <c r="JOJ765" s="1207"/>
      <c r="JOK765" s="1207"/>
      <c r="JOL765" s="1207"/>
      <c r="JOM765" s="1207"/>
      <c r="JON765" s="1207"/>
      <c r="JOO765" s="1207"/>
      <c r="JOP765" s="1207"/>
      <c r="JOQ765" s="1207"/>
      <c r="JOR765" s="1207"/>
      <c r="JOS765" s="1207"/>
      <c r="JOT765" s="1207"/>
      <c r="JOU765" s="1207"/>
      <c r="JOV765" s="1207"/>
      <c r="JOW765" s="1207"/>
      <c r="JOX765" s="1207"/>
      <c r="JOY765" s="1207"/>
      <c r="JOZ765" s="1207"/>
      <c r="JPA765" s="1207"/>
      <c r="JPB765" s="1207"/>
      <c r="JPC765" s="1207"/>
      <c r="JPD765" s="1207"/>
      <c r="JPE765" s="1207"/>
      <c r="JPF765" s="1207"/>
      <c r="JPG765" s="1207"/>
      <c r="JPH765" s="1207"/>
      <c r="JPI765" s="1207"/>
      <c r="JPJ765" s="1207"/>
      <c r="JPK765" s="1207"/>
      <c r="JPL765" s="1207"/>
      <c r="JPM765" s="1207"/>
      <c r="JPN765" s="1207"/>
      <c r="JPO765" s="1207"/>
      <c r="JPP765" s="1207"/>
      <c r="JPQ765" s="1207"/>
      <c r="JPR765" s="1207"/>
      <c r="JPS765" s="1207"/>
      <c r="JPT765" s="1207"/>
      <c r="JPU765" s="1207"/>
      <c r="JPV765" s="1207"/>
      <c r="JPW765" s="1207"/>
      <c r="JPX765" s="1207"/>
      <c r="JPY765" s="1207"/>
      <c r="JPZ765" s="1207"/>
      <c r="JQA765" s="1207"/>
      <c r="JQB765" s="1207"/>
      <c r="JQC765" s="1207"/>
      <c r="JQD765" s="1207"/>
      <c r="JQE765" s="1207"/>
      <c r="JQF765" s="1207"/>
      <c r="JQG765" s="1207"/>
      <c r="JQH765" s="1207"/>
      <c r="JQI765" s="1207"/>
      <c r="JQJ765" s="1207"/>
      <c r="JQK765" s="1207"/>
      <c r="JQL765" s="1207"/>
      <c r="JQM765" s="1207"/>
      <c r="JQN765" s="1207"/>
      <c r="JQO765" s="1207"/>
      <c r="JQP765" s="1207"/>
      <c r="JQQ765" s="1207"/>
      <c r="JQR765" s="1207"/>
      <c r="JQS765" s="1207"/>
      <c r="JQT765" s="1207"/>
      <c r="JQU765" s="1207"/>
      <c r="JQV765" s="1207"/>
      <c r="JQW765" s="1207"/>
      <c r="JQX765" s="1207"/>
      <c r="JQY765" s="1207"/>
      <c r="JQZ765" s="1207"/>
      <c r="JRA765" s="1207"/>
      <c r="JRB765" s="1207"/>
      <c r="JRC765" s="1207"/>
      <c r="JRD765" s="1207"/>
      <c r="JRE765" s="1207"/>
      <c r="JRF765" s="1207"/>
      <c r="JRG765" s="1207"/>
      <c r="JRH765" s="1207"/>
      <c r="JRI765" s="1207"/>
      <c r="JRJ765" s="1207"/>
      <c r="JRK765" s="1207"/>
      <c r="JRL765" s="1207"/>
      <c r="JRM765" s="1207"/>
      <c r="JRN765" s="1207"/>
      <c r="JRO765" s="1207"/>
      <c r="JRP765" s="1207"/>
      <c r="JRQ765" s="1207"/>
      <c r="JRR765" s="1207"/>
      <c r="JRS765" s="1207"/>
      <c r="JRT765" s="1207"/>
      <c r="JRU765" s="1207"/>
      <c r="JRV765" s="1207"/>
      <c r="JRW765" s="1207"/>
      <c r="JRX765" s="1207"/>
      <c r="JRY765" s="1207"/>
      <c r="JRZ765" s="1207"/>
      <c r="JSA765" s="1207"/>
      <c r="JSB765" s="1207"/>
      <c r="JSC765" s="1207"/>
      <c r="JSD765" s="1207"/>
      <c r="JSE765" s="1207"/>
      <c r="JSF765" s="1207"/>
      <c r="JSG765" s="1207"/>
      <c r="JSH765" s="1207"/>
      <c r="JSI765" s="1207"/>
      <c r="JSJ765" s="1207"/>
      <c r="JSK765" s="1207"/>
      <c r="JSL765" s="1207"/>
      <c r="JSM765" s="1207"/>
      <c r="JSN765" s="1207"/>
      <c r="JSO765" s="1207"/>
      <c r="JSP765" s="1207"/>
      <c r="JSQ765" s="1207"/>
      <c r="JSR765" s="1207"/>
      <c r="JSS765" s="1207"/>
      <c r="JST765" s="1207"/>
      <c r="JSU765" s="1207"/>
      <c r="JSV765" s="1207"/>
      <c r="JSW765" s="1207"/>
      <c r="JSX765" s="1207"/>
      <c r="JSY765" s="1207"/>
      <c r="JSZ765" s="1207"/>
      <c r="JTA765" s="1207"/>
      <c r="JTB765" s="1207"/>
      <c r="JTC765" s="1207"/>
      <c r="JTD765" s="1207"/>
      <c r="JTE765" s="1207"/>
      <c r="JTF765" s="1207"/>
      <c r="JTG765" s="1207"/>
      <c r="JTH765" s="1207"/>
      <c r="JTI765" s="1207"/>
      <c r="JTJ765" s="1207"/>
      <c r="JTK765" s="1207"/>
      <c r="JTL765" s="1207"/>
      <c r="JTM765" s="1207"/>
      <c r="JTN765" s="1207"/>
      <c r="JTO765" s="1207"/>
      <c r="JTP765" s="1207"/>
      <c r="JTQ765" s="1207"/>
      <c r="JTR765" s="1207"/>
      <c r="JTS765" s="1207"/>
      <c r="JTT765" s="1207"/>
      <c r="JTU765" s="1207"/>
      <c r="JTV765" s="1207"/>
      <c r="JTW765" s="1207"/>
      <c r="JTX765" s="1207"/>
      <c r="JTY765" s="1207"/>
      <c r="JTZ765" s="1207"/>
      <c r="JUA765" s="1207"/>
      <c r="JUB765" s="1207"/>
      <c r="JUC765" s="1207"/>
      <c r="JUD765" s="1207"/>
      <c r="JUE765" s="1207"/>
      <c r="JUF765" s="1207"/>
      <c r="JUG765" s="1207"/>
      <c r="JUH765" s="1207"/>
      <c r="JUI765" s="1207"/>
      <c r="JUJ765" s="1207"/>
      <c r="JUK765" s="1207"/>
      <c r="JUL765" s="1207"/>
      <c r="JUM765" s="1207"/>
      <c r="JUN765" s="1207"/>
      <c r="JUO765" s="1207"/>
      <c r="JUP765" s="1207"/>
      <c r="JUQ765" s="1207"/>
      <c r="JUR765" s="1207"/>
      <c r="JUS765" s="1207"/>
      <c r="JUT765" s="1207"/>
      <c r="JUU765" s="1207"/>
      <c r="JUV765" s="1207"/>
      <c r="JUW765" s="1207"/>
      <c r="JUX765" s="1207"/>
      <c r="JUY765" s="1207"/>
      <c r="JUZ765" s="1207"/>
      <c r="JVA765" s="1207"/>
      <c r="JVB765" s="1207"/>
      <c r="JVC765" s="1207"/>
      <c r="JVD765" s="1207"/>
      <c r="JVE765" s="1207"/>
      <c r="JVF765" s="1207"/>
      <c r="JVG765" s="1207"/>
      <c r="JVH765" s="1207"/>
      <c r="JVI765" s="1207"/>
      <c r="JVJ765" s="1207"/>
      <c r="JVK765" s="1207"/>
      <c r="JVL765" s="1207"/>
      <c r="JVM765" s="1207"/>
      <c r="JVN765" s="1207"/>
      <c r="JVO765" s="1207"/>
      <c r="JVP765" s="1207"/>
      <c r="JVQ765" s="1207"/>
      <c r="JVR765" s="1207"/>
      <c r="JVS765" s="1207"/>
      <c r="JVT765" s="1207"/>
      <c r="JVU765" s="1207"/>
      <c r="JVV765" s="1207"/>
      <c r="JVW765" s="1207"/>
      <c r="JVX765" s="1207"/>
      <c r="JVY765" s="1207"/>
      <c r="JVZ765" s="1207"/>
      <c r="JWA765" s="1207"/>
      <c r="JWB765" s="1207"/>
      <c r="JWC765" s="1207"/>
      <c r="JWD765" s="1207"/>
      <c r="JWE765" s="1207"/>
      <c r="JWF765" s="1207"/>
      <c r="JWG765" s="1207"/>
      <c r="JWH765" s="1207"/>
      <c r="JWI765" s="1207"/>
      <c r="JWJ765" s="1207"/>
      <c r="JWK765" s="1207"/>
      <c r="JWL765" s="1207"/>
      <c r="JWM765" s="1207"/>
      <c r="JWN765" s="1207"/>
      <c r="JWO765" s="1207"/>
      <c r="JWP765" s="1207"/>
      <c r="JWQ765" s="1207"/>
      <c r="JWR765" s="1207"/>
      <c r="JWS765" s="1207"/>
      <c r="JWT765" s="1207"/>
      <c r="JWU765" s="1207"/>
      <c r="JWV765" s="1207"/>
      <c r="JWW765" s="1207"/>
      <c r="JWX765" s="1207"/>
      <c r="JWY765" s="1207"/>
      <c r="JWZ765" s="1207"/>
      <c r="JXA765" s="1207"/>
      <c r="JXB765" s="1207"/>
      <c r="JXC765" s="1207"/>
      <c r="JXD765" s="1207"/>
      <c r="JXE765" s="1207"/>
      <c r="JXF765" s="1207"/>
      <c r="JXG765" s="1207"/>
      <c r="JXH765" s="1207"/>
      <c r="JXI765" s="1207"/>
      <c r="JXJ765" s="1207"/>
      <c r="JXK765" s="1207"/>
      <c r="JXL765" s="1207"/>
      <c r="JXM765" s="1207"/>
      <c r="JXN765" s="1207"/>
      <c r="JXO765" s="1207"/>
      <c r="JXP765" s="1207"/>
      <c r="JXQ765" s="1207"/>
      <c r="JXR765" s="1207"/>
      <c r="JXS765" s="1207"/>
      <c r="JXT765" s="1207"/>
      <c r="JXU765" s="1207"/>
      <c r="JXV765" s="1207"/>
      <c r="JXW765" s="1207"/>
      <c r="JXX765" s="1207"/>
      <c r="JXY765" s="1207"/>
      <c r="JXZ765" s="1207"/>
      <c r="JYA765" s="1207"/>
      <c r="JYB765" s="1207"/>
      <c r="JYC765" s="1207"/>
      <c r="JYD765" s="1207"/>
      <c r="JYE765" s="1207"/>
      <c r="JYF765" s="1207"/>
      <c r="JYG765" s="1207"/>
      <c r="JYH765" s="1207"/>
      <c r="JYI765" s="1207"/>
      <c r="JYJ765" s="1207"/>
      <c r="JYK765" s="1207"/>
      <c r="JYL765" s="1207"/>
      <c r="JYM765" s="1207"/>
      <c r="JYN765" s="1207"/>
      <c r="JYO765" s="1207"/>
      <c r="JYP765" s="1207"/>
      <c r="JYQ765" s="1207"/>
      <c r="JYR765" s="1207"/>
      <c r="JYS765" s="1207"/>
      <c r="JYT765" s="1207"/>
      <c r="JYU765" s="1207"/>
      <c r="JYV765" s="1207"/>
      <c r="JYW765" s="1207"/>
      <c r="JYX765" s="1207"/>
      <c r="JYY765" s="1207"/>
      <c r="JYZ765" s="1207"/>
      <c r="JZA765" s="1207"/>
      <c r="JZB765" s="1207"/>
      <c r="JZC765" s="1207"/>
      <c r="JZD765" s="1207"/>
      <c r="JZE765" s="1207"/>
      <c r="JZF765" s="1207"/>
      <c r="JZG765" s="1207"/>
      <c r="JZH765" s="1207"/>
      <c r="JZI765" s="1207"/>
      <c r="JZJ765" s="1207"/>
      <c r="JZK765" s="1207"/>
      <c r="JZL765" s="1207"/>
      <c r="JZM765" s="1207"/>
      <c r="JZN765" s="1207"/>
      <c r="JZO765" s="1207"/>
      <c r="JZP765" s="1207"/>
      <c r="JZQ765" s="1207"/>
      <c r="JZR765" s="1207"/>
      <c r="JZS765" s="1207"/>
      <c r="JZT765" s="1207"/>
      <c r="JZU765" s="1207"/>
      <c r="JZV765" s="1207"/>
      <c r="JZW765" s="1207"/>
      <c r="JZX765" s="1207"/>
      <c r="JZY765" s="1207"/>
      <c r="JZZ765" s="1207"/>
      <c r="KAA765" s="1207"/>
      <c r="KAB765" s="1207"/>
      <c r="KAC765" s="1207"/>
      <c r="KAD765" s="1207"/>
      <c r="KAE765" s="1207"/>
      <c r="KAF765" s="1207"/>
      <c r="KAG765" s="1207"/>
      <c r="KAH765" s="1207"/>
      <c r="KAI765" s="1207"/>
      <c r="KAJ765" s="1207"/>
      <c r="KAK765" s="1207"/>
      <c r="KAL765" s="1207"/>
      <c r="KAM765" s="1207"/>
      <c r="KAN765" s="1207"/>
      <c r="KAO765" s="1207"/>
      <c r="KAP765" s="1207"/>
      <c r="KAQ765" s="1207"/>
      <c r="KAR765" s="1207"/>
      <c r="KAS765" s="1207"/>
      <c r="KAT765" s="1207"/>
      <c r="KAU765" s="1207"/>
      <c r="KAV765" s="1207"/>
      <c r="KAW765" s="1207"/>
      <c r="KAX765" s="1207"/>
      <c r="KAY765" s="1207"/>
      <c r="KAZ765" s="1207"/>
      <c r="KBA765" s="1207"/>
      <c r="KBB765" s="1207"/>
      <c r="KBC765" s="1207"/>
      <c r="KBD765" s="1207"/>
      <c r="KBE765" s="1207"/>
      <c r="KBF765" s="1207"/>
      <c r="KBG765" s="1207"/>
      <c r="KBH765" s="1207"/>
      <c r="KBI765" s="1207"/>
      <c r="KBJ765" s="1207"/>
      <c r="KBK765" s="1207"/>
      <c r="KBL765" s="1207"/>
      <c r="KBM765" s="1207"/>
      <c r="KBN765" s="1207"/>
      <c r="KBO765" s="1207"/>
      <c r="KBP765" s="1207"/>
      <c r="KBQ765" s="1207"/>
      <c r="KBR765" s="1207"/>
      <c r="KBS765" s="1207"/>
      <c r="KBT765" s="1207"/>
      <c r="KBU765" s="1207"/>
      <c r="KBV765" s="1207"/>
      <c r="KBW765" s="1207"/>
      <c r="KBX765" s="1207"/>
      <c r="KBY765" s="1207"/>
      <c r="KBZ765" s="1207"/>
      <c r="KCA765" s="1207"/>
      <c r="KCB765" s="1207"/>
      <c r="KCC765" s="1207"/>
      <c r="KCD765" s="1207"/>
      <c r="KCE765" s="1207"/>
      <c r="KCF765" s="1207"/>
      <c r="KCG765" s="1207"/>
      <c r="KCH765" s="1207"/>
      <c r="KCI765" s="1207"/>
      <c r="KCJ765" s="1207"/>
      <c r="KCK765" s="1207"/>
      <c r="KCL765" s="1207"/>
      <c r="KCM765" s="1207"/>
      <c r="KCN765" s="1207"/>
      <c r="KCO765" s="1207"/>
      <c r="KCP765" s="1207"/>
      <c r="KCQ765" s="1207"/>
      <c r="KCR765" s="1207"/>
      <c r="KCS765" s="1207"/>
      <c r="KCT765" s="1207"/>
      <c r="KCU765" s="1207"/>
      <c r="KCV765" s="1207"/>
      <c r="KCW765" s="1207"/>
      <c r="KCX765" s="1207"/>
      <c r="KCY765" s="1207"/>
      <c r="KCZ765" s="1207"/>
      <c r="KDA765" s="1207"/>
      <c r="KDB765" s="1207"/>
      <c r="KDC765" s="1207"/>
      <c r="KDD765" s="1207"/>
      <c r="KDE765" s="1207"/>
      <c r="KDF765" s="1207"/>
      <c r="KDG765" s="1207"/>
      <c r="KDH765" s="1207"/>
      <c r="KDI765" s="1207"/>
      <c r="KDJ765" s="1207"/>
      <c r="KDK765" s="1207"/>
      <c r="KDL765" s="1207"/>
      <c r="KDM765" s="1207"/>
      <c r="KDN765" s="1207"/>
      <c r="KDO765" s="1207"/>
      <c r="KDP765" s="1207"/>
      <c r="KDQ765" s="1207"/>
      <c r="KDR765" s="1207"/>
      <c r="KDS765" s="1207"/>
      <c r="KDT765" s="1207"/>
      <c r="KDU765" s="1207"/>
      <c r="KDV765" s="1207"/>
      <c r="KDW765" s="1207"/>
      <c r="KDX765" s="1207"/>
      <c r="KDY765" s="1207"/>
      <c r="KDZ765" s="1207"/>
      <c r="KEA765" s="1207"/>
      <c r="KEB765" s="1207"/>
      <c r="KEC765" s="1207"/>
      <c r="KED765" s="1207"/>
      <c r="KEE765" s="1207"/>
      <c r="KEF765" s="1207"/>
      <c r="KEG765" s="1207"/>
      <c r="KEH765" s="1207"/>
      <c r="KEI765" s="1207"/>
      <c r="KEJ765" s="1207"/>
      <c r="KEK765" s="1207"/>
      <c r="KEL765" s="1207"/>
      <c r="KEM765" s="1207"/>
      <c r="KEN765" s="1207"/>
      <c r="KEO765" s="1207"/>
      <c r="KEP765" s="1207"/>
      <c r="KEQ765" s="1207"/>
      <c r="KER765" s="1207"/>
      <c r="KES765" s="1207"/>
      <c r="KET765" s="1207"/>
      <c r="KEU765" s="1207"/>
      <c r="KEV765" s="1207"/>
      <c r="KEW765" s="1207"/>
      <c r="KEX765" s="1207"/>
      <c r="KEY765" s="1207"/>
      <c r="KEZ765" s="1207"/>
      <c r="KFA765" s="1207"/>
      <c r="KFB765" s="1207"/>
      <c r="KFC765" s="1207"/>
      <c r="KFD765" s="1207"/>
      <c r="KFE765" s="1207"/>
      <c r="KFF765" s="1207"/>
      <c r="KFG765" s="1207"/>
      <c r="KFH765" s="1207"/>
      <c r="KFI765" s="1207"/>
      <c r="KFJ765" s="1207"/>
      <c r="KFK765" s="1207"/>
      <c r="KFL765" s="1207"/>
      <c r="KFM765" s="1207"/>
      <c r="KFN765" s="1207"/>
      <c r="KFO765" s="1207"/>
      <c r="KFP765" s="1207"/>
      <c r="KFQ765" s="1207"/>
      <c r="KFR765" s="1207"/>
      <c r="KFS765" s="1207"/>
      <c r="KFT765" s="1207"/>
      <c r="KFU765" s="1207"/>
      <c r="KFV765" s="1207"/>
      <c r="KFW765" s="1207"/>
      <c r="KFX765" s="1207"/>
      <c r="KFY765" s="1207"/>
      <c r="KFZ765" s="1207"/>
      <c r="KGA765" s="1207"/>
      <c r="KGB765" s="1207"/>
      <c r="KGC765" s="1207"/>
      <c r="KGD765" s="1207"/>
      <c r="KGE765" s="1207"/>
      <c r="KGF765" s="1207"/>
      <c r="KGG765" s="1207"/>
      <c r="KGH765" s="1207"/>
      <c r="KGI765" s="1207"/>
      <c r="KGJ765" s="1207"/>
      <c r="KGK765" s="1207"/>
      <c r="KGL765" s="1207"/>
      <c r="KGM765" s="1207"/>
      <c r="KGN765" s="1207"/>
      <c r="KGO765" s="1207"/>
      <c r="KGP765" s="1207"/>
      <c r="KGQ765" s="1207"/>
      <c r="KGR765" s="1207"/>
      <c r="KGS765" s="1207"/>
      <c r="KGT765" s="1207"/>
      <c r="KGU765" s="1207"/>
      <c r="KGV765" s="1207"/>
      <c r="KGW765" s="1207"/>
      <c r="KGX765" s="1207"/>
      <c r="KGY765" s="1207"/>
      <c r="KGZ765" s="1207"/>
      <c r="KHA765" s="1207"/>
      <c r="KHB765" s="1207"/>
      <c r="KHC765" s="1207"/>
      <c r="KHD765" s="1207"/>
      <c r="KHE765" s="1207"/>
      <c r="KHF765" s="1207"/>
      <c r="KHG765" s="1207"/>
      <c r="KHH765" s="1207"/>
      <c r="KHI765" s="1207"/>
      <c r="KHJ765" s="1207"/>
      <c r="KHK765" s="1207"/>
      <c r="KHL765" s="1207"/>
      <c r="KHM765" s="1207"/>
      <c r="KHN765" s="1207"/>
      <c r="KHO765" s="1207"/>
      <c r="KHP765" s="1207"/>
      <c r="KHQ765" s="1207"/>
      <c r="KHR765" s="1207"/>
      <c r="KHS765" s="1207"/>
      <c r="KHT765" s="1207"/>
      <c r="KHU765" s="1207"/>
      <c r="KHV765" s="1207"/>
      <c r="KHW765" s="1207"/>
      <c r="KHX765" s="1207"/>
      <c r="KHY765" s="1207"/>
      <c r="KHZ765" s="1207"/>
      <c r="KIA765" s="1207"/>
      <c r="KIB765" s="1207"/>
      <c r="KIC765" s="1207"/>
      <c r="KID765" s="1207"/>
      <c r="KIE765" s="1207"/>
      <c r="KIF765" s="1207"/>
      <c r="KIG765" s="1207"/>
      <c r="KIH765" s="1207"/>
      <c r="KII765" s="1207"/>
      <c r="KIJ765" s="1207"/>
      <c r="KIK765" s="1207"/>
      <c r="KIL765" s="1207"/>
      <c r="KIM765" s="1207"/>
      <c r="KIN765" s="1207"/>
      <c r="KIO765" s="1207"/>
      <c r="KIP765" s="1207"/>
      <c r="KIQ765" s="1207"/>
      <c r="KIR765" s="1207"/>
      <c r="KIS765" s="1207"/>
      <c r="KIT765" s="1207"/>
      <c r="KIU765" s="1207"/>
      <c r="KIV765" s="1207"/>
      <c r="KIW765" s="1207"/>
      <c r="KIX765" s="1207"/>
      <c r="KIY765" s="1207"/>
      <c r="KIZ765" s="1207"/>
      <c r="KJA765" s="1207"/>
      <c r="KJB765" s="1207"/>
      <c r="KJC765" s="1207"/>
      <c r="KJD765" s="1207"/>
      <c r="KJE765" s="1207"/>
      <c r="KJF765" s="1207"/>
      <c r="KJG765" s="1207"/>
      <c r="KJH765" s="1207"/>
      <c r="KJI765" s="1207"/>
      <c r="KJJ765" s="1207"/>
      <c r="KJK765" s="1207"/>
      <c r="KJL765" s="1207"/>
      <c r="KJM765" s="1207"/>
      <c r="KJN765" s="1207"/>
      <c r="KJO765" s="1207"/>
      <c r="KJP765" s="1207"/>
      <c r="KJQ765" s="1207"/>
      <c r="KJR765" s="1207"/>
      <c r="KJS765" s="1207"/>
      <c r="KJT765" s="1207"/>
      <c r="KJU765" s="1207"/>
      <c r="KJV765" s="1207"/>
      <c r="KJW765" s="1207"/>
      <c r="KJX765" s="1207"/>
      <c r="KJY765" s="1207"/>
      <c r="KJZ765" s="1207"/>
      <c r="KKA765" s="1207"/>
      <c r="KKB765" s="1207"/>
      <c r="KKC765" s="1207"/>
      <c r="KKD765" s="1207"/>
      <c r="KKE765" s="1207"/>
      <c r="KKF765" s="1207"/>
      <c r="KKG765" s="1207"/>
      <c r="KKH765" s="1207"/>
      <c r="KKI765" s="1207"/>
      <c r="KKJ765" s="1207"/>
      <c r="KKK765" s="1207"/>
      <c r="KKL765" s="1207"/>
      <c r="KKM765" s="1207"/>
      <c r="KKN765" s="1207"/>
      <c r="KKO765" s="1207"/>
      <c r="KKP765" s="1207"/>
      <c r="KKQ765" s="1207"/>
      <c r="KKR765" s="1207"/>
      <c r="KKS765" s="1207"/>
      <c r="KKT765" s="1207"/>
      <c r="KKU765" s="1207"/>
      <c r="KKV765" s="1207"/>
      <c r="KKW765" s="1207"/>
      <c r="KKX765" s="1207"/>
      <c r="KKY765" s="1207"/>
      <c r="KKZ765" s="1207"/>
      <c r="KLA765" s="1207"/>
      <c r="KLB765" s="1207"/>
      <c r="KLC765" s="1207"/>
      <c r="KLD765" s="1207"/>
      <c r="KLE765" s="1207"/>
      <c r="KLF765" s="1207"/>
      <c r="KLG765" s="1207"/>
      <c r="KLH765" s="1207"/>
      <c r="KLI765" s="1207"/>
      <c r="KLJ765" s="1207"/>
      <c r="KLK765" s="1207"/>
      <c r="KLL765" s="1207"/>
      <c r="KLM765" s="1207"/>
      <c r="KLN765" s="1207"/>
      <c r="KLO765" s="1207"/>
      <c r="KLP765" s="1207"/>
      <c r="KLQ765" s="1207"/>
      <c r="KLR765" s="1207"/>
      <c r="KLS765" s="1207"/>
      <c r="KLT765" s="1207"/>
      <c r="KLU765" s="1207"/>
      <c r="KLV765" s="1207"/>
      <c r="KLW765" s="1207"/>
      <c r="KLX765" s="1207"/>
      <c r="KLY765" s="1207"/>
      <c r="KLZ765" s="1207"/>
      <c r="KMA765" s="1207"/>
      <c r="KMB765" s="1207"/>
      <c r="KMC765" s="1207"/>
      <c r="KMD765" s="1207"/>
      <c r="KME765" s="1207"/>
      <c r="KMF765" s="1207"/>
      <c r="KMG765" s="1207"/>
      <c r="KMH765" s="1207"/>
      <c r="KMI765" s="1207"/>
      <c r="KMJ765" s="1207"/>
      <c r="KMK765" s="1207"/>
      <c r="KML765" s="1207"/>
      <c r="KMM765" s="1207"/>
      <c r="KMN765" s="1207"/>
      <c r="KMO765" s="1207"/>
      <c r="KMP765" s="1207"/>
      <c r="KMQ765" s="1207"/>
      <c r="KMR765" s="1207"/>
      <c r="KMS765" s="1207"/>
      <c r="KMT765" s="1207"/>
      <c r="KMU765" s="1207"/>
      <c r="KMV765" s="1207"/>
      <c r="KMW765" s="1207"/>
      <c r="KMX765" s="1207"/>
      <c r="KMY765" s="1207"/>
      <c r="KMZ765" s="1207"/>
      <c r="KNA765" s="1207"/>
      <c r="KNB765" s="1207"/>
      <c r="KNC765" s="1207"/>
      <c r="KND765" s="1207"/>
      <c r="KNE765" s="1207"/>
      <c r="KNF765" s="1207"/>
      <c r="KNG765" s="1207"/>
      <c r="KNH765" s="1207"/>
      <c r="KNI765" s="1207"/>
      <c r="KNJ765" s="1207"/>
      <c r="KNK765" s="1207"/>
      <c r="KNL765" s="1207"/>
      <c r="KNM765" s="1207"/>
      <c r="KNN765" s="1207"/>
      <c r="KNO765" s="1207"/>
      <c r="KNP765" s="1207"/>
      <c r="KNQ765" s="1207"/>
      <c r="KNR765" s="1207"/>
      <c r="KNS765" s="1207"/>
      <c r="KNT765" s="1207"/>
      <c r="KNU765" s="1207"/>
      <c r="KNV765" s="1207"/>
      <c r="KNW765" s="1207"/>
      <c r="KNX765" s="1207"/>
      <c r="KNY765" s="1207"/>
      <c r="KNZ765" s="1207"/>
      <c r="KOA765" s="1207"/>
      <c r="KOB765" s="1207"/>
      <c r="KOC765" s="1207"/>
      <c r="KOD765" s="1207"/>
      <c r="KOE765" s="1207"/>
      <c r="KOF765" s="1207"/>
      <c r="KOG765" s="1207"/>
      <c r="KOH765" s="1207"/>
      <c r="KOI765" s="1207"/>
      <c r="KOJ765" s="1207"/>
      <c r="KOK765" s="1207"/>
      <c r="KOL765" s="1207"/>
      <c r="KOM765" s="1207"/>
      <c r="KON765" s="1207"/>
      <c r="KOO765" s="1207"/>
      <c r="KOP765" s="1207"/>
      <c r="KOQ765" s="1207"/>
      <c r="KOR765" s="1207"/>
      <c r="KOS765" s="1207"/>
      <c r="KOT765" s="1207"/>
      <c r="KOU765" s="1207"/>
      <c r="KOV765" s="1207"/>
      <c r="KOW765" s="1207"/>
      <c r="KOX765" s="1207"/>
      <c r="KOY765" s="1207"/>
      <c r="KOZ765" s="1207"/>
      <c r="KPA765" s="1207"/>
      <c r="KPB765" s="1207"/>
      <c r="KPC765" s="1207"/>
      <c r="KPD765" s="1207"/>
      <c r="KPE765" s="1207"/>
      <c r="KPF765" s="1207"/>
      <c r="KPG765" s="1207"/>
      <c r="KPH765" s="1207"/>
      <c r="KPI765" s="1207"/>
      <c r="KPJ765" s="1207"/>
      <c r="KPK765" s="1207"/>
      <c r="KPL765" s="1207"/>
      <c r="KPM765" s="1207"/>
      <c r="KPN765" s="1207"/>
      <c r="KPO765" s="1207"/>
      <c r="KPP765" s="1207"/>
      <c r="KPQ765" s="1207"/>
      <c r="KPR765" s="1207"/>
      <c r="KPS765" s="1207"/>
      <c r="KPT765" s="1207"/>
      <c r="KPU765" s="1207"/>
      <c r="KPV765" s="1207"/>
      <c r="KPW765" s="1207"/>
      <c r="KPX765" s="1207"/>
      <c r="KPY765" s="1207"/>
      <c r="KPZ765" s="1207"/>
      <c r="KQA765" s="1207"/>
      <c r="KQB765" s="1207"/>
      <c r="KQC765" s="1207"/>
      <c r="KQD765" s="1207"/>
      <c r="KQE765" s="1207"/>
      <c r="KQF765" s="1207"/>
      <c r="KQG765" s="1207"/>
      <c r="KQH765" s="1207"/>
      <c r="KQI765" s="1207"/>
      <c r="KQJ765" s="1207"/>
      <c r="KQK765" s="1207"/>
      <c r="KQL765" s="1207"/>
      <c r="KQM765" s="1207"/>
      <c r="KQN765" s="1207"/>
      <c r="KQO765" s="1207"/>
      <c r="KQP765" s="1207"/>
      <c r="KQQ765" s="1207"/>
      <c r="KQR765" s="1207"/>
      <c r="KQS765" s="1207"/>
      <c r="KQT765" s="1207"/>
      <c r="KQU765" s="1207"/>
      <c r="KQV765" s="1207"/>
      <c r="KQW765" s="1207"/>
      <c r="KQX765" s="1207"/>
      <c r="KQY765" s="1207"/>
      <c r="KQZ765" s="1207"/>
      <c r="KRA765" s="1207"/>
      <c r="KRB765" s="1207"/>
      <c r="KRC765" s="1207"/>
      <c r="KRD765" s="1207"/>
      <c r="KRE765" s="1207"/>
      <c r="KRF765" s="1207"/>
      <c r="KRG765" s="1207"/>
      <c r="KRH765" s="1207"/>
      <c r="KRI765" s="1207"/>
      <c r="KRJ765" s="1207"/>
      <c r="KRK765" s="1207"/>
      <c r="KRL765" s="1207"/>
      <c r="KRM765" s="1207"/>
      <c r="KRN765" s="1207"/>
      <c r="KRO765" s="1207"/>
      <c r="KRP765" s="1207"/>
      <c r="KRQ765" s="1207"/>
      <c r="KRR765" s="1207"/>
      <c r="KRS765" s="1207"/>
      <c r="KRT765" s="1207"/>
      <c r="KRU765" s="1207"/>
      <c r="KRV765" s="1207"/>
      <c r="KRW765" s="1207"/>
      <c r="KRX765" s="1207"/>
      <c r="KRY765" s="1207"/>
      <c r="KRZ765" s="1207"/>
      <c r="KSA765" s="1207"/>
      <c r="KSB765" s="1207"/>
      <c r="KSC765" s="1207"/>
      <c r="KSD765" s="1207"/>
      <c r="KSE765" s="1207"/>
      <c r="KSF765" s="1207"/>
      <c r="KSG765" s="1207"/>
      <c r="KSH765" s="1207"/>
      <c r="KSI765" s="1207"/>
      <c r="KSJ765" s="1207"/>
      <c r="KSK765" s="1207"/>
      <c r="KSL765" s="1207"/>
      <c r="KSM765" s="1207"/>
      <c r="KSN765" s="1207"/>
      <c r="KSO765" s="1207"/>
      <c r="KSP765" s="1207"/>
      <c r="KSQ765" s="1207"/>
      <c r="KSR765" s="1207"/>
      <c r="KSS765" s="1207"/>
      <c r="KST765" s="1207"/>
      <c r="KSU765" s="1207"/>
      <c r="KSV765" s="1207"/>
      <c r="KSW765" s="1207"/>
      <c r="KSX765" s="1207"/>
      <c r="KSY765" s="1207"/>
      <c r="KSZ765" s="1207"/>
      <c r="KTA765" s="1207"/>
      <c r="KTB765" s="1207"/>
      <c r="KTC765" s="1207"/>
      <c r="KTD765" s="1207"/>
      <c r="KTE765" s="1207"/>
      <c r="KTF765" s="1207"/>
      <c r="KTG765" s="1207"/>
      <c r="KTH765" s="1207"/>
      <c r="KTI765" s="1207"/>
      <c r="KTJ765" s="1207"/>
      <c r="KTK765" s="1207"/>
      <c r="KTL765" s="1207"/>
      <c r="KTM765" s="1207"/>
      <c r="KTN765" s="1207"/>
      <c r="KTO765" s="1207"/>
      <c r="KTP765" s="1207"/>
      <c r="KTQ765" s="1207"/>
      <c r="KTR765" s="1207"/>
      <c r="KTS765" s="1207"/>
      <c r="KTT765" s="1207"/>
      <c r="KTU765" s="1207"/>
      <c r="KTV765" s="1207"/>
      <c r="KTW765" s="1207"/>
      <c r="KTX765" s="1207"/>
      <c r="KTY765" s="1207"/>
      <c r="KTZ765" s="1207"/>
      <c r="KUA765" s="1207"/>
      <c r="KUB765" s="1207"/>
      <c r="KUC765" s="1207"/>
      <c r="KUD765" s="1207"/>
      <c r="KUE765" s="1207"/>
      <c r="KUF765" s="1207"/>
      <c r="KUG765" s="1207"/>
      <c r="KUH765" s="1207"/>
      <c r="KUI765" s="1207"/>
      <c r="KUJ765" s="1207"/>
      <c r="KUK765" s="1207"/>
      <c r="KUL765" s="1207"/>
      <c r="KUM765" s="1207"/>
      <c r="KUN765" s="1207"/>
      <c r="KUO765" s="1207"/>
      <c r="KUP765" s="1207"/>
      <c r="KUQ765" s="1207"/>
      <c r="KUR765" s="1207"/>
      <c r="KUS765" s="1207"/>
      <c r="KUT765" s="1207"/>
      <c r="KUU765" s="1207"/>
      <c r="KUV765" s="1207"/>
      <c r="KUW765" s="1207"/>
      <c r="KUX765" s="1207"/>
      <c r="KUY765" s="1207"/>
      <c r="KUZ765" s="1207"/>
      <c r="KVA765" s="1207"/>
      <c r="KVB765" s="1207"/>
      <c r="KVC765" s="1207"/>
      <c r="KVD765" s="1207"/>
      <c r="KVE765" s="1207"/>
      <c r="KVF765" s="1207"/>
      <c r="KVG765" s="1207"/>
      <c r="KVH765" s="1207"/>
      <c r="KVI765" s="1207"/>
      <c r="KVJ765" s="1207"/>
      <c r="KVK765" s="1207"/>
      <c r="KVL765" s="1207"/>
      <c r="KVM765" s="1207"/>
      <c r="KVN765" s="1207"/>
      <c r="KVO765" s="1207"/>
      <c r="KVP765" s="1207"/>
      <c r="KVQ765" s="1207"/>
      <c r="KVR765" s="1207"/>
      <c r="KVS765" s="1207"/>
      <c r="KVT765" s="1207"/>
      <c r="KVU765" s="1207"/>
      <c r="KVV765" s="1207"/>
      <c r="KVW765" s="1207"/>
      <c r="KVX765" s="1207"/>
      <c r="KVY765" s="1207"/>
      <c r="KVZ765" s="1207"/>
      <c r="KWA765" s="1207"/>
      <c r="KWB765" s="1207"/>
      <c r="KWC765" s="1207"/>
      <c r="KWD765" s="1207"/>
      <c r="KWE765" s="1207"/>
      <c r="KWF765" s="1207"/>
      <c r="KWG765" s="1207"/>
      <c r="KWH765" s="1207"/>
      <c r="KWI765" s="1207"/>
      <c r="KWJ765" s="1207"/>
      <c r="KWK765" s="1207"/>
      <c r="KWL765" s="1207"/>
      <c r="KWM765" s="1207"/>
      <c r="KWN765" s="1207"/>
      <c r="KWO765" s="1207"/>
      <c r="KWP765" s="1207"/>
      <c r="KWQ765" s="1207"/>
      <c r="KWR765" s="1207"/>
      <c r="KWS765" s="1207"/>
      <c r="KWT765" s="1207"/>
      <c r="KWU765" s="1207"/>
      <c r="KWV765" s="1207"/>
      <c r="KWW765" s="1207"/>
      <c r="KWX765" s="1207"/>
      <c r="KWY765" s="1207"/>
      <c r="KWZ765" s="1207"/>
      <c r="KXA765" s="1207"/>
      <c r="KXB765" s="1207"/>
      <c r="KXC765" s="1207"/>
      <c r="KXD765" s="1207"/>
      <c r="KXE765" s="1207"/>
      <c r="KXF765" s="1207"/>
      <c r="KXG765" s="1207"/>
      <c r="KXH765" s="1207"/>
      <c r="KXI765" s="1207"/>
      <c r="KXJ765" s="1207"/>
      <c r="KXK765" s="1207"/>
      <c r="KXL765" s="1207"/>
      <c r="KXM765" s="1207"/>
      <c r="KXN765" s="1207"/>
      <c r="KXO765" s="1207"/>
      <c r="KXP765" s="1207"/>
      <c r="KXQ765" s="1207"/>
      <c r="KXR765" s="1207"/>
      <c r="KXS765" s="1207"/>
      <c r="KXT765" s="1207"/>
      <c r="KXU765" s="1207"/>
      <c r="KXV765" s="1207"/>
      <c r="KXW765" s="1207"/>
      <c r="KXX765" s="1207"/>
      <c r="KXY765" s="1207"/>
      <c r="KXZ765" s="1207"/>
      <c r="KYA765" s="1207"/>
      <c r="KYB765" s="1207"/>
      <c r="KYC765" s="1207"/>
      <c r="KYD765" s="1207"/>
      <c r="KYE765" s="1207"/>
      <c r="KYF765" s="1207"/>
      <c r="KYG765" s="1207"/>
      <c r="KYH765" s="1207"/>
      <c r="KYI765" s="1207"/>
      <c r="KYJ765" s="1207"/>
      <c r="KYK765" s="1207"/>
      <c r="KYL765" s="1207"/>
      <c r="KYM765" s="1207"/>
      <c r="KYN765" s="1207"/>
      <c r="KYO765" s="1207"/>
      <c r="KYP765" s="1207"/>
      <c r="KYQ765" s="1207"/>
      <c r="KYR765" s="1207"/>
      <c r="KYS765" s="1207"/>
      <c r="KYT765" s="1207"/>
      <c r="KYU765" s="1207"/>
      <c r="KYV765" s="1207"/>
      <c r="KYW765" s="1207"/>
      <c r="KYX765" s="1207"/>
      <c r="KYY765" s="1207"/>
      <c r="KYZ765" s="1207"/>
      <c r="KZA765" s="1207"/>
      <c r="KZB765" s="1207"/>
      <c r="KZC765" s="1207"/>
      <c r="KZD765" s="1207"/>
      <c r="KZE765" s="1207"/>
      <c r="KZF765" s="1207"/>
      <c r="KZG765" s="1207"/>
      <c r="KZH765" s="1207"/>
      <c r="KZI765" s="1207"/>
      <c r="KZJ765" s="1207"/>
      <c r="KZK765" s="1207"/>
      <c r="KZL765" s="1207"/>
      <c r="KZM765" s="1207"/>
      <c r="KZN765" s="1207"/>
      <c r="KZO765" s="1207"/>
      <c r="KZP765" s="1207"/>
      <c r="KZQ765" s="1207"/>
      <c r="KZR765" s="1207"/>
      <c r="KZS765" s="1207"/>
      <c r="KZT765" s="1207"/>
      <c r="KZU765" s="1207"/>
      <c r="KZV765" s="1207"/>
      <c r="KZW765" s="1207"/>
      <c r="KZX765" s="1207"/>
      <c r="KZY765" s="1207"/>
      <c r="KZZ765" s="1207"/>
      <c r="LAA765" s="1207"/>
      <c r="LAB765" s="1207"/>
      <c r="LAC765" s="1207"/>
      <c r="LAD765" s="1207"/>
      <c r="LAE765" s="1207"/>
      <c r="LAF765" s="1207"/>
      <c r="LAG765" s="1207"/>
      <c r="LAH765" s="1207"/>
      <c r="LAI765" s="1207"/>
      <c r="LAJ765" s="1207"/>
      <c r="LAK765" s="1207"/>
      <c r="LAL765" s="1207"/>
      <c r="LAM765" s="1207"/>
      <c r="LAN765" s="1207"/>
      <c r="LAO765" s="1207"/>
      <c r="LAP765" s="1207"/>
      <c r="LAQ765" s="1207"/>
      <c r="LAR765" s="1207"/>
      <c r="LAS765" s="1207"/>
      <c r="LAT765" s="1207"/>
      <c r="LAU765" s="1207"/>
      <c r="LAV765" s="1207"/>
      <c r="LAW765" s="1207"/>
      <c r="LAX765" s="1207"/>
      <c r="LAY765" s="1207"/>
      <c r="LAZ765" s="1207"/>
      <c r="LBA765" s="1207"/>
      <c r="LBB765" s="1207"/>
      <c r="LBC765" s="1207"/>
      <c r="LBD765" s="1207"/>
      <c r="LBE765" s="1207"/>
      <c r="LBF765" s="1207"/>
      <c r="LBG765" s="1207"/>
      <c r="LBH765" s="1207"/>
      <c r="LBI765" s="1207"/>
      <c r="LBJ765" s="1207"/>
      <c r="LBK765" s="1207"/>
      <c r="LBL765" s="1207"/>
      <c r="LBM765" s="1207"/>
      <c r="LBN765" s="1207"/>
      <c r="LBO765" s="1207"/>
      <c r="LBP765" s="1207"/>
      <c r="LBQ765" s="1207"/>
      <c r="LBR765" s="1207"/>
      <c r="LBS765" s="1207"/>
      <c r="LBT765" s="1207"/>
      <c r="LBU765" s="1207"/>
      <c r="LBV765" s="1207"/>
      <c r="LBW765" s="1207"/>
      <c r="LBX765" s="1207"/>
      <c r="LBY765" s="1207"/>
      <c r="LBZ765" s="1207"/>
      <c r="LCA765" s="1207"/>
      <c r="LCB765" s="1207"/>
      <c r="LCC765" s="1207"/>
      <c r="LCD765" s="1207"/>
      <c r="LCE765" s="1207"/>
      <c r="LCF765" s="1207"/>
      <c r="LCG765" s="1207"/>
      <c r="LCH765" s="1207"/>
      <c r="LCI765" s="1207"/>
      <c r="LCJ765" s="1207"/>
      <c r="LCK765" s="1207"/>
      <c r="LCL765" s="1207"/>
      <c r="LCM765" s="1207"/>
      <c r="LCN765" s="1207"/>
      <c r="LCO765" s="1207"/>
      <c r="LCP765" s="1207"/>
      <c r="LCQ765" s="1207"/>
      <c r="LCR765" s="1207"/>
      <c r="LCS765" s="1207"/>
      <c r="LCT765" s="1207"/>
      <c r="LCU765" s="1207"/>
      <c r="LCV765" s="1207"/>
      <c r="LCW765" s="1207"/>
      <c r="LCX765" s="1207"/>
      <c r="LCY765" s="1207"/>
      <c r="LCZ765" s="1207"/>
      <c r="LDA765" s="1207"/>
      <c r="LDB765" s="1207"/>
      <c r="LDC765" s="1207"/>
      <c r="LDD765" s="1207"/>
      <c r="LDE765" s="1207"/>
      <c r="LDF765" s="1207"/>
      <c r="LDG765" s="1207"/>
      <c r="LDH765" s="1207"/>
      <c r="LDI765" s="1207"/>
      <c r="LDJ765" s="1207"/>
      <c r="LDK765" s="1207"/>
      <c r="LDL765" s="1207"/>
      <c r="LDM765" s="1207"/>
      <c r="LDN765" s="1207"/>
      <c r="LDO765" s="1207"/>
      <c r="LDP765" s="1207"/>
      <c r="LDQ765" s="1207"/>
      <c r="LDR765" s="1207"/>
      <c r="LDS765" s="1207"/>
      <c r="LDT765" s="1207"/>
      <c r="LDU765" s="1207"/>
      <c r="LDV765" s="1207"/>
      <c r="LDW765" s="1207"/>
      <c r="LDX765" s="1207"/>
      <c r="LDY765" s="1207"/>
      <c r="LDZ765" s="1207"/>
      <c r="LEA765" s="1207"/>
      <c r="LEB765" s="1207"/>
      <c r="LEC765" s="1207"/>
      <c r="LED765" s="1207"/>
      <c r="LEE765" s="1207"/>
      <c r="LEF765" s="1207"/>
      <c r="LEG765" s="1207"/>
      <c r="LEH765" s="1207"/>
      <c r="LEI765" s="1207"/>
      <c r="LEJ765" s="1207"/>
      <c r="LEK765" s="1207"/>
      <c r="LEL765" s="1207"/>
      <c r="LEM765" s="1207"/>
      <c r="LEN765" s="1207"/>
      <c r="LEO765" s="1207"/>
      <c r="LEP765" s="1207"/>
      <c r="LEQ765" s="1207"/>
      <c r="LER765" s="1207"/>
      <c r="LES765" s="1207"/>
      <c r="LET765" s="1207"/>
      <c r="LEU765" s="1207"/>
      <c r="LEV765" s="1207"/>
      <c r="LEW765" s="1207"/>
      <c r="LEX765" s="1207"/>
      <c r="LEY765" s="1207"/>
      <c r="LEZ765" s="1207"/>
      <c r="LFA765" s="1207"/>
      <c r="LFB765" s="1207"/>
      <c r="LFC765" s="1207"/>
      <c r="LFD765" s="1207"/>
      <c r="LFE765" s="1207"/>
      <c r="LFF765" s="1207"/>
      <c r="LFG765" s="1207"/>
      <c r="LFH765" s="1207"/>
      <c r="LFI765" s="1207"/>
      <c r="LFJ765" s="1207"/>
      <c r="LFK765" s="1207"/>
      <c r="LFL765" s="1207"/>
      <c r="LFM765" s="1207"/>
      <c r="LFN765" s="1207"/>
      <c r="LFO765" s="1207"/>
      <c r="LFP765" s="1207"/>
      <c r="LFQ765" s="1207"/>
      <c r="LFR765" s="1207"/>
      <c r="LFS765" s="1207"/>
      <c r="LFT765" s="1207"/>
      <c r="LFU765" s="1207"/>
      <c r="LFV765" s="1207"/>
      <c r="LFW765" s="1207"/>
      <c r="LFX765" s="1207"/>
      <c r="LFY765" s="1207"/>
      <c r="LFZ765" s="1207"/>
      <c r="LGA765" s="1207"/>
      <c r="LGB765" s="1207"/>
      <c r="LGC765" s="1207"/>
      <c r="LGD765" s="1207"/>
      <c r="LGE765" s="1207"/>
      <c r="LGF765" s="1207"/>
      <c r="LGG765" s="1207"/>
      <c r="LGH765" s="1207"/>
      <c r="LGI765" s="1207"/>
      <c r="LGJ765" s="1207"/>
      <c r="LGK765" s="1207"/>
      <c r="LGL765" s="1207"/>
      <c r="LGM765" s="1207"/>
      <c r="LGN765" s="1207"/>
      <c r="LGO765" s="1207"/>
      <c r="LGP765" s="1207"/>
      <c r="LGQ765" s="1207"/>
      <c r="LGR765" s="1207"/>
      <c r="LGS765" s="1207"/>
      <c r="LGT765" s="1207"/>
      <c r="LGU765" s="1207"/>
      <c r="LGV765" s="1207"/>
      <c r="LGW765" s="1207"/>
      <c r="LGX765" s="1207"/>
      <c r="LGY765" s="1207"/>
      <c r="LGZ765" s="1207"/>
      <c r="LHA765" s="1207"/>
      <c r="LHB765" s="1207"/>
      <c r="LHC765" s="1207"/>
      <c r="LHD765" s="1207"/>
      <c r="LHE765" s="1207"/>
      <c r="LHF765" s="1207"/>
      <c r="LHG765" s="1207"/>
      <c r="LHH765" s="1207"/>
      <c r="LHI765" s="1207"/>
      <c r="LHJ765" s="1207"/>
      <c r="LHK765" s="1207"/>
      <c r="LHL765" s="1207"/>
      <c r="LHM765" s="1207"/>
      <c r="LHN765" s="1207"/>
      <c r="LHO765" s="1207"/>
      <c r="LHP765" s="1207"/>
      <c r="LHQ765" s="1207"/>
      <c r="LHR765" s="1207"/>
      <c r="LHS765" s="1207"/>
      <c r="LHT765" s="1207"/>
      <c r="LHU765" s="1207"/>
      <c r="LHV765" s="1207"/>
      <c r="LHW765" s="1207"/>
      <c r="LHX765" s="1207"/>
      <c r="LHY765" s="1207"/>
      <c r="LHZ765" s="1207"/>
      <c r="LIA765" s="1207"/>
      <c r="LIB765" s="1207"/>
      <c r="LIC765" s="1207"/>
      <c r="LID765" s="1207"/>
      <c r="LIE765" s="1207"/>
      <c r="LIF765" s="1207"/>
      <c r="LIG765" s="1207"/>
      <c r="LIH765" s="1207"/>
      <c r="LII765" s="1207"/>
      <c r="LIJ765" s="1207"/>
      <c r="LIK765" s="1207"/>
      <c r="LIL765" s="1207"/>
      <c r="LIM765" s="1207"/>
      <c r="LIN765" s="1207"/>
      <c r="LIO765" s="1207"/>
      <c r="LIP765" s="1207"/>
      <c r="LIQ765" s="1207"/>
      <c r="LIR765" s="1207"/>
      <c r="LIS765" s="1207"/>
      <c r="LIT765" s="1207"/>
      <c r="LIU765" s="1207"/>
      <c r="LIV765" s="1207"/>
      <c r="LIW765" s="1207"/>
      <c r="LIX765" s="1207"/>
      <c r="LIY765" s="1207"/>
      <c r="LIZ765" s="1207"/>
      <c r="LJA765" s="1207"/>
      <c r="LJB765" s="1207"/>
      <c r="LJC765" s="1207"/>
      <c r="LJD765" s="1207"/>
      <c r="LJE765" s="1207"/>
      <c r="LJF765" s="1207"/>
      <c r="LJG765" s="1207"/>
      <c r="LJH765" s="1207"/>
      <c r="LJI765" s="1207"/>
      <c r="LJJ765" s="1207"/>
      <c r="LJK765" s="1207"/>
      <c r="LJL765" s="1207"/>
      <c r="LJM765" s="1207"/>
      <c r="LJN765" s="1207"/>
      <c r="LJO765" s="1207"/>
      <c r="LJP765" s="1207"/>
      <c r="LJQ765" s="1207"/>
      <c r="LJR765" s="1207"/>
      <c r="LJS765" s="1207"/>
      <c r="LJT765" s="1207"/>
      <c r="LJU765" s="1207"/>
      <c r="LJV765" s="1207"/>
      <c r="LJW765" s="1207"/>
      <c r="LJX765" s="1207"/>
      <c r="LJY765" s="1207"/>
      <c r="LJZ765" s="1207"/>
      <c r="LKA765" s="1207"/>
      <c r="LKB765" s="1207"/>
      <c r="LKC765" s="1207"/>
      <c r="LKD765" s="1207"/>
      <c r="LKE765" s="1207"/>
      <c r="LKF765" s="1207"/>
      <c r="LKG765" s="1207"/>
      <c r="LKH765" s="1207"/>
      <c r="LKI765" s="1207"/>
      <c r="LKJ765" s="1207"/>
      <c r="LKK765" s="1207"/>
      <c r="LKL765" s="1207"/>
      <c r="LKM765" s="1207"/>
      <c r="LKN765" s="1207"/>
      <c r="LKO765" s="1207"/>
      <c r="LKP765" s="1207"/>
      <c r="LKQ765" s="1207"/>
      <c r="LKR765" s="1207"/>
      <c r="LKS765" s="1207"/>
      <c r="LKT765" s="1207"/>
      <c r="LKU765" s="1207"/>
      <c r="LKV765" s="1207"/>
      <c r="LKW765" s="1207"/>
      <c r="LKX765" s="1207"/>
      <c r="LKY765" s="1207"/>
      <c r="LKZ765" s="1207"/>
      <c r="LLA765" s="1207"/>
      <c r="LLB765" s="1207"/>
      <c r="LLC765" s="1207"/>
      <c r="LLD765" s="1207"/>
      <c r="LLE765" s="1207"/>
      <c r="LLF765" s="1207"/>
      <c r="LLG765" s="1207"/>
      <c r="LLH765" s="1207"/>
      <c r="LLI765" s="1207"/>
      <c r="LLJ765" s="1207"/>
      <c r="LLK765" s="1207"/>
      <c r="LLL765" s="1207"/>
      <c r="LLM765" s="1207"/>
      <c r="LLN765" s="1207"/>
      <c r="LLO765" s="1207"/>
      <c r="LLP765" s="1207"/>
      <c r="LLQ765" s="1207"/>
      <c r="LLR765" s="1207"/>
      <c r="LLS765" s="1207"/>
      <c r="LLT765" s="1207"/>
      <c r="LLU765" s="1207"/>
      <c r="LLV765" s="1207"/>
      <c r="LLW765" s="1207"/>
      <c r="LLX765" s="1207"/>
      <c r="LLY765" s="1207"/>
      <c r="LLZ765" s="1207"/>
      <c r="LMA765" s="1207"/>
      <c r="LMB765" s="1207"/>
      <c r="LMC765" s="1207"/>
      <c r="LMD765" s="1207"/>
      <c r="LME765" s="1207"/>
      <c r="LMF765" s="1207"/>
      <c r="LMG765" s="1207"/>
      <c r="LMH765" s="1207"/>
      <c r="LMI765" s="1207"/>
      <c r="LMJ765" s="1207"/>
      <c r="LMK765" s="1207"/>
      <c r="LML765" s="1207"/>
      <c r="LMM765" s="1207"/>
      <c r="LMN765" s="1207"/>
      <c r="LMO765" s="1207"/>
      <c r="LMP765" s="1207"/>
      <c r="LMQ765" s="1207"/>
      <c r="LMR765" s="1207"/>
      <c r="LMS765" s="1207"/>
      <c r="LMT765" s="1207"/>
      <c r="LMU765" s="1207"/>
      <c r="LMV765" s="1207"/>
      <c r="LMW765" s="1207"/>
      <c r="LMX765" s="1207"/>
      <c r="LMY765" s="1207"/>
      <c r="LMZ765" s="1207"/>
      <c r="LNA765" s="1207"/>
      <c r="LNB765" s="1207"/>
      <c r="LNC765" s="1207"/>
      <c r="LND765" s="1207"/>
      <c r="LNE765" s="1207"/>
      <c r="LNF765" s="1207"/>
      <c r="LNG765" s="1207"/>
      <c r="LNH765" s="1207"/>
      <c r="LNI765" s="1207"/>
      <c r="LNJ765" s="1207"/>
      <c r="LNK765" s="1207"/>
      <c r="LNL765" s="1207"/>
      <c r="LNM765" s="1207"/>
      <c r="LNN765" s="1207"/>
      <c r="LNO765" s="1207"/>
      <c r="LNP765" s="1207"/>
      <c r="LNQ765" s="1207"/>
      <c r="LNR765" s="1207"/>
      <c r="LNS765" s="1207"/>
      <c r="LNT765" s="1207"/>
      <c r="LNU765" s="1207"/>
      <c r="LNV765" s="1207"/>
      <c r="LNW765" s="1207"/>
      <c r="LNX765" s="1207"/>
      <c r="LNY765" s="1207"/>
      <c r="LNZ765" s="1207"/>
      <c r="LOA765" s="1207"/>
      <c r="LOB765" s="1207"/>
      <c r="LOC765" s="1207"/>
      <c r="LOD765" s="1207"/>
      <c r="LOE765" s="1207"/>
      <c r="LOF765" s="1207"/>
      <c r="LOG765" s="1207"/>
      <c r="LOH765" s="1207"/>
      <c r="LOI765" s="1207"/>
      <c r="LOJ765" s="1207"/>
      <c r="LOK765" s="1207"/>
      <c r="LOL765" s="1207"/>
      <c r="LOM765" s="1207"/>
      <c r="LON765" s="1207"/>
      <c r="LOO765" s="1207"/>
      <c r="LOP765" s="1207"/>
      <c r="LOQ765" s="1207"/>
      <c r="LOR765" s="1207"/>
      <c r="LOS765" s="1207"/>
      <c r="LOT765" s="1207"/>
      <c r="LOU765" s="1207"/>
      <c r="LOV765" s="1207"/>
      <c r="LOW765" s="1207"/>
      <c r="LOX765" s="1207"/>
      <c r="LOY765" s="1207"/>
      <c r="LOZ765" s="1207"/>
      <c r="LPA765" s="1207"/>
      <c r="LPB765" s="1207"/>
      <c r="LPC765" s="1207"/>
      <c r="LPD765" s="1207"/>
      <c r="LPE765" s="1207"/>
      <c r="LPF765" s="1207"/>
      <c r="LPG765" s="1207"/>
      <c r="LPH765" s="1207"/>
      <c r="LPI765" s="1207"/>
      <c r="LPJ765" s="1207"/>
      <c r="LPK765" s="1207"/>
      <c r="LPL765" s="1207"/>
      <c r="LPM765" s="1207"/>
      <c r="LPN765" s="1207"/>
      <c r="LPO765" s="1207"/>
      <c r="LPP765" s="1207"/>
      <c r="LPQ765" s="1207"/>
      <c r="LPR765" s="1207"/>
      <c r="LPS765" s="1207"/>
      <c r="LPT765" s="1207"/>
      <c r="LPU765" s="1207"/>
      <c r="LPV765" s="1207"/>
      <c r="LPW765" s="1207"/>
      <c r="LPX765" s="1207"/>
      <c r="LPY765" s="1207"/>
      <c r="LPZ765" s="1207"/>
      <c r="LQA765" s="1207"/>
      <c r="LQB765" s="1207"/>
      <c r="LQC765" s="1207"/>
      <c r="LQD765" s="1207"/>
      <c r="LQE765" s="1207"/>
      <c r="LQF765" s="1207"/>
      <c r="LQG765" s="1207"/>
      <c r="LQH765" s="1207"/>
      <c r="LQI765" s="1207"/>
      <c r="LQJ765" s="1207"/>
      <c r="LQK765" s="1207"/>
      <c r="LQL765" s="1207"/>
      <c r="LQM765" s="1207"/>
      <c r="LQN765" s="1207"/>
      <c r="LQO765" s="1207"/>
      <c r="LQP765" s="1207"/>
      <c r="LQQ765" s="1207"/>
      <c r="LQR765" s="1207"/>
      <c r="LQS765" s="1207"/>
      <c r="LQT765" s="1207"/>
      <c r="LQU765" s="1207"/>
      <c r="LQV765" s="1207"/>
      <c r="LQW765" s="1207"/>
      <c r="LQX765" s="1207"/>
      <c r="LQY765" s="1207"/>
      <c r="LQZ765" s="1207"/>
      <c r="LRA765" s="1207"/>
      <c r="LRB765" s="1207"/>
      <c r="LRC765" s="1207"/>
      <c r="LRD765" s="1207"/>
      <c r="LRE765" s="1207"/>
      <c r="LRF765" s="1207"/>
      <c r="LRG765" s="1207"/>
      <c r="LRH765" s="1207"/>
      <c r="LRI765" s="1207"/>
      <c r="LRJ765" s="1207"/>
      <c r="LRK765" s="1207"/>
      <c r="LRL765" s="1207"/>
      <c r="LRM765" s="1207"/>
      <c r="LRN765" s="1207"/>
      <c r="LRO765" s="1207"/>
      <c r="LRP765" s="1207"/>
      <c r="LRQ765" s="1207"/>
      <c r="LRR765" s="1207"/>
      <c r="LRS765" s="1207"/>
      <c r="LRT765" s="1207"/>
      <c r="LRU765" s="1207"/>
      <c r="LRV765" s="1207"/>
      <c r="LRW765" s="1207"/>
      <c r="LRX765" s="1207"/>
      <c r="LRY765" s="1207"/>
      <c r="LRZ765" s="1207"/>
      <c r="LSA765" s="1207"/>
      <c r="LSB765" s="1207"/>
      <c r="LSC765" s="1207"/>
      <c r="LSD765" s="1207"/>
      <c r="LSE765" s="1207"/>
      <c r="LSF765" s="1207"/>
      <c r="LSG765" s="1207"/>
      <c r="LSH765" s="1207"/>
      <c r="LSI765" s="1207"/>
      <c r="LSJ765" s="1207"/>
      <c r="LSK765" s="1207"/>
      <c r="LSL765" s="1207"/>
      <c r="LSM765" s="1207"/>
      <c r="LSN765" s="1207"/>
      <c r="LSO765" s="1207"/>
      <c r="LSP765" s="1207"/>
      <c r="LSQ765" s="1207"/>
      <c r="LSR765" s="1207"/>
      <c r="LSS765" s="1207"/>
      <c r="LST765" s="1207"/>
      <c r="LSU765" s="1207"/>
      <c r="LSV765" s="1207"/>
      <c r="LSW765" s="1207"/>
      <c r="LSX765" s="1207"/>
      <c r="LSY765" s="1207"/>
      <c r="LSZ765" s="1207"/>
      <c r="LTA765" s="1207"/>
      <c r="LTB765" s="1207"/>
      <c r="LTC765" s="1207"/>
      <c r="LTD765" s="1207"/>
      <c r="LTE765" s="1207"/>
      <c r="LTF765" s="1207"/>
      <c r="LTG765" s="1207"/>
      <c r="LTH765" s="1207"/>
      <c r="LTI765" s="1207"/>
      <c r="LTJ765" s="1207"/>
      <c r="LTK765" s="1207"/>
      <c r="LTL765" s="1207"/>
      <c r="LTM765" s="1207"/>
      <c r="LTN765" s="1207"/>
      <c r="LTO765" s="1207"/>
      <c r="LTP765" s="1207"/>
      <c r="LTQ765" s="1207"/>
      <c r="LTR765" s="1207"/>
      <c r="LTS765" s="1207"/>
      <c r="LTT765" s="1207"/>
      <c r="LTU765" s="1207"/>
      <c r="LTV765" s="1207"/>
      <c r="LTW765" s="1207"/>
      <c r="LTX765" s="1207"/>
      <c r="LTY765" s="1207"/>
      <c r="LTZ765" s="1207"/>
      <c r="LUA765" s="1207"/>
      <c r="LUB765" s="1207"/>
      <c r="LUC765" s="1207"/>
      <c r="LUD765" s="1207"/>
      <c r="LUE765" s="1207"/>
      <c r="LUF765" s="1207"/>
      <c r="LUG765" s="1207"/>
      <c r="LUH765" s="1207"/>
      <c r="LUI765" s="1207"/>
      <c r="LUJ765" s="1207"/>
      <c r="LUK765" s="1207"/>
      <c r="LUL765" s="1207"/>
      <c r="LUM765" s="1207"/>
      <c r="LUN765" s="1207"/>
      <c r="LUO765" s="1207"/>
      <c r="LUP765" s="1207"/>
      <c r="LUQ765" s="1207"/>
      <c r="LUR765" s="1207"/>
      <c r="LUS765" s="1207"/>
      <c r="LUT765" s="1207"/>
      <c r="LUU765" s="1207"/>
      <c r="LUV765" s="1207"/>
      <c r="LUW765" s="1207"/>
      <c r="LUX765" s="1207"/>
      <c r="LUY765" s="1207"/>
      <c r="LUZ765" s="1207"/>
      <c r="LVA765" s="1207"/>
      <c r="LVB765" s="1207"/>
      <c r="LVC765" s="1207"/>
      <c r="LVD765" s="1207"/>
      <c r="LVE765" s="1207"/>
      <c r="LVF765" s="1207"/>
      <c r="LVG765" s="1207"/>
      <c r="LVH765" s="1207"/>
      <c r="LVI765" s="1207"/>
      <c r="LVJ765" s="1207"/>
      <c r="LVK765" s="1207"/>
      <c r="LVL765" s="1207"/>
      <c r="LVM765" s="1207"/>
      <c r="LVN765" s="1207"/>
      <c r="LVO765" s="1207"/>
      <c r="LVP765" s="1207"/>
      <c r="LVQ765" s="1207"/>
      <c r="LVR765" s="1207"/>
      <c r="LVS765" s="1207"/>
      <c r="LVT765" s="1207"/>
      <c r="LVU765" s="1207"/>
      <c r="LVV765" s="1207"/>
      <c r="LVW765" s="1207"/>
      <c r="LVX765" s="1207"/>
      <c r="LVY765" s="1207"/>
      <c r="LVZ765" s="1207"/>
      <c r="LWA765" s="1207"/>
      <c r="LWB765" s="1207"/>
      <c r="LWC765" s="1207"/>
      <c r="LWD765" s="1207"/>
      <c r="LWE765" s="1207"/>
      <c r="LWF765" s="1207"/>
      <c r="LWG765" s="1207"/>
      <c r="LWH765" s="1207"/>
      <c r="LWI765" s="1207"/>
      <c r="LWJ765" s="1207"/>
      <c r="LWK765" s="1207"/>
      <c r="LWL765" s="1207"/>
      <c r="LWM765" s="1207"/>
      <c r="LWN765" s="1207"/>
      <c r="LWO765" s="1207"/>
      <c r="LWP765" s="1207"/>
      <c r="LWQ765" s="1207"/>
      <c r="LWR765" s="1207"/>
      <c r="LWS765" s="1207"/>
      <c r="LWT765" s="1207"/>
      <c r="LWU765" s="1207"/>
      <c r="LWV765" s="1207"/>
      <c r="LWW765" s="1207"/>
      <c r="LWX765" s="1207"/>
      <c r="LWY765" s="1207"/>
      <c r="LWZ765" s="1207"/>
      <c r="LXA765" s="1207"/>
      <c r="LXB765" s="1207"/>
      <c r="LXC765" s="1207"/>
      <c r="LXD765" s="1207"/>
      <c r="LXE765" s="1207"/>
      <c r="LXF765" s="1207"/>
      <c r="LXG765" s="1207"/>
      <c r="LXH765" s="1207"/>
      <c r="LXI765" s="1207"/>
      <c r="LXJ765" s="1207"/>
      <c r="LXK765" s="1207"/>
      <c r="LXL765" s="1207"/>
      <c r="LXM765" s="1207"/>
      <c r="LXN765" s="1207"/>
      <c r="LXO765" s="1207"/>
      <c r="LXP765" s="1207"/>
      <c r="LXQ765" s="1207"/>
      <c r="LXR765" s="1207"/>
      <c r="LXS765" s="1207"/>
      <c r="LXT765" s="1207"/>
      <c r="LXU765" s="1207"/>
      <c r="LXV765" s="1207"/>
      <c r="LXW765" s="1207"/>
      <c r="LXX765" s="1207"/>
      <c r="LXY765" s="1207"/>
      <c r="LXZ765" s="1207"/>
      <c r="LYA765" s="1207"/>
      <c r="LYB765" s="1207"/>
      <c r="LYC765" s="1207"/>
      <c r="LYD765" s="1207"/>
      <c r="LYE765" s="1207"/>
      <c r="LYF765" s="1207"/>
      <c r="LYG765" s="1207"/>
      <c r="LYH765" s="1207"/>
      <c r="LYI765" s="1207"/>
      <c r="LYJ765" s="1207"/>
      <c r="LYK765" s="1207"/>
      <c r="LYL765" s="1207"/>
      <c r="LYM765" s="1207"/>
      <c r="LYN765" s="1207"/>
      <c r="LYO765" s="1207"/>
      <c r="LYP765" s="1207"/>
      <c r="LYQ765" s="1207"/>
      <c r="LYR765" s="1207"/>
      <c r="LYS765" s="1207"/>
      <c r="LYT765" s="1207"/>
      <c r="LYU765" s="1207"/>
      <c r="LYV765" s="1207"/>
      <c r="LYW765" s="1207"/>
      <c r="LYX765" s="1207"/>
      <c r="LYY765" s="1207"/>
      <c r="LYZ765" s="1207"/>
      <c r="LZA765" s="1207"/>
      <c r="LZB765" s="1207"/>
      <c r="LZC765" s="1207"/>
      <c r="LZD765" s="1207"/>
      <c r="LZE765" s="1207"/>
      <c r="LZF765" s="1207"/>
      <c r="LZG765" s="1207"/>
      <c r="LZH765" s="1207"/>
      <c r="LZI765" s="1207"/>
      <c r="LZJ765" s="1207"/>
      <c r="LZK765" s="1207"/>
      <c r="LZL765" s="1207"/>
      <c r="LZM765" s="1207"/>
      <c r="LZN765" s="1207"/>
      <c r="LZO765" s="1207"/>
      <c r="LZP765" s="1207"/>
      <c r="LZQ765" s="1207"/>
      <c r="LZR765" s="1207"/>
      <c r="LZS765" s="1207"/>
      <c r="LZT765" s="1207"/>
      <c r="LZU765" s="1207"/>
      <c r="LZV765" s="1207"/>
      <c r="LZW765" s="1207"/>
      <c r="LZX765" s="1207"/>
      <c r="LZY765" s="1207"/>
      <c r="LZZ765" s="1207"/>
      <c r="MAA765" s="1207"/>
      <c r="MAB765" s="1207"/>
      <c r="MAC765" s="1207"/>
      <c r="MAD765" s="1207"/>
      <c r="MAE765" s="1207"/>
      <c r="MAF765" s="1207"/>
      <c r="MAG765" s="1207"/>
      <c r="MAH765" s="1207"/>
      <c r="MAI765" s="1207"/>
      <c r="MAJ765" s="1207"/>
      <c r="MAK765" s="1207"/>
      <c r="MAL765" s="1207"/>
      <c r="MAM765" s="1207"/>
      <c r="MAN765" s="1207"/>
      <c r="MAO765" s="1207"/>
      <c r="MAP765" s="1207"/>
      <c r="MAQ765" s="1207"/>
      <c r="MAR765" s="1207"/>
      <c r="MAS765" s="1207"/>
      <c r="MAT765" s="1207"/>
      <c r="MAU765" s="1207"/>
      <c r="MAV765" s="1207"/>
      <c r="MAW765" s="1207"/>
      <c r="MAX765" s="1207"/>
      <c r="MAY765" s="1207"/>
      <c r="MAZ765" s="1207"/>
      <c r="MBA765" s="1207"/>
      <c r="MBB765" s="1207"/>
      <c r="MBC765" s="1207"/>
      <c r="MBD765" s="1207"/>
      <c r="MBE765" s="1207"/>
      <c r="MBF765" s="1207"/>
      <c r="MBG765" s="1207"/>
      <c r="MBH765" s="1207"/>
      <c r="MBI765" s="1207"/>
      <c r="MBJ765" s="1207"/>
      <c r="MBK765" s="1207"/>
      <c r="MBL765" s="1207"/>
      <c r="MBM765" s="1207"/>
      <c r="MBN765" s="1207"/>
      <c r="MBO765" s="1207"/>
      <c r="MBP765" s="1207"/>
      <c r="MBQ765" s="1207"/>
      <c r="MBR765" s="1207"/>
      <c r="MBS765" s="1207"/>
      <c r="MBT765" s="1207"/>
      <c r="MBU765" s="1207"/>
      <c r="MBV765" s="1207"/>
      <c r="MBW765" s="1207"/>
      <c r="MBX765" s="1207"/>
      <c r="MBY765" s="1207"/>
      <c r="MBZ765" s="1207"/>
      <c r="MCA765" s="1207"/>
      <c r="MCB765" s="1207"/>
      <c r="MCC765" s="1207"/>
      <c r="MCD765" s="1207"/>
      <c r="MCE765" s="1207"/>
      <c r="MCF765" s="1207"/>
      <c r="MCG765" s="1207"/>
      <c r="MCH765" s="1207"/>
      <c r="MCI765" s="1207"/>
      <c r="MCJ765" s="1207"/>
      <c r="MCK765" s="1207"/>
      <c r="MCL765" s="1207"/>
      <c r="MCM765" s="1207"/>
      <c r="MCN765" s="1207"/>
      <c r="MCO765" s="1207"/>
      <c r="MCP765" s="1207"/>
      <c r="MCQ765" s="1207"/>
      <c r="MCR765" s="1207"/>
      <c r="MCS765" s="1207"/>
      <c r="MCT765" s="1207"/>
      <c r="MCU765" s="1207"/>
      <c r="MCV765" s="1207"/>
      <c r="MCW765" s="1207"/>
      <c r="MCX765" s="1207"/>
      <c r="MCY765" s="1207"/>
      <c r="MCZ765" s="1207"/>
      <c r="MDA765" s="1207"/>
      <c r="MDB765" s="1207"/>
      <c r="MDC765" s="1207"/>
      <c r="MDD765" s="1207"/>
      <c r="MDE765" s="1207"/>
      <c r="MDF765" s="1207"/>
      <c r="MDG765" s="1207"/>
      <c r="MDH765" s="1207"/>
      <c r="MDI765" s="1207"/>
      <c r="MDJ765" s="1207"/>
      <c r="MDK765" s="1207"/>
      <c r="MDL765" s="1207"/>
      <c r="MDM765" s="1207"/>
      <c r="MDN765" s="1207"/>
      <c r="MDO765" s="1207"/>
      <c r="MDP765" s="1207"/>
      <c r="MDQ765" s="1207"/>
      <c r="MDR765" s="1207"/>
      <c r="MDS765" s="1207"/>
      <c r="MDT765" s="1207"/>
      <c r="MDU765" s="1207"/>
      <c r="MDV765" s="1207"/>
      <c r="MDW765" s="1207"/>
      <c r="MDX765" s="1207"/>
      <c r="MDY765" s="1207"/>
      <c r="MDZ765" s="1207"/>
      <c r="MEA765" s="1207"/>
      <c r="MEB765" s="1207"/>
      <c r="MEC765" s="1207"/>
      <c r="MED765" s="1207"/>
      <c r="MEE765" s="1207"/>
      <c r="MEF765" s="1207"/>
      <c r="MEG765" s="1207"/>
      <c r="MEH765" s="1207"/>
      <c r="MEI765" s="1207"/>
      <c r="MEJ765" s="1207"/>
      <c r="MEK765" s="1207"/>
      <c r="MEL765" s="1207"/>
      <c r="MEM765" s="1207"/>
      <c r="MEN765" s="1207"/>
      <c r="MEO765" s="1207"/>
      <c r="MEP765" s="1207"/>
      <c r="MEQ765" s="1207"/>
      <c r="MER765" s="1207"/>
      <c r="MES765" s="1207"/>
      <c r="MET765" s="1207"/>
      <c r="MEU765" s="1207"/>
      <c r="MEV765" s="1207"/>
      <c r="MEW765" s="1207"/>
      <c r="MEX765" s="1207"/>
      <c r="MEY765" s="1207"/>
      <c r="MEZ765" s="1207"/>
      <c r="MFA765" s="1207"/>
      <c r="MFB765" s="1207"/>
      <c r="MFC765" s="1207"/>
      <c r="MFD765" s="1207"/>
      <c r="MFE765" s="1207"/>
      <c r="MFF765" s="1207"/>
      <c r="MFG765" s="1207"/>
      <c r="MFH765" s="1207"/>
      <c r="MFI765" s="1207"/>
      <c r="MFJ765" s="1207"/>
      <c r="MFK765" s="1207"/>
      <c r="MFL765" s="1207"/>
      <c r="MFM765" s="1207"/>
      <c r="MFN765" s="1207"/>
      <c r="MFO765" s="1207"/>
      <c r="MFP765" s="1207"/>
      <c r="MFQ765" s="1207"/>
      <c r="MFR765" s="1207"/>
      <c r="MFS765" s="1207"/>
      <c r="MFT765" s="1207"/>
      <c r="MFU765" s="1207"/>
      <c r="MFV765" s="1207"/>
      <c r="MFW765" s="1207"/>
      <c r="MFX765" s="1207"/>
      <c r="MFY765" s="1207"/>
      <c r="MFZ765" s="1207"/>
      <c r="MGA765" s="1207"/>
      <c r="MGB765" s="1207"/>
      <c r="MGC765" s="1207"/>
      <c r="MGD765" s="1207"/>
      <c r="MGE765" s="1207"/>
      <c r="MGF765" s="1207"/>
      <c r="MGG765" s="1207"/>
      <c r="MGH765" s="1207"/>
      <c r="MGI765" s="1207"/>
      <c r="MGJ765" s="1207"/>
      <c r="MGK765" s="1207"/>
      <c r="MGL765" s="1207"/>
      <c r="MGM765" s="1207"/>
      <c r="MGN765" s="1207"/>
      <c r="MGO765" s="1207"/>
      <c r="MGP765" s="1207"/>
      <c r="MGQ765" s="1207"/>
      <c r="MGR765" s="1207"/>
      <c r="MGS765" s="1207"/>
      <c r="MGT765" s="1207"/>
      <c r="MGU765" s="1207"/>
      <c r="MGV765" s="1207"/>
      <c r="MGW765" s="1207"/>
      <c r="MGX765" s="1207"/>
      <c r="MGY765" s="1207"/>
      <c r="MGZ765" s="1207"/>
      <c r="MHA765" s="1207"/>
      <c r="MHB765" s="1207"/>
      <c r="MHC765" s="1207"/>
      <c r="MHD765" s="1207"/>
      <c r="MHE765" s="1207"/>
      <c r="MHF765" s="1207"/>
      <c r="MHG765" s="1207"/>
      <c r="MHH765" s="1207"/>
      <c r="MHI765" s="1207"/>
      <c r="MHJ765" s="1207"/>
      <c r="MHK765" s="1207"/>
      <c r="MHL765" s="1207"/>
      <c r="MHM765" s="1207"/>
      <c r="MHN765" s="1207"/>
      <c r="MHO765" s="1207"/>
      <c r="MHP765" s="1207"/>
      <c r="MHQ765" s="1207"/>
      <c r="MHR765" s="1207"/>
      <c r="MHS765" s="1207"/>
      <c r="MHT765" s="1207"/>
      <c r="MHU765" s="1207"/>
      <c r="MHV765" s="1207"/>
      <c r="MHW765" s="1207"/>
      <c r="MHX765" s="1207"/>
      <c r="MHY765" s="1207"/>
      <c r="MHZ765" s="1207"/>
      <c r="MIA765" s="1207"/>
      <c r="MIB765" s="1207"/>
      <c r="MIC765" s="1207"/>
      <c r="MID765" s="1207"/>
      <c r="MIE765" s="1207"/>
      <c r="MIF765" s="1207"/>
      <c r="MIG765" s="1207"/>
      <c r="MIH765" s="1207"/>
      <c r="MII765" s="1207"/>
      <c r="MIJ765" s="1207"/>
      <c r="MIK765" s="1207"/>
      <c r="MIL765" s="1207"/>
      <c r="MIM765" s="1207"/>
      <c r="MIN765" s="1207"/>
      <c r="MIO765" s="1207"/>
      <c r="MIP765" s="1207"/>
      <c r="MIQ765" s="1207"/>
      <c r="MIR765" s="1207"/>
      <c r="MIS765" s="1207"/>
      <c r="MIT765" s="1207"/>
      <c r="MIU765" s="1207"/>
      <c r="MIV765" s="1207"/>
      <c r="MIW765" s="1207"/>
      <c r="MIX765" s="1207"/>
      <c r="MIY765" s="1207"/>
      <c r="MIZ765" s="1207"/>
      <c r="MJA765" s="1207"/>
      <c r="MJB765" s="1207"/>
      <c r="MJC765" s="1207"/>
      <c r="MJD765" s="1207"/>
      <c r="MJE765" s="1207"/>
      <c r="MJF765" s="1207"/>
      <c r="MJG765" s="1207"/>
      <c r="MJH765" s="1207"/>
      <c r="MJI765" s="1207"/>
      <c r="MJJ765" s="1207"/>
      <c r="MJK765" s="1207"/>
      <c r="MJL765" s="1207"/>
      <c r="MJM765" s="1207"/>
      <c r="MJN765" s="1207"/>
      <c r="MJO765" s="1207"/>
      <c r="MJP765" s="1207"/>
      <c r="MJQ765" s="1207"/>
      <c r="MJR765" s="1207"/>
      <c r="MJS765" s="1207"/>
      <c r="MJT765" s="1207"/>
      <c r="MJU765" s="1207"/>
      <c r="MJV765" s="1207"/>
      <c r="MJW765" s="1207"/>
      <c r="MJX765" s="1207"/>
      <c r="MJY765" s="1207"/>
      <c r="MJZ765" s="1207"/>
      <c r="MKA765" s="1207"/>
      <c r="MKB765" s="1207"/>
      <c r="MKC765" s="1207"/>
      <c r="MKD765" s="1207"/>
      <c r="MKE765" s="1207"/>
      <c r="MKF765" s="1207"/>
      <c r="MKG765" s="1207"/>
      <c r="MKH765" s="1207"/>
      <c r="MKI765" s="1207"/>
      <c r="MKJ765" s="1207"/>
      <c r="MKK765" s="1207"/>
      <c r="MKL765" s="1207"/>
      <c r="MKM765" s="1207"/>
      <c r="MKN765" s="1207"/>
      <c r="MKO765" s="1207"/>
      <c r="MKP765" s="1207"/>
      <c r="MKQ765" s="1207"/>
      <c r="MKR765" s="1207"/>
      <c r="MKS765" s="1207"/>
      <c r="MKT765" s="1207"/>
      <c r="MKU765" s="1207"/>
      <c r="MKV765" s="1207"/>
      <c r="MKW765" s="1207"/>
      <c r="MKX765" s="1207"/>
      <c r="MKY765" s="1207"/>
      <c r="MKZ765" s="1207"/>
      <c r="MLA765" s="1207"/>
      <c r="MLB765" s="1207"/>
      <c r="MLC765" s="1207"/>
      <c r="MLD765" s="1207"/>
      <c r="MLE765" s="1207"/>
      <c r="MLF765" s="1207"/>
      <c r="MLG765" s="1207"/>
      <c r="MLH765" s="1207"/>
      <c r="MLI765" s="1207"/>
      <c r="MLJ765" s="1207"/>
      <c r="MLK765" s="1207"/>
      <c r="MLL765" s="1207"/>
      <c r="MLM765" s="1207"/>
      <c r="MLN765" s="1207"/>
      <c r="MLO765" s="1207"/>
      <c r="MLP765" s="1207"/>
      <c r="MLQ765" s="1207"/>
      <c r="MLR765" s="1207"/>
      <c r="MLS765" s="1207"/>
      <c r="MLT765" s="1207"/>
      <c r="MLU765" s="1207"/>
      <c r="MLV765" s="1207"/>
      <c r="MLW765" s="1207"/>
      <c r="MLX765" s="1207"/>
      <c r="MLY765" s="1207"/>
      <c r="MLZ765" s="1207"/>
      <c r="MMA765" s="1207"/>
      <c r="MMB765" s="1207"/>
      <c r="MMC765" s="1207"/>
      <c r="MMD765" s="1207"/>
      <c r="MME765" s="1207"/>
      <c r="MMF765" s="1207"/>
      <c r="MMG765" s="1207"/>
      <c r="MMH765" s="1207"/>
      <c r="MMI765" s="1207"/>
      <c r="MMJ765" s="1207"/>
      <c r="MMK765" s="1207"/>
      <c r="MML765" s="1207"/>
      <c r="MMM765" s="1207"/>
      <c r="MMN765" s="1207"/>
      <c r="MMO765" s="1207"/>
      <c r="MMP765" s="1207"/>
      <c r="MMQ765" s="1207"/>
      <c r="MMR765" s="1207"/>
      <c r="MMS765" s="1207"/>
      <c r="MMT765" s="1207"/>
      <c r="MMU765" s="1207"/>
      <c r="MMV765" s="1207"/>
      <c r="MMW765" s="1207"/>
      <c r="MMX765" s="1207"/>
      <c r="MMY765" s="1207"/>
      <c r="MMZ765" s="1207"/>
      <c r="MNA765" s="1207"/>
      <c r="MNB765" s="1207"/>
      <c r="MNC765" s="1207"/>
      <c r="MND765" s="1207"/>
      <c r="MNE765" s="1207"/>
      <c r="MNF765" s="1207"/>
      <c r="MNG765" s="1207"/>
      <c r="MNH765" s="1207"/>
      <c r="MNI765" s="1207"/>
      <c r="MNJ765" s="1207"/>
      <c r="MNK765" s="1207"/>
      <c r="MNL765" s="1207"/>
      <c r="MNM765" s="1207"/>
      <c r="MNN765" s="1207"/>
      <c r="MNO765" s="1207"/>
      <c r="MNP765" s="1207"/>
      <c r="MNQ765" s="1207"/>
      <c r="MNR765" s="1207"/>
      <c r="MNS765" s="1207"/>
      <c r="MNT765" s="1207"/>
      <c r="MNU765" s="1207"/>
      <c r="MNV765" s="1207"/>
      <c r="MNW765" s="1207"/>
      <c r="MNX765" s="1207"/>
      <c r="MNY765" s="1207"/>
      <c r="MNZ765" s="1207"/>
      <c r="MOA765" s="1207"/>
      <c r="MOB765" s="1207"/>
      <c r="MOC765" s="1207"/>
      <c r="MOD765" s="1207"/>
      <c r="MOE765" s="1207"/>
      <c r="MOF765" s="1207"/>
      <c r="MOG765" s="1207"/>
      <c r="MOH765" s="1207"/>
      <c r="MOI765" s="1207"/>
      <c r="MOJ765" s="1207"/>
      <c r="MOK765" s="1207"/>
      <c r="MOL765" s="1207"/>
      <c r="MOM765" s="1207"/>
      <c r="MON765" s="1207"/>
      <c r="MOO765" s="1207"/>
      <c r="MOP765" s="1207"/>
      <c r="MOQ765" s="1207"/>
      <c r="MOR765" s="1207"/>
      <c r="MOS765" s="1207"/>
      <c r="MOT765" s="1207"/>
      <c r="MOU765" s="1207"/>
      <c r="MOV765" s="1207"/>
      <c r="MOW765" s="1207"/>
      <c r="MOX765" s="1207"/>
      <c r="MOY765" s="1207"/>
      <c r="MOZ765" s="1207"/>
      <c r="MPA765" s="1207"/>
      <c r="MPB765" s="1207"/>
      <c r="MPC765" s="1207"/>
      <c r="MPD765" s="1207"/>
      <c r="MPE765" s="1207"/>
      <c r="MPF765" s="1207"/>
      <c r="MPG765" s="1207"/>
      <c r="MPH765" s="1207"/>
      <c r="MPI765" s="1207"/>
      <c r="MPJ765" s="1207"/>
      <c r="MPK765" s="1207"/>
      <c r="MPL765" s="1207"/>
      <c r="MPM765" s="1207"/>
      <c r="MPN765" s="1207"/>
      <c r="MPO765" s="1207"/>
      <c r="MPP765" s="1207"/>
      <c r="MPQ765" s="1207"/>
      <c r="MPR765" s="1207"/>
      <c r="MPS765" s="1207"/>
      <c r="MPT765" s="1207"/>
      <c r="MPU765" s="1207"/>
      <c r="MPV765" s="1207"/>
      <c r="MPW765" s="1207"/>
      <c r="MPX765" s="1207"/>
      <c r="MPY765" s="1207"/>
      <c r="MPZ765" s="1207"/>
      <c r="MQA765" s="1207"/>
      <c r="MQB765" s="1207"/>
      <c r="MQC765" s="1207"/>
      <c r="MQD765" s="1207"/>
      <c r="MQE765" s="1207"/>
      <c r="MQF765" s="1207"/>
      <c r="MQG765" s="1207"/>
      <c r="MQH765" s="1207"/>
      <c r="MQI765" s="1207"/>
      <c r="MQJ765" s="1207"/>
      <c r="MQK765" s="1207"/>
      <c r="MQL765" s="1207"/>
      <c r="MQM765" s="1207"/>
      <c r="MQN765" s="1207"/>
      <c r="MQO765" s="1207"/>
      <c r="MQP765" s="1207"/>
      <c r="MQQ765" s="1207"/>
      <c r="MQR765" s="1207"/>
      <c r="MQS765" s="1207"/>
      <c r="MQT765" s="1207"/>
      <c r="MQU765" s="1207"/>
      <c r="MQV765" s="1207"/>
      <c r="MQW765" s="1207"/>
      <c r="MQX765" s="1207"/>
      <c r="MQY765" s="1207"/>
      <c r="MQZ765" s="1207"/>
      <c r="MRA765" s="1207"/>
      <c r="MRB765" s="1207"/>
      <c r="MRC765" s="1207"/>
      <c r="MRD765" s="1207"/>
      <c r="MRE765" s="1207"/>
      <c r="MRF765" s="1207"/>
      <c r="MRG765" s="1207"/>
      <c r="MRH765" s="1207"/>
      <c r="MRI765" s="1207"/>
      <c r="MRJ765" s="1207"/>
      <c r="MRK765" s="1207"/>
      <c r="MRL765" s="1207"/>
      <c r="MRM765" s="1207"/>
      <c r="MRN765" s="1207"/>
      <c r="MRO765" s="1207"/>
      <c r="MRP765" s="1207"/>
      <c r="MRQ765" s="1207"/>
      <c r="MRR765" s="1207"/>
      <c r="MRS765" s="1207"/>
      <c r="MRT765" s="1207"/>
      <c r="MRU765" s="1207"/>
      <c r="MRV765" s="1207"/>
      <c r="MRW765" s="1207"/>
      <c r="MRX765" s="1207"/>
      <c r="MRY765" s="1207"/>
      <c r="MRZ765" s="1207"/>
      <c r="MSA765" s="1207"/>
      <c r="MSB765" s="1207"/>
      <c r="MSC765" s="1207"/>
      <c r="MSD765" s="1207"/>
      <c r="MSE765" s="1207"/>
      <c r="MSF765" s="1207"/>
      <c r="MSG765" s="1207"/>
      <c r="MSH765" s="1207"/>
      <c r="MSI765" s="1207"/>
      <c r="MSJ765" s="1207"/>
      <c r="MSK765" s="1207"/>
      <c r="MSL765" s="1207"/>
      <c r="MSM765" s="1207"/>
      <c r="MSN765" s="1207"/>
      <c r="MSO765" s="1207"/>
      <c r="MSP765" s="1207"/>
      <c r="MSQ765" s="1207"/>
      <c r="MSR765" s="1207"/>
      <c r="MSS765" s="1207"/>
      <c r="MST765" s="1207"/>
      <c r="MSU765" s="1207"/>
      <c r="MSV765" s="1207"/>
      <c r="MSW765" s="1207"/>
      <c r="MSX765" s="1207"/>
      <c r="MSY765" s="1207"/>
      <c r="MSZ765" s="1207"/>
      <c r="MTA765" s="1207"/>
      <c r="MTB765" s="1207"/>
      <c r="MTC765" s="1207"/>
      <c r="MTD765" s="1207"/>
      <c r="MTE765" s="1207"/>
      <c r="MTF765" s="1207"/>
      <c r="MTG765" s="1207"/>
      <c r="MTH765" s="1207"/>
      <c r="MTI765" s="1207"/>
      <c r="MTJ765" s="1207"/>
      <c r="MTK765" s="1207"/>
      <c r="MTL765" s="1207"/>
      <c r="MTM765" s="1207"/>
      <c r="MTN765" s="1207"/>
      <c r="MTO765" s="1207"/>
      <c r="MTP765" s="1207"/>
      <c r="MTQ765" s="1207"/>
      <c r="MTR765" s="1207"/>
      <c r="MTS765" s="1207"/>
      <c r="MTT765" s="1207"/>
      <c r="MTU765" s="1207"/>
      <c r="MTV765" s="1207"/>
      <c r="MTW765" s="1207"/>
      <c r="MTX765" s="1207"/>
      <c r="MTY765" s="1207"/>
      <c r="MTZ765" s="1207"/>
      <c r="MUA765" s="1207"/>
      <c r="MUB765" s="1207"/>
      <c r="MUC765" s="1207"/>
      <c r="MUD765" s="1207"/>
      <c r="MUE765" s="1207"/>
      <c r="MUF765" s="1207"/>
      <c r="MUG765" s="1207"/>
      <c r="MUH765" s="1207"/>
      <c r="MUI765" s="1207"/>
      <c r="MUJ765" s="1207"/>
      <c r="MUK765" s="1207"/>
      <c r="MUL765" s="1207"/>
      <c r="MUM765" s="1207"/>
      <c r="MUN765" s="1207"/>
      <c r="MUO765" s="1207"/>
      <c r="MUP765" s="1207"/>
      <c r="MUQ765" s="1207"/>
      <c r="MUR765" s="1207"/>
      <c r="MUS765" s="1207"/>
      <c r="MUT765" s="1207"/>
      <c r="MUU765" s="1207"/>
      <c r="MUV765" s="1207"/>
      <c r="MUW765" s="1207"/>
      <c r="MUX765" s="1207"/>
      <c r="MUY765" s="1207"/>
      <c r="MUZ765" s="1207"/>
      <c r="MVA765" s="1207"/>
      <c r="MVB765" s="1207"/>
      <c r="MVC765" s="1207"/>
      <c r="MVD765" s="1207"/>
      <c r="MVE765" s="1207"/>
      <c r="MVF765" s="1207"/>
      <c r="MVG765" s="1207"/>
      <c r="MVH765" s="1207"/>
      <c r="MVI765" s="1207"/>
      <c r="MVJ765" s="1207"/>
      <c r="MVK765" s="1207"/>
      <c r="MVL765" s="1207"/>
      <c r="MVM765" s="1207"/>
      <c r="MVN765" s="1207"/>
      <c r="MVO765" s="1207"/>
      <c r="MVP765" s="1207"/>
      <c r="MVQ765" s="1207"/>
      <c r="MVR765" s="1207"/>
      <c r="MVS765" s="1207"/>
      <c r="MVT765" s="1207"/>
      <c r="MVU765" s="1207"/>
      <c r="MVV765" s="1207"/>
      <c r="MVW765" s="1207"/>
      <c r="MVX765" s="1207"/>
      <c r="MVY765" s="1207"/>
      <c r="MVZ765" s="1207"/>
      <c r="MWA765" s="1207"/>
      <c r="MWB765" s="1207"/>
      <c r="MWC765" s="1207"/>
      <c r="MWD765" s="1207"/>
      <c r="MWE765" s="1207"/>
      <c r="MWF765" s="1207"/>
      <c r="MWG765" s="1207"/>
      <c r="MWH765" s="1207"/>
      <c r="MWI765" s="1207"/>
      <c r="MWJ765" s="1207"/>
      <c r="MWK765" s="1207"/>
      <c r="MWL765" s="1207"/>
      <c r="MWM765" s="1207"/>
      <c r="MWN765" s="1207"/>
      <c r="MWO765" s="1207"/>
      <c r="MWP765" s="1207"/>
      <c r="MWQ765" s="1207"/>
      <c r="MWR765" s="1207"/>
      <c r="MWS765" s="1207"/>
      <c r="MWT765" s="1207"/>
      <c r="MWU765" s="1207"/>
      <c r="MWV765" s="1207"/>
      <c r="MWW765" s="1207"/>
      <c r="MWX765" s="1207"/>
      <c r="MWY765" s="1207"/>
      <c r="MWZ765" s="1207"/>
      <c r="MXA765" s="1207"/>
      <c r="MXB765" s="1207"/>
      <c r="MXC765" s="1207"/>
      <c r="MXD765" s="1207"/>
      <c r="MXE765" s="1207"/>
      <c r="MXF765" s="1207"/>
      <c r="MXG765" s="1207"/>
      <c r="MXH765" s="1207"/>
      <c r="MXI765" s="1207"/>
      <c r="MXJ765" s="1207"/>
      <c r="MXK765" s="1207"/>
      <c r="MXL765" s="1207"/>
      <c r="MXM765" s="1207"/>
      <c r="MXN765" s="1207"/>
      <c r="MXO765" s="1207"/>
      <c r="MXP765" s="1207"/>
      <c r="MXQ765" s="1207"/>
      <c r="MXR765" s="1207"/>
      <c r="MXS765" s="1207"/>
      <c r="MXT765" s="1207"/>
      <c r="MXU765" s="1207"/>
      <c r="MXV765" s="1207"/>
      <c r="MXW765" s="1207"/>
      <c r="MXX765" s="1207"/>
      <c r="MXY765" s="1207"/>
      <c r="MXZ765" s="1207"/>
      <c r="MYA765" s="1207"/>
      <c r="MYB765" s="1207"/>
      <c r="MYC765" s="1207"/>
      <c r="MYD765" s="1207"/>
      <c r="MYE765" s="1207"/>
      <c r="MYF765" s="1207"/>
      <c r="MYG765" s="1207"/>
      <c r="MYH765" s="1207"/>
      <c r="MYI765" s="1207"/>
      <c r="MYJ765" s="1207"/>
      <c r="MYK765" s="1207"/>
      <c r="MYL765" s="1207"/>
      <c r="MYM765" s="1207"/>
      <c r="MYN765" s="1207"/>
      <c r="MYO765" s="1207"/>
      <c r="MYP765" s="1207"/>
      <c r="MYQ765" s="1207"/>
      <c r="MYR765" s="1207"/>
      <c r="MYS765" s="1207"/>
      <c r="MYT765" s="1207"/>
      <c r="MYU765" s="1207"/>
      <c r="MYV765" s="1207"/>
      <c r="MYW765" s="1207"/>
      <c r="MYX765" s="1207"/>
      <c r="MYY765" s="1207"/>
      <c r="MYZ765" s="1207"/>
      <c r="MZA765" s="1207"/>
      <c r="MZB765" s="1207"/>
      <c r="MZC765" s="1207"/>
      <c r="MZD765" s="1207"/>
      <c r="MZE765" s="1207"/>
      <c r="MZF765" s="1207"/>
      <c r="MZG765" s="1207"/>
      <c r="MZH765" s="1207"/>
      <c r="MZI765" s="1207"/>
      <c r="MZJ765" s="1207"/>
      <c r="MZK765" s="1207"/>
      <c r="MZL765" s="1207"/>
      <c r="MZM765" s="1207"/>
      <c r="MZN765" s="1207"/>
      <c r="MZO765" s="1207"/>
      <c r="MZP765" s="1207"/>
      <c r="MZQ765" s="1207"/>
      <c r="MZR765" s="1207"/>
      <c r="MZS765" s="1207"/>
      <c r="MZT765" s="1207"/>
      <c r="MZU765" s="1207"/>
      <c r="MZV765" s="1207"/>
      <c r="MZW765" s="1207"/>
      <c r="MZX765" s="1207"/>
      <c r="MZY765" s="1207"/>
      <c r="MZZ765" s="1207"/>
      <c r="NAA765" s="1207"/>
      <c r="NAB765" s="1207"/>
      <c r="NAC765" s="1207"/>
      <c r="NAD765" s="1207"/>
      <c r="NAE765" s="1207"/>
      <c r="NAF765" s="1207"/>
      <c r="NAG765" s="1207"/>
      <c r="NAH765" s="1207"/>
      <c r="NAI765" s="1207"/>
      <c r="NAJ765" s="1207"/>
      <c r="NAK765" s="1207"/>
      <c r="NAL765" s="1207"/>
      <c r="NAM765" s="1207"/>
      <c r="NAN765" s="1207"/>
      <c r="NAO765" s="1207"/>
      <c r="NAP765" s="1207"/>
      <c r="NAQ765" s="1207"/>
      <c r="NAR765" s="1207"/>
      <c r="NAS765" s="1207"/>
      <c r="NAT765" s="1207"/>
      <c r="NAU765" s="1207"/>
      <c r="NAV765" s="1207"/>
      <c r="NAW765" s="1207"/>
      <c r="NAX765" s="1207"/>
      <c r="NAY765" s="1207"/>
      <c r="NAZ765" s="1207"/>
      <c r="NBA765" s="1207"/>
      <c r="NBB765" s="1207"/>
      <c r="NBC765" s="1207"/>
      <c r="NBD765" s="1207"/>
      <c r="NBE765" s="1207"/>
      <c r="NBF765" s="1207"/>
      <c r="NBG765" s="1207"/>
      <c r="NBH765" s="1207"/>
      <c r="NBI765" s="1207"/>
      <c r="NBJ765" s="1207"/>
      <c r="NBK765" s="1207"/>
      <c r="NBL765" s="1207"/>
      <c r="NBM765" s="1207"/>
      <c r="NBN765" s="1207"/>
      <c r="NBO765" s="1207"/>
      <c r="NBP765" s="1207"/>
      <c r="NBQ765" s="1207"/>
      <c r="NBR765" s="1207"/>
      <c r="NBS765" s="1207"/>
      <c r="NBT765" s="1207"/>
      <c r="NBU765" s="1207"/>
      <c r="NBV765" s="1207"/>
      <c r="NBW765" s="1207"/>
      <c r="NBX765" s="1207"/>
      <c r="NBY765" s="1207"/>
      <c r="NBZ765" s="1207"/>
      <c r="NCA765" s="1207"/>
      <c r="NCB765" s="1207"/>
      <c r="NCC765" s="1207"/>
      <c r="NCD765" s="1207"/>
      <c r="NCE765" s="1207"/>
      <c r="NCF765" s="1207"/>
      <c r="NCG765" s="1207"/>
      <c r="NCH765" s="1207"/>
      <c r="NCI765" s="1207"/>
      <c r="NCJ765" s="1207"/>
      <c r="NCK765" s="1207"/>
      <c r="NCL765" s="1207"/>
      <c r="NCM765" s="1207"/>
      <c r="NCN765" s="1207"/>
      <c r="NCO765" s="1207"/>
      <c r="NCP765" s="1207"/>
      <c r="NCQ765" s="1207"/>
      <c r="NCR765" s="1207"/>
      <c r="NCS765" s="1207"/>
      <c r="NCT765" s="1207"/>
      <c r="NCU765" s="1207"/>
      <c r="NCV765" s="1207"/>
      <c r="NCW765" s="1207"/>
      <c r="NCX765" s="1207"/>
      <c r="NCY765" s="1207"/>
      <c r="NCZ765" s="1207"/>
      <c r="NDA765" s="1207"/>
      <c r="NDB765" s="1207"/>
      <c r="NDC765" s="1207"/>
      <c r="NDD765" s="1207"/>
      <c r="NDE765" s="1207"/>
      <c r="NDF765" s="1207"/>
      <c r="NDG765" s="1207"/>
      <c r="NDH765" s="1207"/>
      <c r="NDI765" s="1207"/>
      <c r="NDJ765" s="1207"/>
      <c r="NDK765" s="1207"/>
      <c r="NDL765" s="1207"/>
      <c r="NDM765" s="1207"/>
      <c r="NDN765" s="1207"/>
      <c r="NDO765" s="1207"/>
      <c r="NDP765" s="1207"/>
      <c r="NDQ765" s="1207"/>
      <c r="NDR765" s="1207"/>
      <c r="NDS765" s="1207"/>
      <c r="NDT765" s="1207"/>
      <c r="NDU765" s="1207"/>
      <c r="NDV765" s="1207"/>
      <c r="NDW765" s="1207"/>
      <c r="NDX765" s="1207"/>
      <c r="NDY765" s="1207"/>
      <c r="NDZ765" s="1207"/>
      <c r="NEA765" s="1207"/>
      <c r="NEB765" s="1207"/>
      <c r="NEC765" s="1207"/>
      <c r="NED765" s="1207"/>
      <c r="NEE765" s="1207"/>
      <c r="NEF765" s="1207"/>
      <c r="NEG765" s="1207"/>
      <c r="NEH765" s="1207"/>
      <c r="NEI765" s="1207"/>
      <c r="NEJ765" s="1207"/>
      <c r="NEK765" s="1207"/>
      <c r="NEL765" s="1207"/>
      <c r="NEM765" s="1207"/>
      <c r="NEN765" s="1207"/>
      <c r="NEO765" s="1207"/>
      <c r="NEP765" s="1207"/>
      <c r="NEQ765" s="1207"/>
      <c r="NER765" s="1207"/>
      <c r="NES765" s="1207"/>
      <c r="NET765" s="1207"/>
      <c r="NEU765" s="1207"/>
      <c r="NEV765" s="1207"/>
      <c r="NEW765" s="1207"/>
      <c r="NEX765" s="1207"/>
      <c r="NEY765" s="1207"/>
      <c r="NEZ765" s="1207"/>
      <c r="NFA765" s="1207"/>
      <c r="NFB765" s="1207"/>
      <c r="NFC765" s="1207"/>
      <c r="NFD765" s="1207"/>
      <c r="NFE765" s="1207"/>
      <c r="NFF765" s="1207"/>
      <c r="NFG765" s="1207"/>
      <c r="NFH765" s="1207"/>
      <c r="NFI765" s="1207"/>
      <c r="NFJ765" s="1207"/>
      <c r="NFK765" s="1207"/>
      <c r="NFL765" s="1207"/>
      <c r="NFM765" s="1207"/>
      <c r="NFN765" s="1207"/>
      <c r="NFO765" s="1207"/>
      <c r="NFP765" s="1207"/>
      <c r="NFQ765" s="1207"/>
      <c r="NFR765" s="1207"/>
      <c r="NFS765" s="1207"/>
      <c r="NFT765" s="1207"/>
      <c r="NFU765" s="1207"/>
      <c r="NFV765" s="1207"/>
      <c r="NFW765" s="1207"/>
      <c r="NFX765" s="1207"/>
      <c r="NFY765" s="1207"/>
      <c r="NFZ765" s="1207"/>
      <c r="NGA765" s="1207"/>
      <c r="NGB765" s="1207"/>
      <c r="NGC765" s="1207"/>
      <c r="NGD765" s="1207"/>
      <c r="NGE765" s="1207"/>
      <c r="NGF765" s="1207"/>
      <c r="NGG765" s="1207"/>
      <c r="NGH765" s="1207"/>
      <c r="NGI765" s="1207"/>
      <c r="NGJ765" s="1207"/>
      <c r="NGK765" s="1207"/>
      <c r="NGL765" s="1207"/>
      <c r="NGM765" s="1207"/>
      <c r="NGN765" s="1207"/>
      <c r="NGO765" s="1207"/>
      <c r="NGP765" s="1207"/>
      <c r="NGQ765" s="1207"/>
      <c r="NGR765" s="1207"/>
      <c r="NGS765" s="1207"/>
      <c r="NGT765" s="1207"/>
      <c r="NGU765" s="1207"/>
      <c r="NGV765" s="1207"/>
      <c r="NGW765" s="1207"/>
      <c r="NGX765" s="1207"/>
      <c r="NGY765" s="1207"/>
      <c r="NGZ765" s="1207"/>
      <c r="NHA765" s="1207"/>
      <c r="NHB765" s="1207"/>
      <c r="NHC765" s="1207"/>
      <c r="NHD765" s="1207"/>
      <c r="NHE765" s="1207"/>
      <c r="NHF765" s="1207"/>
      <c r="NHG765" s="1207"/>
      <c r="NHH765" s="1207"/>
      <c r="NHI765" s="1207"/>
      <c r="NHJ765" s="1207"/>
      <c r="NHK765" s="1207"/>
      <c r="NHL765" s="1207"/>
      <c r="NHM765" s="1207"/>
      <c r="NHN765" s="1207"/>
      <c r="NHO765" s="1207"/>
      <c r="NHP765" s="1207"/>
      <c r="NHQ765" s="1207"/>
      <c r="NHR765" s="1207"/>
      <c r="NHS765" s="1207"/>
      <c r="NHT765" s="1207"/>
      <c r="NHU765" s="1207"/>
      <c r="NHV765" s="1207"/>
      <c r="NHW765" s="1207"/>
      <c r="NHX765" s="1207"/>
      <c r="NHY765" s="1207"/>
      <c r="NHZ765" s="1207"/>
      <c r="NIA765" s="1207"/>
      <c r="NIB765" s="1207"/>
      <c r="NIC765" s="1207"/>
      <c r="NID765" s="1207"/>
      <c r="NIE765" s="1207"/>
      <c r="NIF765" s="1207"/>
      <c r="NIG765" s="1207"/>
      <c r="NIH765" s="1207"/>
      <c r="NII765" s="1207"/>
      <c r="NIJ765" s="1207"/>
      <c r="NIK765" s="1207"/>
      <c r="NIL765" s="1207"/>
      <c r="NIM765" s="1207"/>
      <c r="NIN765" s="1207"/>
      <c r="NIO765" s="1207"/>
      <c r="NIP765" s="1207"/>
      <c r="NIQ765" s="1207"/>
      <c r="NIR765" s="1207"/>
      <c r="NIS765" s="1207"/>
      <c r="NIT765" s="1207"/>
      <c r="NIU765" s="1207"/>
      <c r="NIV765" s="1207"/>
      <c r="NIW765" s="1207"/>
      <c r="NIX765" s="1207"/>
      <c r="NIY765" s="1207"/>
      <c r="NIZ765" s="1207"/>
      <c r="NJA765" s="1207"/>
      <c r="NJB765" s="1207"/>
      <c r="NJC765" s="1207"/>
      <c r="NJD765" s="1207"/>
      <c r="NJE765" s="1207"/>
      <c r="NJF765" s="1207"/>
      <c r="NJG765" s="1207"/>
      <c r="NJH765" s="1207"/>
      <c r="NJI765" s="1207"/>
      <c r="NJJ765" s="1207"/>
      <c r="NJK765" s="1207"/>
      <c r="NJL765" s="1207"/>
      <c r="NJM765" s="1207"/>
      <c r="NJN765" s="1207"/>
      <c r="NJO765" s="1207"/>
      <c r="NJP765" s="1207"/>
      <c r="NJQ765" s="1207"/>
      <c r="NJR765" s="1207"/>
      <c r="NJS765" s="1207"/>
      <c r="NJT765" s="1207"/>
      <c r="NJU765" s="1207"/>
      <c r="NJV765" s="1207"/>
      <c r="NJW765" s="1207"/>
      <c r="NJX765" s="1207"/>
      <c r="NJY765" s="1207"/>
      <c r="NJZ765" s="1207"/>
      <c r="NKA765" s="1207"/>
      <c r="NKB765" s="1207"/>
      <c r="NKC765" s="1207"/>
      <c r="NKD765" s="1207"/>
      <c r="NKE765" s="1207"/>
      <c r="NKF765" s="1207"/>
      <c r="NKG765" s="1207"/>
      <c r="NKH765" s="1207"/>
      <c r="NKI765" s="1207"/>
      <c r="NKJ765" s="1207"/>
      <c r="NKK765" s="1207"/>
      <c r="NKL765" s="1207"/>
      <c r="NKM765" s="1207"/>
      <c r="NKN765" s="1207"/>
      <c r="NKO765" s="1207"/>
      <c r="NKP765" s="1207"/>
      <c r="NKQ765" s="1207"/>
      <c r="NKR765" s="1207"/>
      <c r="NKS765" s="1207"/>
      <c r="NKT765" s="1207"/>
      <c r="NKU765" s="1207"/>
      <c r="NKV765" s="1207"/>
      <c r="NKW765" s="1207"/>
      <c r="NKX765" s="1207"/>
      <c r="NKY765" s="1207"/>
      <c r="NKZ765" s="1207"/>
      <c r="NLA765" s="1207"/>
      <c r="NLB765" s="1207"/>
      <c r="NLC765" s="1207"/>
      <c r="NLD765" s="1207"/>
      <c r="NLE765" s="1207"/>
      <c r="NLF765" s="1207"/>
      <c r="NLG765" s="1207"/>
      <c r="NLH765" s="1207"/>
      <c r="NLI765" s="1207"/>
      <c r="NLJ765" s="1207"/>
      <c r="NLK765" s="1207"/>
      <c r="NLL765" s="1207"/>
      <c r="NLM765" s="1207"/>
      <c r="NLN765" s="1207"/>
      <c r="NLO765" s="1207"/>
      <c r="NLP765" s="1207"/>
      <c r="NLQ765" s="1207"/>
      <c r="NLR765" s="1207"/>
      <c r="NLS765" s="1207"/>
      <c r="NLT765" s="1207"/>
      <c r="NLU765" s="1207"/>
      <c r="NLV765" s="1207"/>
      <c r="NLW765" s="1207"/>
      <c r="NLX765" s="1207"/>
      <c r="NLY765" s="1207"/>
      <c r="NLZ765" s="1207"/>
      <c r="NMA765" s="1207"/>
      <c r="NMB765" s="1207"/>
      <c r="NMC765" s="1207"/>
      <c r="NMD765" s="1207"/>
      <c r="NME765" s="1207"/>
      <c r="NMF765" s="1207"/>
      <c r="NMG765" s="1207"/>
      <c r="NMH765" s="1207"/>
      <c r="NMI765" s="1207"/>
      <c r="NMJ765" s="1207"/>
      <c r="NMK765" s="1207"/>
      <c r="NML765" s="1207"/>
      <c r="NMM765" s="1207"/>
      <c r="NMN765" s="1207"/>
      <c r="NMO765" s="1207"/>
      <c r="NMP765" s="1207"/>
      <c r="NMQ765" s="1207"/>
      <c r="NMR765" s="1207"/>
      <c r="NMS765" s="1207"/>
      <c r="NMT765" s="1207"/>
      <c r="NMU765" s="1207"/>
      <c r="NMV765" s="1207"/>
      <c r="NMW765" s="1207"/>
      <c r="NMX765" s="1207"/>
      <c r="NMY765" s="1207"/>
      <c r="NMZ765" s="1207"/>
      <c r="NNA765" s="1207"/>
      <c r="NNB765" s="1207"/>
      <c r="NNC765" s="1207"/>
      <c r="NND765" s="1207"/>
      <c r="NNE765" s="1207"/>
      <c r="NNF765" s="1207"/>
      <c r="NNG765" s="1207"/>
      <c r="NNH765" s="1207"/>
      <c r="NNI765" s="1207"/>
      <c r="NNJ765" s="1207"/>
      <c r="NNK765" s="1207"/>
      <c r="NNL765" s="1207"/>
      <c r="NNM765" s="1207"/>
      <c r="NNN765" s="1207"/>
      <c r="NNO765" s="1207"/>
      <c r="NNP765" s="1207"/>
      <c r="NNQ765" s="1207"/>
      <c r="NNR765" s="1207"/>
      <c r="NNS765" s="1207"/>
      <c r="NNT765" s="1207"/>
      <c r="NNU765" s="1207"/>
      <c r="NNV765" s="1207"/>
      <c r="NNW765" s="1207"/>
      <c r="NNX765" s="1207"/>
      <c r="NNY765" s="1207"/>
      <c r="NNZ765" s="1207"/>
      <c r="NOA765" s="1207"/>
      <c r="NOB765" s="1207"/>
      <c r="NOC765" s="1207"/>
      <c r="NOD765" s="1207"/>
      <c r="NOE765" s="1207"/>
      <c r="NOF765" s="1207"/>
      <c r="NOG765" s="1207"/>
      <c r="NOH765" s="1207"/>
      <c r="NOI765" s="1207"/>
      <c r="NOJ765" s="1207"/>
      <c r="NOK765" s="1207"/>
      <c r="NOL765" s="1207"/>
      <c r="NOM765" s="1207"/>
      <c r="NON765" s="1207"/>
      <c r="NOO765" s="1207"/>
      <c r="NOP765" s="1207"/>
      <c r="NOQ765" s="1207"/>
      <c r="NOR765" s="1207"/>
      <c r="NOS765" s="1207"/>
      <c r="NOT765" s="1207"/>
      <c r="NOU765" s="1207"/>
      <c r="NOV765" s="1207"/>
      <c r="NOW765" s="1207"/>
      <c r="NOX765" s="1207"/>
      <c r="NOY765" s="1207"/>
      <c r="NOZ765" s="1207"/>
      <c r="NPA765" s="1207"/>
      <c r="NPB765" s="1207"/>
      <c r="NPC765" s="1207"/>
      <c r="NPD765" s="1207"/>
      <c r="NPE765" s="1207"/>
      <c r="NPF765" s="1207"/>
      <c r="NPG765" s="1207"/>
      <c r="NPH765" s="1207"/>
      <c r="NPI765" s="1207"/>
      <c r="NPJ765" s="1207"/>
      <c r="NPK765" s="1207"/>
      <c r="NPL765" s="1207"/>
      <c r="NPM765" s="1207"/>
      <c r="NPN765" s="1207"/>
      <c r="NPO765" s="1207"/>
      <c r="NPP765" s="1207"/>
      <c r="NPQ765" s="1207"/>
      <c r="NPR765" s="1207"/>
      <c r="NPS765" s="1207"/>
      <c r="NPT765" s="1207"/>
      <c r="NPU765" s="1207"/>
      <c r="NPV765" s="1207"/>
      <c r="NPW765" s="1207"/>
      <c r="NPX765" s="1207"/>
      <c r="NPY765" s="1207"/>
      <c r="NPZ765" s="1207"/>
      <c r="NQA765" s="1207"/>
      <c r="NQB765" s="1207"/>
      <c r="NQC765" s="1207"/>
      <c r="NQD765" s="1207"/>
      <c r="NQE765" s="1207"/>
      <c r="NQF765" s="1207"/>
      <c r="NQG765" s="1207"/>
      <c r="NQH765" s="1207"/>
      <c r="NQI765" s="1207"/>
      <c r="NQJ765" s="1207"/>
      <c r="NQK765" s="1207"/>
      <c r="NQL765" s="1207"/>
      <c r="NQM765" s="1207"/>
      <c r="NQN765" s="1207"/>
      <c r="NQO765" s="1207"/>
      <c r="NQP765" s="1207"/>
      <c r="NQQ765" s="1207"/>
      <c r="NQR765" s="1207"/>
      <c r="NQS765" s="1207"/>
      <c r="NQT765" s="1207"/>
      <c r="NQU765" s="1207"/>
      <c r="NQV765" s="1207"/>
      <c r="NQW765" s="1207"/>
      <c r="NQX765" s="1207"/>
      <c r="NQY765" s="1207"/>
      <c r="NQZ765" s="1207"/>
      <c r="NRA765" s="1207"/>
      <c r="NRB765" s="1207"/>
      <c r="NRC765" s="1207"/>
      <c r="NRD765" s="1207"/>
      <c r="NRE765" s="1207"/>
      <c r="NRF765" s="1207"/>
      <c r="NRG765" s="1207"/>
      <c r="NRH765" s="1207"/>
      <c r="NRI765" s="1207"/>
      <c r="NRJ765" s="1207"/>
      <c r="NRK765" s="1207"/>
      <c r="NRL765" s="1207"/>
      <c r="NRM765" s="1207"/>
      <c r="NRN765" s="1207"/>
      <c r="NRO765" s="1207"/>
      <c r="NRP765" s="1207"/>
      <c r="NRQ765" s="1207"/>
      <c r="NRR765" s="1207"/>
      <c r="NRS765" s="1207"/>
      <c r="NRT765" s="1207"/>
      <c r="NRU765" s="1207"/>
      <c r="NRV765" s="1207"/>
      <c r="NRW765" s="1207"/>
      <c r="NRX765" s="1207"/>
      <c r="NRY765" s="1207"/>
      <c r="NRZ765" s="1207"/>
      <c r="NSA765" s="1207"/>
      <c r="NSB765" s="1207"/>
      <c r="NSC765" s="1207"/>
      <c r="NSD765" s="1207"/>
      <c r="NSE765" s="1207"/>
      <c r="NSF765" s="1207"/>
      <c r="NSG765" s="1207"/>
      <c r="NSH765" s="1207"/>
      <c r="NSI765" s="1207"/>
      <c r="NSJ765" s="1207"/>
      <c r="NSK765" s="1207"/>
      <c r="NSL765" s="1207"/>
      <c r="NSM765" s="1207"/>
      <c r="NSN765" s="1207"/>
      <c r="NSO765" s="1207"/>
      <c r="NSP765" s="1207"/>
      <c r="NSQ765" s="1207"/>
      <c r="NSR765" s="1207"/>
      <c r="NSS765" s="1207"/>
      <c r="NST765" s="1207"/>
      <c r="NSU765" s="1207"/>
      <c r="NSV765" s="1207"/>
      <c r="NSW765" s="1207"/>
      <c r="NSX765" s="1207"/>
      <c r="NSY765" s="1207"/>
      <c r="NSZ765" s="1207"/>
      <c r="NTA765" s="1207"/>
      <c r="NTB765" s="1207"/>
      <c r="NTC765" s="1207"/>
      <c r="NTD765" s="1207"/>
      <c r="NTE765" s="1207"/>
      <c r="NTF765" s="1207"/>
      <c r="NTG765" s="1207"/>
      <c r="NTH765" s="1207"/>
      <c r="NTI765" s="1207"/>
      <c r="NTJ765" s="1207"/>
      <c r="NTK765" s="1207"/>
      <c r="NTL765" s="1207"/>
      <c r="NTM765" s="1207"/>
      <c r="NTN765" s="1207"/>
      <c r="NTO765" s="1207"/>
      <c r="NTP765" s="1207"/>
      <c r="NTQ765" s="1207"/>
      <c r="NTR765" s="1207"/>
      <c r="NTS765" s="1207"/>
      <c r="NTT765" s="1207"/>
      <c r="NTU765" s="1207"/>
      <c r="NTV765" s="1207"/>
      <c r="NTW765" s="1207"/>
      <c r="NTX765" s="1207"/>
      <c r="NTY765" s="1207"/>
      <c r="NTZ765" s="1207"/>
      <c r="NUA765" s="1207"/>
      <c r="NUB765" s="1207"/>
      <c r="NUC765" s="1207"/>
      <c r="NUD765" s="1207"/>
      <c r="NUE765" s="1207"/>
      <c r="NUF765" s="1207"/>
      <c r="NUG765" s="1207"/>
      <c r="NUH765" s="1207"/>
      <c r="NUI765" s="1207"/>
      <c r="NUJ765" s="1207"/>
      <c r="NUK765" s="1207"/>
      <c r="NUL765" s="1207"/>
      <c r="NUM765" s="1207"/>
      <c r="NUN765" s="1207"/>
      <c r="NUO765" s="1207"/>
      <c r="NUP765" s="1207"/>
      <c r="NUQ765" s="1207"/>
      <c r="NUR765" s="1207"/>
      <c r="NUS765" s="1207"/>
      <c r="NUT765" s="1207"/>
      <c r="NUU765" s="1207"/>
      <c r="NUV765" s="1207"/>
      <c r="NUW765" s="1207"/>
      <c r="NUX765" s="1207"/>
      <c r="NUY765" s="1207"/>
      <c r="NUZ765" s="1207"/>
      <c r="NVA765" s="1207"/>
      <c r="NVB765" s="1207"/>
      <c r="NVC765" s="1207"/>
      <c r="NVD765" s="1207"/>
      <c r="NVE765" s="1207"/>
      <c r="NVF765" s="1207"/>
      <c r="NVG765" s="1207"/>
      <c r="NVH765" s="1207"/>
      <c r="NVI765" s="1207"/>
      <c r="NVJ765" s="1207"/>
      <c r="NVK765" s="1207"/>
      <c r="NVL765" s="1207"/>
      <c r="NVM765" s="1207"/>
      <c r="NVN765" s="1207"/>
      <c r="NVO765" s="1207"/>
      <c r="NVP765" s="1207"/>
      <c r="NVQ765" s="1207"/>
      <c r="NVR765" s="1207"/>
      <c r="NVS765" s="1207"/>
      <c r="NVT765" s="1207"/>
      <c r="NVU765" s="1207"/>
      <c r="NVV765" s="1207"/>
      <c r="NVW765" s="1207"/>
      <c r="NVX765" s="1207"/>
      <c r="NVY765" s="1207"/>
      <c r="NVZ765" s="1207"/>
      <c r="NWA765" s="1207"/>
      <c r="NWB765" s="1207"/>
      <c r="NWC765" s="1207"/>
      <c r="NWD765" s="1207"/>
      <c r="NWE765" s="1207"/>
      <c r="NWF765" s="1207"/>
      <c r="NWG765" s="1207"/>
      <c r="NWH765" s="1207"/>
      <c r="NWI765" s="1207"/>
      <c r="NWJ765" s="1207"/>
      <c r="NWK765" s="1207"/>
      <c r="NWL765" s="1207"/>
      <c r="NWM765" s="1207"/>
      <c r="NWN765" s="1207"/>
      <c r="NWO765" s="1207"/>
      <c r="NWP765" s="1207"/>
      <c r="NWQ765" s="1207"/>
      <c r="NWR765" s="1207"/>
      <c r="NWS765" s="1207"/>
      <c r="NWT765" s="1207"/>
      <c r="NWU765" s="1207"/>
      <c r="NWV765" s="1207"/>
      <c r="NWW765" s="1207"/>
      <c r="NWX765" s="1207"/>
      <c r="NWY765" s="1207"/>
      <c r="NWZ765" s="1207"/>
      <c r="NXA765" s="1207"/>
      <c r="NXB765" s="1207"/>
      <c r="NXC765" s="1207"/>
      <c r="NXD765" s="1207"/>
      <c r="NXE765" s="1207"/>
      <c r="NXF765" s="1207"/>
      <c r="NXG765" s="1207"/>
      <c r="NXH765" s="1207"/>
      <c r="NXI765" s="1207"/>
      <c r="NXJ765" s="1207"/>
      <c r="NXK765" s="1207"/>
      <c r="NXL765" s="1207"/>
      <c r="NXM765" s="1207"/>
      <c r="NXN765" s="1207"/>
      <c r="NXO765" s="1207"/>
      <c r="NXP765" s="1207"/>
      <c r="NXQ765" s="1207"/>
      <c r="NXR765" s="1207"/>
      <c r="NXS765" s="1207"/>
      <c r="NXT765" s="1207"/>
      <c r="NXU765" s="1207"/>
      <c r="NXV765" s="1207"/>
      <c r="NXW765" s="1207"/>
      <c r="NXX765" s="1207"/>
      <c r="NXY765" s="1207"/>
      <c r="NXZ765" s="1207"/>
      <c r="NYA765" s="1207"/>
      <c r="NYB765" s="1207"/>
      <c r="NYC765" s="1207"/>
      <c r="NYD765" s="1207"/>
      <c r="NYE765" s="1207"/>
      <c r="NYF765" s="1207"/>
      <c r="NYG765" s="1207"/>
      <c r="NYH765" s="1207"/>
      <c r="NYI765" s="1207"/>
      <c r="NYJ765" s="1207"/>
      <c r="NYK765" s="1207"/>
      <c r="NYL765" s="1207"/>
      <c r="NYM765" s="1207"/>
      <c r="NYN765" s="1207"/>
      <c r="NYO765" s="1207"/>
      <c r="NYP765" s="1207"/>
      <c r="NYQ765" s="1207"/>
      <c r="NYR765" s="1207"/>
      <c r="NYS765" s="1207"/>
      <c r="NYT765" s="1207"/>
      <c r="NYU765" s="1207"/>
      <c r="NYV765" s="1207"/>
      <c r="NYW765" s="1207"/>
      <c r="NYX765" s="1207"/>
      <c r="NYY765" s="1207"/>
      <c r="NYZ765" s="1207"/>
      <c r="NZA765" s="1207"/>
      <c r="NZB765" s="1207"/>
      <c r="NZC765" s="1207"/>
      <c r="NZD765" s="1207"/>
      <c r="NZE765" s="1207"/>
      <c r="NZF765" s="1207"/>
      <c r="NZG765" s="1207"/>
      <c r="NZH765" s="1207"/>
      <c r="NZI765" s="1207"/>
      <c r="NZJ765" s="1207"/>
      <c r="NZK765" s="1207"/>
      <c r="NZL765" s="1207"/>
      <c r="NZM765" s="1207"/>
      <c r="NZN765" s="1207"/>
      <c r="NZO765" s="1207"/>
      <c r="NZP765" s="1207"/>
      <c r="NZQ765" s="1207"/>
      <c r="NZR765" s="1207"/>
      <c r="NZS765" s="1207"/>
      <c r="NZT765" s="1207"/>
      <c r="NZU765" s="1207"/>
      <c r="NZV765" s="1207"/>
      <c r="NZW765" s="1207"/>
      <c r="NZX765" s="1207"/>
      <c r="NZY765" s="1207"/>
      <c r="NZZ765" s="1207"/>
      <c r="OAA765" s="1207"/>
      <c r="OAB765" s="1207"/>
      <c r="OAC765" s="1207"/>
      <c r="OAD765" s="1207"/>
      <c r="OAE765" s="1207"/>
      <c r="OAF765" s="1207"/>
      <c r="OAG765" s="1207"/>
      <c r="OAH765" s="1207"/>
      <c r="OAI765" s="1207"/>
      <c r="OAJ765" s="1207"/>
      <c r="OAK765" s="1207"/>
      <c r="OAL765" s="1207"/>
      <c r="OAM765" s="1207"/>
      <c r="OAN765" s="1207"/>
      <c r="OAO765" s="1207"/>
      <c r="OAP765" s="1207"/>
      <c r="OAQ765" s="1207"/>
      <c r="OAR765" s="1207"/>
      <c r="OAS765" s="1207"/>
      <c r="OAT765" s="1207"/>
      <c r="OAU765" s="1207"/>
      <c r="OAV765" s="1207"/>
      <c r="OAW765" s="1207"/>
      <c r="OAX765" s="1207"/>
      <c r="OAY765" s="1207"/>
      <c r="OAZ765" s="1207"/>
      <c r="OBA765" s="1207"/>
      <c r="OBB765" s="1207"/>
      <c r="OBC765" s="1207"/>
      <c r="OBD765" s="1207"/>
      <c r="OBE765" s="1207"/>
      <c r="OBF765" s="1207"/>
      <c r="OBG765" s="1207"/>
      <c r="OBH765" s="1207"/>
      <c r="OBI765" s="1207"/>
      <c r="OBJ765" s="1207"/>
      <c r="OBK765" s="1207"/>
      <c r="OBL765" s="1207"/>
      <c r="OBM765" s="1207"/>
      <c r="OBN765" s="1207"/>
      <c r="OBO765" s="1207"/>
      <c r="OBP765" s="1207"/>
      <c r="OBQ765" s="1207"/>
      <c r="OBR765" s="1207"/>
      <c r="OBS765" s="1207"/>
      <c r="OBT765" s="1207"/>
      <c r="OBU765" s="1207"/>
      <c r="OBV765" s="1207"/>
      <c r="OBW765" s="1207"/>
      <c r="OBX765" s="1207"/>
      <c r="OBY765" s="1207"/>
      <c r="OBZ765" s="1207"/>
      <c r="OCA765" s="1207"/>
      <c r="OCB765" s="1207"/>
      <c r="OCC765" s="1207"/>
      <c r="OCD765" s="1207"/>
      <c r="OCE765" s="1207"/>
      <c r="OCF765" s="1207"/>
      <c r="OCG765" s="1207"/>
      <c r="OCH765" s="1207"/>
      <c r="OCI765" s="1207"/>
      <c r="OCJ765" s="1207"/>
      <c r="OCK765" s="1207"/>
      <c r="OCL765" s="1207"/>
      <c r="OCM765" s="1207"/>
      <c r="OCN765" s="1207"/>
      <c r="OCO765" s="1207"/>
      <c r="OCP765" s="1207"/>
      <c r="OCQ765" s="1207"/>
      <c r="OCR765" s="1207"/>
      <c r="OCS765" s="1207"/>
      <c r="OCT765" s="1207"/>
      <c r="OCU765" s="1207"/>
      <c r="OCV765" s="1207"/>
      <c r="OCW765" s="1207"/>
      <c r="OCX765" s="1207"/>
      <c r="OCY765" s="1207"/>
      <c r="OCZ765" s="1207"/>
      <c r="ODA765" s="1207"/>
      <c r="ODB765" s="1207"/>
      <c r="ODC765" s="1207"/>
      <c r="ODD765" s="1207"/>
      <c r="ODE765" s="1207"/>
      <c r="ODF765" s="1207"/>
      <c r="ODG765" s="1207"/>
      <c r="ODH765" s="1207"/>
      <c r="ODI765" s="1207"/>
      <c r="ODJ765" s="1207"/>
      <c r="ODK765" s="1207"/>
      <c r="ODL765" s="1207"/>
      <c r="ODM765" s="1207"/>
      <c r="ODN765" s="1207"/>
      <c r="ODO765" s="1207"/>
      <c r="ODP765" s="1207"/>
      <c r="ODQ765" s="1207"/>
      <c r="ODR765" s="1207"/>
      <c r="ODS765" s="1207"/>
      <c r="ODT765" s="1207"/>
      <c r="ODU765" s="1207"/>
      <c r="ODV765" s="1207"/>
      <c r="ODW765" s="1207"/>
      <c r="ODX765" s="1207"/>
      <c r="ODY765" s="1207"/>
      <c r="ODZ765" s="1207"/>
      <c r="OEA765" s="1207"/>
      <c r="OEB765" s="1207"/>
      <c r="OEC765" s="1207"/>
      <c r="OED765" s="1207"/>
      <c r="OEE765" s="1207"/>
      <c r="OEF765" s="1207"/>
      <c r="OEG765" s="1207"/>
      <c r="OEH765" s="1207"/>
      <c r="OEI765" s="1207"/>
      <c r="OEJ765" s="1207"/>
      <c r="OEK765" s="1207"/>
      <c r="OEL765" s="1207"/>
      <c r="OEM765" s="1207"/>
      <c r="OEN765" s="1207"/>
      <c r="OEO765" s="1207"/>
      <c r="OEP765" s="1207"/>
      <c r="OEQ765" s="1207"/>
      <c r="OER765" s="1207"/>
      <c r="OES765" s="1207"/>
      <c r="OET765" s="1207"/>
      <c r="OEU765" s="1207"/>
      <c r="OEV765" s="1207"/>
      <c r="OEW765" s="1207"/>
      <c r="OEX765" s="1207"/>
      <c r="OEY765" s="1207"/>
      <c r="OEZ765" s="1207"/>
      <c r="OFA765" s="1207"/>
      <c r="OFB765" s="1207"/>
      <c r="OFC765" s="1207"/>
      <c r="OFD765" s="1207"/>
      <c r="OFE765" s="1207"/>
      <c r="OFF765" s="1207"/>
      <c r="OFG765" s="1207"/>
      <c r="OFH765" s="1207"/>
      <c r="OFI765" s="1207"/>
      <c r="OFJ765" s="1207"/>
      <c r="OFK765" s="1207"/>
      <c r="OFL765" s="1207"/>
      <c r="OFM765" s="1207"/>
      <c r="OFN765" s="1207"/>
      <c r="OFO765" s="1207"/>
      <c r="OFP765" s="1207"/>
      <c r="OFQ765" s="1207"/>
      <c r="OFR765" s="1207"/>
      <c r="OFS765" s="1207"/>
      <c r="OFT765" s="1207"/>
      <c r="OFU765" s="1207"/>
      <c r="OFV765" s="1207"/>
      <c r="OFW765" s="1207"/>
      <c r="OFX765" s="1207"/>
      <c r="OFY765" s="1207"/>
      <c r="OFZ765" s="1207"/>
      <c r="OGA765" s="1207"/>
      <c r="OGB765" s="1207"/>
      <c r="OGC765" s="1207"/>
      <c r="OGD765" s="1207"/>
      <c r="OGE765" s="1207"/>
      <c r="OGF765" s="1207"/>
      <c r="OGG765" s="1207"/>
      <c r="OGH765" s="1207"/>
      <c r="OGI765" s="1207"/>
      <c r="OGJ765" s="1207"/>
      <c r="OGK765" s="1207"/>
      <c r="OGL765" s="1207"/>
      <c r="OGM765" s="1207"/>
      <c r="OGN765" s="1207"/>
      <c r="OGO765" s="1207"/>
      <c r="OGP765" s="1207"/>
      <c r="OGQ765" s="1207"/>
      <c r="OGR765" s="1207"/>
      <c r="OGS765" s="1207"/>
      <c r="OGT765" s="1207"/>
      <c r="OGU765" s="1207"/>
      <c r="OGV765" s="1207"/>
      <c r="OGW765" s="1207"/>
      <c r="OGX765" s="1207"/>
      <c r="OGY765" s="1207"/>
      <c r="OGZ765" s="1207"/>
      <c r="OHA765" s="1207"/>
      <c r="OHB765" s="1207"/>
      <c r="OHC765" s="1207"/>
      <c r="OHD765" s="1207"/>
      <c r="OHE765" s="1207"/>
      <c r="OHF765" s="1207"/>
      <c r="OHG765" s="1207"/>
      <c r="OHH765" s="1207"/>
      <c r="OHI765" s="1207"/>
      <c r="OHJ765" s="1207"/>
      <c r="OHK765" s="1207"/>
      <c r="OHL765" s="1207"/>
      <c r="OHM765" s="1207"/>
      <c r="OHN765" s="1207"/>
      <c r="OHO765" s="1207"/>
      <c r="OHP765" s="1207"/>
      <c r="OHQ765" s="1207"/>
      <c r="OHR765" s="1207"/>
      <c r="OHS765" s="1207"/>
      <c r="OHT765" s="1207"/>
      <c r="OHU765" s="1207"/>
      <c r="OHV765" s="1207"/>
      <c r="OHW765" s="1207"/>
      <c r="OHX765" s="1207"/>
      <c r="OHY765" s="1207"/>
      <c r="OHZ765" s="1207"/>
      <c r="OIA765" s="1207"/>
      <c r="OIB765" s="1207"/>
      <c r="OIC765" s="1207"/>
      <c r="OID765" s="1207"/>
      <c r="OIE765" s="1207"/>
      <c r="OIF765" s="1207"/>
      <c r="OIG765" s="1207"/>
      <c r="OIH765" s="1207"/>
      <c r="OII765" s="1207"/>
      <c r="OIJ765" s="1207"/>
      <c r="OIK765" s="1207"/>
      <c r="OIL765" s="1207"/>
      <c r="OIM765" s="1207"/>
      <c r="OIN765" s="1207"/>
      <c r="OIO765" s="1207"/>
      <c r="OIP765" s="1207"/>
      <c r="OIQ765" s="1207"/>
      <c r="OIR765" s="1207"/>
      <c r="OIS765" s="1207"/>
      <c r="OIT765" s="1207"/>
      <c r="OIU765" s="1207"/>
      <c r="OIV765" s="1207"/>
      <c r="OIW765" s="1207"/>
      <c r="OIX765" s="1207"/>
      <c r="OIY765" s="1207"/>
      <c r="OIZ765" s="1207"/>
      <c r="OJA765" s="1207"/>
      <c r="OJB765" s="1207"/>
      <c r="OJC765" s="1207"/>
      <c r="OJD765" s="1207"/>
      <c r="OJE765" s="1207"/>
      <c r="OJF765" s="1207"/>
      <c r="OJG765" s="1207"/>
      <c r="OJH765" s="1207"/>
      <c r="OJI765" s="1207"/>
      <c r="OJJ765" s="1207"/>
      <c r="OJK765" s="1207"/>
      <c r="OJL765" s="1207"/>
      <c r="OJM765" s="1207"/>
      <c r="OJN765" s="1207"/>
      <c r="OJO765" s="1207"/>
      <c r="OJP765" s="1207"/>
      <c r="OJQ765" s="1207"/>
      <c r="OJR765" s="1207"/>
      <c r="OJS765" s="1207"/>
      <c r="OJT765" s="1207"/>
      <c r="OJU765" s="1207"/>
      <c r="OJV765" s="1207"/>
      <c r="OJW765" s="1207"/>
      <c r="OJX765" s="1207"/>
      <c r="OJY765" s="1207"/>
      <c r="OJZ765" s="1207"/>
      <c r="OKA765" s="1207"/>
      <c r="OKB765" s="1207"/>
      <c r="OKC765" s="1207"/>
      <c r="OKD765" s="1207"/>
      <c r="OKE765" s="1207"/>
      <c r="OKF765" s="1207"/>
      <c r="OKG765" s="1207"/>
      <c r="OKH765" s="1207"/>
      <c r="OKI765" s="1207"/>
      <c r="OKJ765" s="1207"/>
      <c r="OKK765" s="1207"/>
      <c r="OKL765" s="1207"/>
      <c r="OKM765" s="1207"/>
      <c r="OKN765" s="1207"/>
      <c r="OKO765" s="1207"/>
      <c r="OKP765" s="1207"/>
      <c r="OKQ765" s="1207"/>
      <c r="OKR765" s="1207"/>
      <c r="OKS765" s="1207"/>
      <c r="OKT765" s="1207"/>
      <c r="OKU765" s="1207"/>
      <c r="OKV765" s="1207"/>
      <c r="OKW765" s="1207"/>
      <c r="OKX765" s="1207"/>
      <c r="OKY765" s="1207"/>
      <c r="OKZ765" s="1207"/>
      <c r="OLA765" s="1207"/>
      <c r="OLB765" s="1207"/>
      <c r="OLC765" s="1207"/>
      <c r="OLD765" s="1207"/>
      <c r="OLE765" s="1207"/>
      <c r="OLF765" s="1207"/>
      <c r="OLG765" s="1207"/>
      <c r="OLH765" s="1207"/>
      <c r="OLI765" s="1207"/>
      <c r="OLJ765" s="1207"/>
      <c r="OLK765" s="1207"/>
      <c r="OLL765" s="1207"/>
      <c r="OLM765" s="1207"/>
      <c r="OLN765" s="1207"/>
      <c r="OLO765" s="1207"/>
      <c r="OLP765" s="1207"/>
      <c r="OLQ765" s="1207"/>
      <c r="OLR765" s="1207"/>
      <c r="OLS765" s="1207"/>
      <c r="OLT765" s="1207"/>
      <c r="OLU765" s="1207"/>
      <c r="OLV765" s="1207"/>
      <c r="OLW765" s="1207"/>
      <c r="OLX765" s="1207"/>
      <c r="OLY765" s="1207"/>
      <c r="OLZ765" s="1207"/>
      <c r="OMA765" s="1207"/>
      <c r="OMB765" s="1207"/>
      <c r="OMC765" s="1207"/>
      <c r="OMD765" s="1207"/>
      <c r="OME765" s="1207"/>
      <c r="OMF765" s="1207"/>
      <c r="OMG765" s="1207"/>
      <c r="OMH765" s="1207"/>
      <c r="OMI765" s="1207"/>
      <c r="OMJ765" s="1207"/>
      <c r="OMK765" s="1207"/>
      <c r="OML765" s="1207"/>
      <c r="OMM765" s="1207"/>
      <c r="OMN765" s="1207"/>
      <c r="OMO765" s="1207"/>
      <c r="OMP765" s="1207"/>
      <c r="OMQ765" s="1207"/>
      <c r="OMR765" s="1207"/>
      <c r="OMS765" s="1207"/>
      <c r="OMT765" s="1207"/>
      <c r="OMU765" s="1207"/>
      <c r="OMV765" s="1207"/>
      <c r="OMW765" s="1207"/>
      <c r="OMX765" s="1207"/>
      <c r="OMY765" s="1207"/>
      <c r="OMZ765" s="1207"/>
      <c r="ONA765" s="1207"/>
      <c r="ONB765" s="1207"/>
      <c r="ONC765" s="1207"/>
      <c r="OND765" s="1207"/>
      <c r="ONE765" s="1207"/>
      <c r="ONF765" s="1207"/>
      <c r="ONG765" s="1207"/>
      <c r="ONH765" s="1207"/>
      <c r="ONI765" s="1207"/>
      <c r="ONJ765" s="1207"/>
      <c r="ONK765" s="1207"/>
      <c r="ONL765" s="1207"/>
      <c r="ONM765" s="1207"/>
      <c r="ONN765" s="1207"/>
      <c r="ONO765" s="1207"/>
      <c r="ONP765" s="1207"/>
      <c r="ONQ765" s="1207"/>
      <c r="ONR765" s="1207"/>
      <c r="ONS765" s="1207"/>
      <c r="ONT765" s="1207"/>
      <c r="ONU765" s="1207"/>
      <c r="ONV765" s="1207"/>
      <c r="ONW765" s="1207"/>
      <c r="ONX765" s="1207"/>
      <c r="ONY765" s="1207"/>
      <c r="ONZ765" s="1207"/>
      <c r="OOA765" s="1207"/>
      <c r="OOB765" s="1207"/>
      <c r="OOC765" s="1207"/>
      <c r="OOD765" s="1207"/>
      <c r="OOE765" s="1207"/>
      <c r="OOF765" s="1207"/>
      <c r="OOG765" s="1207"/>
      <c r="OOH765" s="1207"/>
      <c r="OOI765" s="1207"/>
      <c r="OOJ765" s="1207"/>
      <c r="OOK765" s="1207"/>
      <c r="OOL765" s="1207"/>
      <c r="OOM765" s="1207"/>
      <c r="OON765" s="1207"/>
      <c r="OOO765" s="1207"/>
      <c r="OOP765" s="1207"/>
      <c r="OOQ765" s="1207"/>
      <c r="OOR765" s="1207"/>
      <c r="OOS765" s="1207"/>
      <c r="OOT765" s="1207"/>
      <c r="OOU765" s="1207"/>
      <c r="OOV765" s="1207"/>
      <c r="OOW765" s="1207"/>
      <c r="OOX765" s="1207"/>
      <c r="OOY765" s="1207"/>
      <c r="OOZ765" s="1207"/>
      <c r="OPA765" s="1207"/>
      <c r="OPB765" s="1207"/>
      <c r="OPC765" s="1207"/>
      <c r="OPD765" s="1207"/>
      <c r="OPE765" s="1207"/>
      <c r="OPF765" s="1207"/>
      <c r="OPG765" s="1207"/>
      <c r="OPH765" s="1207"/>
      <c r="OPI765" s="1207"/>
      <c r="OPJ765" s="1207"/>
      <c r="OPK765" s="1207"/>
      <c r="OPL765" s="1207"/>
      <c r="OPM765" s="1207"/>
      <c r="OPN765" s="1207"/>
      <c r="OPO765" s="1207"/>
      <c r="OPP765" s="1207"/>
      <c r="OPQ765" s="1207"/>
      <c r="OPR765" s="1207"/>
      <c r="OPS765" s="1207"/>
      <c r="OPT765" s="1207"/>
      <c r="OPU765" s="1207"/>
      <c r="OPV765" s="1207"/>
      <c r="OPW765" s="1207"/>
      <c r="OPX765" s="1207"/>
      <c r="OPY765" s="1207"/>
      <c r="OPZ765" s="1207"/>
      <c r="OQA765" s="1207"/>
      <c r="OQB765" s="1207"/>
      <c r="OQC765" s="1207"/>
      <c r="OQD765" s="1207"/>
      <c r="OQE765" s="1207"/>
      <c r="OQF765" s="1207"/>
      <c r="OQG765" s="1207"/>
      <c r="OQH765" s="1207"/>
      <c r="OQI765" s="1207"/>
      <c r="OQJ765" s="1207"/>
      <c r="OQK765" s="1207"/>
      <c r="OQL765" s="1207"/>
      <c r="OQM765" s="1207"/>
      <c r="OQN765" s="1207"/>
      <c r="OQO765" s="1207"/>
      <c r="OQP765" s="1207"/>
      <c r="OQQ765" s="1207"/>
      <c r="OQR765" s="1207"/>
      <c r="OQS765" s="1207"/>
      <c r="OQT765" s="1207"/>
      <c r="OQU765" s="1207"/>
      <c r="OQV765" s="1207"/>
      <c r="OQW765" s="1207"/>
      <c r="OQX765" s="1207"/>
      <c r="OQY765" s="1207"/>
      <c r="OQZ765" s="1207"/>
      <c r="ORA765" s="1207"/>
      <c r="ORB765" s="1207"/>
      <c r="ORC765" s="1207"/>
      <c r="ORD765" s="1207"/>
      <c r="ORE765" s="1207"/>
      <c r="ORF765" s="1207"/>
      <c r="ORG765" s="1207"/>
      <c r="ORH765" s="1207"/>
      <c r="ORI765" s="1207"/>
      <c r="ORJ765" s="1207"/>
      <c r="ORK765" s="1207"/>
      <c r="ORL765" s="1207"/>
      <c r="ORM765" s="1207"/>
      <c r="ORN765" s="1207"/>
      <c r="ORO765" s="1207"/>
      <c r="ORP765" s="1207"/>
      <c r="ORQ765" s="1207"/>
      <c r="ORR765" s="1207"/>
      <c r="ORS765" s="1207"/>
      <c r="ORT765" s="1207"/>
      <c r="ORU765" s="1207"/>
      <c r="ORV765" s="1207"/>
      <c r="ORW765" s="1207"/>
      <c r="ORX765" s="1207"/>
      <c r="ORY765" s="1207"/>
      <c r="ORZ765" s="1207"/>
      <c r="OSA765" s="1207"/>
      <c r="OSB765" s="1207"/>
      <c r="OSC765" s="1207"/>
      <c r="OSD765" s="1207"/>
      <c r="OSE765" s="1207"/>
      <c r="OSF765" s="1207"/>
      <c r="OSG765" s="1207"/>
      <c r="OSH765" s="1207"/>
      <c r="OSI765" s="1207"/>
      <c r="OSJ765" s="1207"/>
      <c r="OSK765" s="1207"/>
      <c r="OSL765" s="1207"/>
      <c r="OSM765" s="1207"/>
      <c r="OSN765" s="1207"/>
      <c r="OSO765" s="1207"/>
      <c r="OSP765" s="1207"/>
      <c r="OSQ765" s="1207"/>
      <c r="OSR765" s="1207"/>
      <c r="OSS765" s="1207"/>
      <c r="OST765" s="1207"/>
      <c r="OSU765" s="1207"/>
      <c r="OSV765" s="1207"/>
      <c r="OSW765" s="1207"/>
      <c r="OSX765" s="1207"/>
      <c r="OSY765" s="1207"/>
      <c r="OSZ765" s="1207"/>
      <c r="OTA765" s="1207"/>
      <c r="OTB765" s="1207"/>
      <c r="OTC765" s="1207"/>
      <c r="OTD765" s="1207"/>
      <c r="OTE765" s="1207"/>
      <c r="OTF765" s="1207"/>
      <c r="OTG765" s="1207"/>
      <c r="OTH765" s="1207"/>
      <c r="OTI765" s="1207"/>
      <c r="OTJ765" s="1207"/>
      <c r="OTK765" s="1207"/>
      <c r="OTL765" s="1207"/>
      <c r="OTM765" s="1207"/>
      <c r="OTN765" s="1207"/>
      <c r="OTO765" s="1207"/>
      <c r="OTP765" s="1207"/>
      <c r="OTQ765" s="1207"/>
      <c r="OTR765" s="1207"/>
      <c r="OTS765" s="1207"/>
      <c r="OTT765" s="1207"/>
      <c r="OTU765" s="1207"/>
      <c r="OTV765" s="1207"/>
      <c r="OTW765" s="1207"/>
      <c r="OTX765" s="1207"/>
      <c r="OTY765" s="1207"/>
      <c r="OTZ765" s="1207"/>
      <c r="OUA765" s="1207"/>
      <c r="OUB765" s="1207"/>
      <c r="OUC765" s="1207"/>
      <c r="OUD765" s="1207"/>
      <c r="OUE765" s="1207"/>
      <c r="OUF765" s="1207"/>
      <c r="OUG765" s="1207"/>
      <c r="OUH765" s="1207"/>
      <c r="OUI765" s="1207"/>
      <c r="OUJ765" s="1207"/>
      <c r="OUK765" s="1207"/>
      <c r="OUL765" s="1207"/>
      <c r="OUM765" s="1207"/>
      <c r="OUN765" s="1207"/>
      <c r="OUO765" s="1207"/>
      <c r="OUP765" s="1207"/>
      <c r="OUQ765" s="1207"/>
      <c r="OUR765" s="1207"/>
      <c r="OUS765" s="1207"/>
      <c r="OUT765" s="1207"/>
      <c r="OUU765" s="1207"/>
      <c r="OUV765" s="1207"/>
      <c r="OUW765" s="1207"/>
      <c r="OUX765" s="1207"/>
      <c r="OUY765" s="1207"/>
      <c r="OUZ765" s="1207"/>
      <c r="OVA765" s="1207"/>
      <c r="OVB765" s="1207"/>
      <c r="OVC765" s="1207"/>
      <c r="OVD765" s="1207"/>
      <c r="OVE765" s="1207"/>
      <c r="OVF765" s="1207"/>
      <c r="OVG765" s="1207"/>
      <c r="OVH765" s="1207"/>
      <c r="OVI765" s="1207"/>
      <c r="OVJ765" s="1207"/>
      <c r="OVK765" s="1207"/>
      <c r="OVL765" s="1207"/>
      <c r="OVM765" s="1207"/>
      <c r="OVN765" s="1207"/>
      <c r="OVO765" s="1207"/>
      <c r="OVP765" s="1207"/>
      <c r="OVQ765" s="1207"/>
      <c r="OVR765" s="1207"/>
      <c r="OVS765" s="1207"/>
      <c r="OVT765" s="1207"/>
      <c r="OVU765" s="1207"/>
      <c r="OVV765" s="1207"/>
      <c r="OVW765" s="1207"/>
      <c r="OVX765" s="1207"/>
      <c r="OVY765" s="1207"/>
      <c r="OVZ765" s="1207"/>
      <c r="OWA765" s="1207"/>
      <c r="OWB765" s="1207"/>
      <c r="OWC765" s="1207"/>
      <c r="OWD765" s="1207"/>
      <c r="OWE765" s="1207"/>
      <c r="OWF765" s="1207"/>
      <c r="OWG765" s="1207"/>
      <c r="OWH765" s="1207"/>
      <c r="OWI765" s="1207"/>
      <c r="OWJ765" s="1207"/>
      <c r="OWK765" s="1207"/>
      <c r="OWL765" s="1207"/>
      <c r="OWM765" s="1207"/>
      <c r="OWN765" s="1207"/>
      <c r="OWO765" s="1207"/>
      <c r="OWP765" s="1207"/>
      <c r="OWQ765" s="1207"/>
      <c r="OWR765" s="1207"/>
      <c r="OWS765" s="1207"/>
      <c r="OWT765" s="1207"/>
      <c r="OWU765" s="1207"/>
      <c r="OWV765" s="1207"/>
      <c r="OWW765" s="1207"/>
      <c r="OWX765" s="1207"/>
      <c r="OWY765" s="1207"/>
      <c r="OWZ765" s="1207"/>
      <c r="OXA765" s="1207"/>
      <c r="OXB765" s="1207"/>
      <c r="OXC765" s="1207"/>
      <c r="OXD765" s="1207"/>
      <c r="OXE765" s="1207"/>
      <c r="OXF765" s="1207"/>
      <c r="OXG765" s="1207"/>
      <c r="OXH765" s="1207"/>
      <c r="OXI765" s="1207"/>
      <c r="OXJ765" s="1207"/>
      <c r="OXK765" s="1207"/>
      <c r="OXL765" s="1207"/>
      <c r="OXM765" s="1207"/>
      <c r="OXN765" s="1207"/>
      <c r="OXO765" s="1207"/>
      <c r="OXP765" s="1207"/>
      <c r="OXQ765" s="1207"/>
      <c r="OXR765" s="1207"/>
      <c r="OXS765" s="1207"/>
      <c r="OXT765" s="1207"/>
      <c r="OXU765" s="1207"/>
      <c r="OXV765" s="1207"/>
      <c r="OXW765" s="1207"/>
      <c r="OXX765" s="1207"/>
      <c r="OXY765" s="1207"/>
      <c r="OXZ765" s="1207"/>
      <c r="OYA765" s="1207"/>
      <c r="OYB765" s="1207"/>
      <c r="OYC765" s="1207"/>
      <c r="OYD765" s="1207"/>
      <c r="OYE765" s="1207"/>
      <c r="OYF765" s="1207"/>
      <c r="OYG765" s="1207"/>
      <c r="OYH765" s="1207"/>
      <c r="OYI765" s="1207"/>
      <c r="OYJ765" s="1207"/>
      <c r="OYK765" s="1207"/>
      <c r="OYL765" s="1207"/>
      <c r="OYM765" s="1207"/>
      <c r="OYN765" s="1207"/>
      <c r="OYO765" s="1207"/>
      <c r="OYP765" s="1207"/>
      <c r="OYQ765" s="1207"/>
      <c r="OYR765" s="1207"/>
      <c r="OYS765" s="1207"/>
      <c r="OYT765" s="1207"/>
      <c r="OYU765" s="1207"/>
      <c r="OYV765" s="1207"/>
      <c r="OYW765" s="1207"/>
      <c r="OYX765" s="1207"/>
      <c r="OYY765" s="1207"/>
      <c r="OYZ765" s="1207"/>
      <c r="OZA765" s="1207"/>
      <c r="OZB765" s="1207"/>
      <c r="OZC765" s="1207"/>
      <c r="OZD765" s="1207"/>
      <c r="OZE765" s="1207"/>
      <c r="OZF765" s="1207"/>
      <c r="OZG765" s="1207"/>
      <c r="OZH765" s="1207"/>
      <c r="OZI765" s="1207"/>
      <c r="OZJ765" s="1207"/>
      <c r="OZK765" s="1207"/>
      <c r="OZL765" s="1207"/>
      <c r="OZM765" s="1207"/>
      <c r="OZN765" s="1207"/>
      <c r="OZO765" s="1207"/>
      <c r="OZP765" s="1207"/>
      <c r="OZQ765" s="1207"/>
      <c r="OZR765" s="1207"/>
      <c r="OZS765" s="1207"/>
      <c r="OZT765" s="1207"/>
      <c r="OZU765" s="1207"/>
      <c r="OZV765" s="1207"/>
      <c r="OZW765" s="1207"/>
      <c r="OZX765" s="1207"/>
      <c r="OZY765" s="1207"/>
      <c r="OZZ765" s="1207"/>
      <c r="PAA765" s="1207"/>
      <c r="PAB765" s="1207"/>
      <c r="PAC765" s="1207"/>
      <c r="PAD765" s="1207"/>
      <c r="PAE765" s="1207"/>
      <c r="PAF765" s="1207"/>
      <c r="PAG765" s="1207"/>
      <c r="PAH765" s="1207"/>
      <c r="PAI765" s="1207"/>
      <c r="PAJ765" s="1207"/>
      <c r="PAK765" s="1207"/>
      <c r="PAL765" s="1207"/>
      <c r="PAM765" s="1207"/>
      <c r="PAN765" s="1207"/>
      <c r="PAO765" s="1207"/>
      <c r="PAP765" s="1207"/>
      <c r="PAQ765" s="1207"/>
      <c r="PAR765" s="1207"/>
      <c r="PAS765" s="1207"/>
      <c r="PAT765" s="1207"/>
      <c r="PAU765" s="1207"/>
      <c r="PAV765" s="1207"/>
      <c r="PAW765" s="1207"/>
      <c r="PAX765" s="1207"/>
      <c r="PAY765" s="1207"/>
      <c r="PAZ765" s="1207"/>
      <c r="PBA765" s="1207"/>
      <c r="PBB765" s="1207"/>
      <c r="PBC765" s="1207"/>
      <c r="PBD765" s="1207"/>
      <c r="PBE765" s="1207"/>
      <c r="PBF765" s="1207"/>
      <c r="PBG765" s="1207"/>
      <c r="PBH765" s="1207"/>
      <c r="PBI765" s="1207"/>
      <c r="PBJ765" s="1207"/>
      <c r="PBK765" s="1207"/>
      <c r="PBL765" s="1207"/>
      <c r="PBM765" s="1207"/>
      <c r="PBN765" s="1207"/>
      <c r="PBO765" s="1207"/>
      <c r="PBP765" s="1207"/>
      <c r="PBQ765" s="1207"/>
      <c r="PBR765" s="1207"/>
      <c r="PBS765" s="1207"/>
      <c r="PBT765" s="1207"/>
      <c r="PBU765" s="1207"/>
      <c r="PBV765" s="1207"/>
      <c r="PBW765" s="1207"/>
      <c r="PBX765" s="1207"/>
      <c r="PBY765" s="1207"/>
      <c r="PBZ765" s="1207"/>
      <c r="PCA765" s="1207"/>
      <c r="PCB765" s="1207"/>
      <c r="PCC765" s="1207"/>
      <c r="PCD765" s="1207"/>
      <c r="PCE765" s="1207"/>
      <c r="PCF765" s="1207"/>
      <c r="PCG765" s="1207"/>
      <c r="PCH765" s="1207"/>
      <c r="PCI765" s="1207"/>
      <c r="PCJ765" s="1207"/>
      <c r="PCK765" s="1207"/>
      <c r="PCL765" s="1207"/>
      <c r="PCM765" s="1207"/>
      <c r="PCN765" s="1207"/>
      <c r="PCO765" s="1207"/>
      <c r="PCP765" s="1207"/>
      <c r="PCQ765" s="1207"/>
      <c r="PCR765" s="1207"/>
      <c r="PCS765" s="1207"/>
      <c r="PCT765" s="1207"/>
      <c r="PCU765" s="1207"/>
      <c r="PCV765" s="1207"/>
      <c r="PCW765" s="1207"/>
      <c r="PCX765" s="1207"/>
      <c r="PCY765" s="1207"/>
      <c r="PCZ765" s="1207"/>
      <c r="PDA765" s="1207"/>
      <c r="PDB765" s="1207"/>
      <c r="PDC765" s="1207"/>
      <c r="PDD765" s="1207"/>
      <c r="PDE765" s="1207"/>
      <c r="PDF765" s="1207"/>
      <c r="PDG765" s="1207"/>
      <c r="PDH765" s="1207"/>
      <c r="PDI765" s="1207"/>
      <c r="PDJ765" s="1207"/>
      <c r="PDK765" s="1207"/>
      <c r="PDL765" s="1207"/>
      <c r="PDM765" s="1207"/>
      <c r="PDN765" s="1207"/>
      <c r="PDO765" s="1207"/>
      <c r="PDP765" s="1207"/>
      <c r="PDQ765" s="1207"/>
      <c r="PDR765" s="1207"/>
      <c r="PDS765" s="1207"/>
      <c r="PDT765" s="1207"/>
      <c r="PDU765" s="1207"/>
      <c r="PDV765" s="1207"/>
      <c r="PDW765" s="1207"/>
      <c r="PDX765" s="1207"/>
      <c r="PDY765" s="1207"/>
      <c r="PDZ765" s="1207"/>
      <c r="PEA765" s="1207"/>
      <c r="PEB765" s="1207"/>
      <c r="PEC765" s="1207"/>
      <c r="PED765" s="1207"/>
      <c r="PEE765" s="1207"/>
      <c r="PEF765" s="1207"/>
      <c r="PEG765" s="1207"/>
      <c r="PEH765" s="1207"/>
      <c r="PEI765" s="1207"/>
      <c r="PEJ765" s="1207"/>
      <c r="PEK765" s="1207"/>
      <c r="PEL765" s="1207"/>
      <c r="PEM765" s="1207"/>
      <c r="PEN765" s="1207"/>
      <c r="PEO765" s="1207"/>
      <c r="PEP765" s="1207"/>
      <c r="PEQ765" s="1207"/>
      <c r="PER765" s="1207"/>
      <c r="PES765" s="1207"/>
      <c r="PET765" s="1207"/>
      <c r="PEU765" s="1207"/>
      <c r="PEV765" s="1207"/>
      <c r="PEW765" s="1207"/>
      <c r="PEX765" s="1207"/>
      <c r="PEY765" s="1207"/>
      <c r="PEZ765" s="1207"/>
      <c r="PFA765" s="1207"/>
      <c r="PFB765" s="1207"/>
      <c r="PFC765" s="1207"/>
      <c r="PFD765" s="1207"/>
      <c r="PFE765" s="1207"/>
      <c r="PFF765" s="1207"/>
      <c r="PFG765" s="1207"/>
      <c r="PFH765" s="1207"/>
      <c r="PFI765" s="1207"/>
      <c r="PFJ765" s="1207"/>
      <c r="PFK765" s="1207"/>
      <c r="PFL765" s="1207"/>
      <c r="PFM765" s="1207"/>
      <c r="PFN765" s="1207"/>
      <c r="PFO765" s="1207"/>
      <c r="PFP765" s="1207"/>
      <c r="PFQ765" s="1207"/>
      <c r="PFR765" s="1207"/>
      <c r="PFS765" s="1207"/>
      <c r="PFT765" s="1207"/>
      <c r="PFU765" s="1207"/>
      <c r="PFV765" s="1207"/>
      <c r="PFW765" s="1207"/>
      <c r="PFX765" s="1207"/>
      <c r="PFY765" s="1207"/>
      <c r="PFZ765" s="1207"/>
      <c r="PGA765" s="1207"/>
      <c r="PGB765" s="1207"/>
      <c r="PGC765" s="1207"/>
      <c r="PGD765" s="1207"/>
      <c r="PGE765" s="1207"/>
      <c r="PGF765" s="1207"/>
      <c r="PGG765" s="1207"/>
      <c r="PGH765" s="1207"/>
      <c r="PGI765" s="1207"/>
      <c r="PGJ765" s="1207"/>
      <c r="PGK765" s="1207"/>
      <c r="PGL765" s="1207"/>
      <c r="PGM765" s="1207"/>
      <c r="PGN765" s="1207"/>
      <c r="PGO765" s="1207"/>
      <c r="PGP765" s="1207"/>
      <c r="PGQ765" s="1207"/>
      <c r="PGR765" s="1207"/>
      <c r="PGS765" s="1207"/>
      <c r="PGT765" s="1207"/>
      <c r="PGU765" s="1207"/>
      <c r="PGV765" s="1207"/>
      <c r="PGW765" s="1207"/>
      <c r="PGX765" s="1207"/>
      <c r="PGY765" s="1207"/>
      <c r="PGZ765" s="1207"/>
      <c r="PHA765" s="1207"/>
      <c r="PHB765" s="1207"/>
      <c r="PHC765" s="1207"/>
      <c r="PHD765" s="1207"/>
      <c r="PHE765" s="1207"/>
      <c r="PHF765" s="1207"/>
      <c r="PHG765" s="1207"/>
      <c r="PHH765" s="1207"/>
      <c r="PHI765" s="1207"/>
      <c r="PHJ765" s="1207"/>
      <c r="PHK765" s="1207"/>
      <c r="PHL765" s="1207"/>
      <c r="PHM765" s="1207"/>
      <c r="PHN765" s="1207"/>
      <c r="PHO765" s="1207"/>
      <c r="PHP765" s="1207"/>
      <c r="PHQ765" s="1207"/>
      <c r="PHR765" s="1207"/>
      <c r="PHS765" s="1207"/>
      <c r="PHT765" s="1207"/>
      <c r="PHU765" s="1207"/>
      <c r="PHV765" s="1207"/>
      <c r="PHW765" s="1207"/>
      <c r="PHX765" s="1207"/>
      <c r="PHY765" s="1207"/>
      <c r="PHZ765" s="1207"/>
      <c r="PIA765" s="1207"/>
      <c r="PIB765" s="1207"/>
      <c r="PIC765" s="1207"/>
      <c r="PID765" s="1207"/>
      <c r="PIE765" s="1207"/>
      <c r="PIF765" s="1207"/>
      <c r="PIG765" s="1207"/>
      <c r="PIH765" s="1207"/>
      <c r="PII765" s="1207"/>
      <c r="PIJ765" s="1207"/>
      <c r="PIK765" s="1207"/>
      <c r="PIL765" s="1207"/>
      <c r="PIM765" s="1207"/>
      <c r="PIN765" s="1207"/>
      <c r="PIO765" s="1207"/>
      <c r="PIP765" s="1207"/>
      <c r="PIQ765" s="1207"/>
      <c r="PIR765" s="1207"/>
      <c r="PIS765" s="1207"/>
      <c r="PIT765" s="1207"/>
      <c r="PIU765" s="1207"/>
      <c r="PIV765" s="1207"/>
      <c r="PIW765" s="1207"/>
      <c r="PIX765" s="1207"/>
      <c r="PIY765" s="1207"/>
      <c r="PIZ765" s="1207"/>
      <c r="PJA765" s="1207"/>
      <c r="PJB765" s="1207"/>
      <c r="PJC765" s="1207"/>
      <c r="PJD765" s="1207"/>
      <c r="PJE765" s="1207"/>
      <c r="PJF765" s="1207"/>
      <c r="PJG765" s="1207"/>
      <c r="PJH765" s="1207"/>
      <c r="PJI765" s="1207"/>
      <c r="PJJ765" s="1207"/>
      <c r="PJK765" s="1207"/>
      <c r="PJL765" s="1207"/>
      <c r="PJM765" s="1207"/>
      <c r="PJN765" s="1207"/>
      <c r="PJO765" s="1207"/>
      <c r="PJP765" s="1207"/>
      <c r="PJQ765" s="1207"/>
      <c r="PJR765" s="1207"/>
      <c r="PJS765" s="1207"/>
      <c r="PJT765" s="1207"/>
      <c r="PJU765" s="1207"/>
      <c r="PJV765" s="1207"/>
      <c r="PJW765" s="1207"/>
      <c r="PJX765" s="1207"/>
      <c r="PJY765" s="1207"/>
      <c r="PJZ765" s="1207"/>
      <c r="PKA765" s="1207"/>
      <c r="PKB765" s="1207"/>
      <c r="PKC765" s="1207"/>
      <c r="PKD765" s="1207"/>
      <c r="PKE765" s="1207"/>
      <c r="PKF765" s="1207"/>
      <c r="PKG765" s="1207"/>
      <c r="PKH765" s="1207"/>
      <c r="PKI765" s="1207"/>
      <c r="PKJ765" s="1207"/>
      <c r="PKK765" s="1207"/>
      <c r="PKL765" s="1207"/>
      <c r="PKM765" s="1207"/>
      <c r="PKN765" s="1207"/>
      <c r="PKO765" s="1207"/>
      <c r="PKP765" s="1207"/>
      <c r="PKQ765" s="1207"/>
      <c r="PKR765" s="1207"/>
      <c r="PKS765" s="1207"/>
      <c r="PKT765" s="1207"/>
      <c r="PKU765" s="1207"/>
      <c r="PKV765" s="1207"/>
      <c r="PKW765" s="1207"/>
      <c r="PKX765" s="1207"/>
      <c r="PKY765" s="1207"/>
      <c r="PKZ765" s="1207"/>
      <c r="PLA765" s="1207"/>
      <c r="PLB765" s="1207"/>
      <c r="PLC765" s="1207"/>
      <c r="PLD765" s="1207"/>
      <c r="PLE765" s="1207"/>
      <c r="PLF765" s="1207"/>
      <c r="PLG765" s="1207"/>
      <c r="PLH765" s="1207"/>
      <c r="PLI765" s="1207"/>
      <c r="PLJ765" s="1207"/>
      <c r="PLK765" s="1207"/>
      <c r="PLL765" s="1207"/>
      <c r="PLM765" s="1207"/>
      <c r="PLN765" s="1207"/>
      <c r="PLO765" s="1207"/>
      <c r="PLP765" s="1207"/>
      <c r="PLQ765" s="1207"/>
      <c r="PLR765" s="1207"/>
      <c r="PLS765" s="1207"/>
      <c r="PLT765" s="1207"/>
      <c r="PLU765" s="1207"/>
      <c r="PLV765" s="1207"/>
      <c r="PLW765" s="1207"/>
      <c r="PLX765" s="1207"/>
      <c r="PLY765" s="1207"/>
      <c r="PLZ765" s="1207"/>
      <c r="PMA765" s="1207"/>
      <c r="PMB765" s="1207"/>
      <c r="PMC765" s="1207"/>
      <c r="PMD765" s="1207"/>
      <c r="PME765" s="1207"/>
      <c r="PMF765" s="1207"/>
      <c r="PMG765" s="1207"/>
      <c r="PMH765" s="1207"/>
      <c r="PMI765" s="1207"/>
      <c r="PMJ765" s="1207"/>
      <c r="PMK765" s="1207"/>
      <c r="PML765" s="1207"/>
      <c r="PMM765" s="1207"/>
      <c r="PMN765" s="1207"/>
      <c r="PMO765" s="1207"/>
      <c r="PMP765" s="1207"/>
      <c r="PMQ765" s="1207"/>
      <c r="PMR765" s="1207"/>
      <c r="PMS765" s="1207"/>
      <c r="PMT765" s="1207"/>
      <c r="PMU765" s="1207"/>
      <c r="PMV765" s="1207"/>
      <c r="PMW765" s="1207"/>
      <c r="PMX765" s="1207"/>
      <c r="PMY765" s="1207"/>
      <c r="PMZ765" s="1207"/>
      <c r="PNA765" s="1207"/>
      <c r="PNB765" s="1207"/>
      <c r="PNC765" s="1207"/>
      <c r="PND765" s="1207"/>
      <c r="PNE765" s="1207"/>
      <c r="PNF765" s="1207"/>
      <c r="PNG765" s="1207"/>
      <c r="PNH765" s="1207"/>
      <c r="PNI765" s="1207"/>
      <c r="PNJ765" s="1207"/>
      <c r="PNK765" s="1207"/>
      <c r="PNL765" s="1207"/>
      <c r="PNM765" s="1207"/>
      <c r="PNN765" s="1207"/>
      <c r="PNO765" s="1207"/>
      <c r="PNP765" s="1207"/>
      <c r="PNQ765" s="1207"/>
      <c r="PNR765" s="1207"/>
      <c r="PNS765" s="1207"/>
      <c r="PNT765" s="1207"/>
      <c r="PNU765" s="1207"/>
      <c r="PNV765" s="1207"/>
      <c r="PNW765" s="1207"/>
      <c r="PNX765" s="1207"/>
      <c r="PNY765" s="1207"/>
      <c r="PNZ765" s="1207"/>
      <c r="POA765" s="1207"/>
      <c r="POB765" s="1207"/>
      <c r="POC765" s="1207"/>
      <c r="POD765" s="1207"/>
      <c r="POE765" s="1207"/>
      <c r="POF765" s="1207"/>
      <c r="POG765" s="1207"/>
      <c r="POH765" s="1207"/>
      <c r="POI765" s="1207"/>
      <c r="POJ765" s="1207"/>
      <c r="POK765" s="1207"/>
      <c r="POL765" s="1207"/>
      <c r="POM765" s="1207"/>
      <c r="PON765" s="1207"/>
      <c r="POO765" s="1207"/>
      <c r="POP765" s="1207"/>
      <c r="POQ765" s="1207"/>
      <c r="POR765" s="1207"/>
      <c r="POS765" s="1207"/>
      <c r="POT765" s="1207"/>
      <c r="POU765" s="1207"/>
      <c r="POV765" s="1207"/>
      <c r="POW765" s="1207"/>
      <c r="POX765" s="1207"/>
      <c r="POY765" s="1207"/>
      <c r="POZ765" s="1207"/>
      <c r="PPA765" s="1207"/>
      <c r="PPB765" s="1207"/>
      <c r="PPC765" s="1207"/>
      <c r="PPD765" s="1207"/>
      <c r="PPE765" s="1207"/>
      <c r="PPF765" s="1207"/>
      <c r="PPG765" s="1207"/>
      <c r="PPH765" s="1207"/>
      <c r="PPI765" s="1207"/>
      <c r="PPJ765" s="1207"/>
      <c r="PPK765" s="1207"/>
      <c r="PPL765" s="1207"/>
      <c r="PPM765" s="1207"/>
      <c r="PPN765" s="1207"/>
      <c r="PPO765" s="1207"/>
      <c r="PPP765" s="1207"/>
      <c r="PPQ765" s="1207"/>
      <c r="PPR765" s="1207"/>
      <c r="PPS765" s="1207"/>
      <c r="PPT765" s="1207"/>
      <c r="PPU765" s="1207"/>
      <c r="PPV765" s="1207"/>
      <c r="PPW765" s="1207"/>
      <c r="PPX765" s="1207"/>
      <c r="PPY765" s="1207"/>
      <c r="PPZ765" s="1207"/>
      <c r="PQA765" s="1207"/>
      <c r="PQB765" s="1207"/>
      <c r="PQC765" s="1207"/>
      <c r="PQD765" s="1207"/>
      <c r="PQE765" s="1207"/>
      <c r="PQF765" s="1207"/>
      <c r="PQG765" s="1207"/>
      <c r="PQH765" s="1207"/>
      <c r="PQI765" s="1207"/>
      <c r="PQJ765" s="1207"/>
      <c r="PQK765" s="1207"/>
      <c r="PQL765" s="1207"/>
      <c r="PQM765" s="1207"/>
      <c r="PQN765" s="1207"/>
      <c r="PQO765" s="1207"/>
      <c r="PQP765" s="1207"/>
      <c r="PQQ765" s="1207"/>
      <c r="PQR765" s="1207"/>
      <c r="PQS765" s="1207"/>
      <c r="PQT765" s="1207"/>
      <c r="PQU765" s="1207"/>
      <c r="PQV765" s="1207"/>
      <c r="PQW765" s="1207"/>
      <c r="PQX765" s="1207"/>
      <c r="PQY765" s="1207"/>
      <c r="PQZ765" s="1207"/>
      <c r="PRA765" s="1207"/>
      <c r="PRB765" s="1207"/>
      <c r="PRC765" s="1207"/>
      <c r="PRD765" s="1207"/>
      <c r="PRE765" s="1207"/>
      <c r="PRF765" s="1207"/>
      <c r="PRG765" s="1207"/>
      <c r="PRH765" s="1207"/>
      <c r="PRI765" s="1207"/>
      <c r="PRJ765" s="1207"/>
      <c r="PRK765" s="1207"/>
      <c r="PRL765" s="1207"/>
      <c r="PRM765" s="1207"/>
      <c r="PRN765" s="1207"/>
      <c r="PRO765" s="1207"/>
      <c r="PRP765" s="1207"/>
      <c r="PRQ765" s="1207"/>
      <c r="PRR765" s="1207"/>
      <c r="PRS765" s="1207"/>
      <c r="PRT765" s="1207"/>
      <c r="PRU765" s="1207"/>
      <c r="PRV765" s="1207"/>
      <c r="PRW765" s="1207"/>
      <c r="PRX765" s="1207"/>
      <c r="PRY765" s="1207"/>
      <c r="PRZ765" s="1207"/>
      <c r="PSA765" s="1207"/>
      <c r="PSB765" s="1207"/>
      <c r="PSC765" s="1207"/>
      <c r="PSD765" s="1207"/>
      <c r="PSE765" s="1207"/>
      <c r="PSF765" s="1207"/>
      <c r="PSG765" s="1207"/>
      <c r="PSH765" s="1207"/>
      <c r="PSI765" s="1207"/>
      <c r="PSJ765" s="1207"/>
      <c r="PSK765" s="1207"/>
      <c r="PSL765" s="1207"/>
      <c r="PSM765" s="1207"/>
      <c r="PSN765" s="1207"/>
      <c r="PSO765" s="1207"/>
      <c r="PSP765" s="1207"/>
      <c r="PSQ765" s="1207"/>
      <c r="PSR765" s="1207"/>
      <c r="PSS765" s="1207"/>
      <c r="PST765" s="1207"/>
      <c r="PSU765" s="1207"/>
      <c r="PSV765" s="1207"/>
      <c r="PSW765" s="1207"/>
      <c r="PSX765" s="1207"/>
      <c r="PSY765" s="1207"/>
      <c r="PSZ765" s="1207"/>
      <c r="PTA765" s="1207"/>
      <c r="PTB765" s="1207"/>
      <c r="PTC765" s="1207"/>
      <c r="PTD765" s="1207"/>
      <c r="PTE765" s="1207"/>
      <c r="PTF765" s="1207"/>
      <c r="PTG765" s="1207"/>
      <c r="PTH765" s="1207"/>
      <c r="PTI765" s="1207"/>
      <c r="PTJ765" s="1207"/>
      <c r="PTK765" s="1207"/>
      <c r="PTL765" s="1207"/>
      <c r="PTM765" s="1207"/>
      <c r="PTN765" s="1207"/>
      <c r="PTO765" s="1207"/>
      <c r="PTP765" s="1207"/>
      <c r="PTQ765" s="1207"/>
      <c r="PTR765" s="1207"/>
      <c r="PTS765" s="1207"/>
      <c r="PTT765" s="1207"/>
      <c r="PTU765" s="1207"/>
      <c r="PTV765" s="1207"/>
      <c r="PTW765" s="1207"/>
      <c r="PTX765" s="1207"/>
      <c r="PTY765" s="1207"/>
      <c r="PTZ765" s="1207"/>
      <c r="PUA765" s="1207"/>
      <c r="PUB765" s="1207"/>
      <c r="PUC765" s="1207"/>
      <c r="PUD765" s="1207"/>
      <c r="PUE765" s="1207"/>
      <c r="PUF765" s="1207"/>
      <c r="PUG765" s="1207"/>
      <c r="PUH765" s="1207"/>
      <c r="PUI765" s="1207"/>
      <c r="PUJ765" s="1207"/>
      <c r="PUK765" s="1207"/>
      <c r="PUL765" s="1207"/>
      <c r="PUM765" s="1207"/>
      <c r="PUN765" s="1207"/>
      <c r="PUO765" s="1207"/>
      <c r="PUP765" s="1207"/>
      <c r="PUQ765" s="1207"/>
      <c r="PUR765" s="1207"/>
      <c r="PUS765" s="1207"/>
      <c r="PUT765" s="1207"/>
      <c r="PUU765" s="1207"/>
      <c r="PUV765" s="1207"/>
      <c r="PUW765" s="1207"/>
      <c r="PUX765" s="1207"/>
      <c r="PUY765" s="1207"/>
      <c r="PUZ765" s="1207"/>
      <c r="PVA765" s="1207"/>
      <c r="PVB765" s="1207"/>
      <c r="PVC765" s="1207"/>
      <c r="PVD765" s="1207"/>
      <c r="PVE765" s="1207"/>
      <c r="PVF765" s="1207"/>
      <c r="PVG765" s="1207"/>
      <c r="PVH765" s="1207"/>
      <c r="PVI765" s="1207"/>
      <c r="PVJ765" s="1207"/>
      <c r="PVK765" s="1207"/>
      <c r="PVL765" s="1207"/>
      <c r="PVM765" s="1207"/>
      <c r="PVN765" s="1207"/>
      <c r="PVO765" s="1207"/>
      <c r="PVP765" s="1207"/>
      <c r="PVQ765" s="1207"/>
      <c r="PVR765" s="1207"/>
      <c r="PVS765" s="1207"/>
      <c r="PVT765" s="1207"/>
      <c r="PVU765" s="1207"/>
      <c r="PVV765" s="1207"/>
      <c r="PVW765" s="1207"/>
      <c r="PVX765" s="1207"/>
      <c r="PVY765" s="1207"/>
      <c r="PVZ765" s="1207"/>
      <c r="PWA765" s="1207"/>
      <c r="PWB765" s="1207"/>
      <c r="PWC765" s="1207"/>
      <c r="PWD765" s="1207"/>
      <c r="PWE765" s="1207"/>
      <c r="PWF765" s="1207"/>
      <c r="PWG765" s="1207"/>
      <c r="PWH765" s="1207"/>
      <c r="PWI765" s="1207"/>
      <c r="PWJ765" s="1207"/>
      <c r="PWK765" s="1207"/>
      <c r="PWL765" s="1207"/>
      <c r="PWM765" s="1207"/>
      <c r="PWN765" s="1207"/>
      <c r="PWO765" s="1207"/>
      <c r="PWP765" s="1207"/>
      <c r="PWQ765" s="1207"/>
      <c r="PWR765" s="1207"/>
      <c r="PWS765" s="1207"/>
      <c r="PWT765" s="1207"/>
      <c r="PWU765" s="1207"/>
      <c r="PWV765" s="1207"/>
      <c r="PWW765" s="1207"/>
      <c r="PWX765" s="1207"/>
      <c r="PWY765" s="1207"/>
      <c r="PWZ765" s="1207"/>
      <c r="PXA765" s="1207"/>
      <c r="PXB765" s="1207"/>
      <c r="PXC765" s="1207"/>
      <c r="PXD765" s="1207"/>
      <c r="PXE765" s="1207"/>
      <c r="PXF765" s="1207"/>
      <c r="PXG765" s="1207"/>
      <c r="PXH765" s="1207"/>
      <c r="PXI765" s="1207"/>
      <c r="PXJ765" s="1207"/>
      <c r="PXK765" s="1207"/>
      <c r="PXL765" s="1207"/>
      <c r="PXM765" s="1207"/>
      <c r="PXN765" s="1207"/>
      <c r="PXO765" s="1207"/>
      <c r="PXP765" s="1207"/>
      <c r="PXQ765" s="1207"/>
      <c r="PXR765" s="1207"/>
      <c r="PXS765" s="1207"/>
      <c r="PXT765" s="1207"/>
      <c r="PXU765" s="1207"/>
      <c r="PXV765" s="1207"/>
      <c r="PXW765" s="1207"/>
      <c r="PXX765" s="1207"/>
      <c r="PXY765" s="1207"/>
      <c r="PXZ765" s="1207"/>
      <c r="PYA765" s="1207"/>
      <c r="PYB765" s="1207"/>
      <c r="PYC765" s="1207"/>
      <c r="PYD765" s="1207"/>
      <c r="PYE765" s="1207"/>
      <c r="PYF765" s="1207"/>
      <c r="PYG765" s="1207"/>
      <c r="PYH765" s="1207"/>
      <c r="PYI765" s="1207"/>
      <c r="PYJ765" s="1207"/>
      <c r="PYK765" s="1207"/>
      <c r="PYL765" s="1207"/>
      <c r="PYM765" s="1207"/>
      <c r="PYN765" s="1207"/>
      <c r="PYO765" s="1207"/>
      <c r="PYP765" s="1207"/>
      <c r="PYQ765" s="1207"/>
      <c r="PYR765" s="1207"/>
      <c r="PYS765" s="1207"/>
      <c r="PYT765" s="1207"/>
      <c r="PYU765" s="1207"/>
      <c r="PYV765" s="1207"/>
      <c r="PYW765" s="1207"/>
      <c r="PYX765" s="1207"/>
      <c r="PYY765" s="1207"/>
      <c r="PYZ765" s="1207"/>
      <c r="PZA765" s="1207"/>
      <c r="PZB765" s="1207"/>
      <c r="PZC765" s="1207"/>
      <c r="PZD765" s="1207"/>
      <c r="PZE765" s="1207"/>
      <c r="PZF765" s="1207"/>
      <c r="PZG765" s="1207"/>
      <c r="PZH765" s="1207"/>
      <c r="PZI765" s="1207"/>
      <c r="PZJ765" s="1207"/>
      <c r="PZK765" s="1207"/>
      <c r="PZL765" s="1207"/>
      <c r="PZM765" s="1207"/>
      <c r="PZN765" s="1207"/>
      <c r="PZO765" s="1207"/>
      <c r="PZP765" s="1207"/>
      <c r="PZQ765" s="1207"/>
      <c r="PZR765" s="1207"/>
      <c r="PZS765" s="1207"/>
      <c r="PZT765" s="1207"/>
      <c r="PZU765" s="1207"/>
      <c r="PZV765" s="1207"/>
      <c r="PZW765" s="1207"/>
      <c r="PZX765" s="1207"/>
      <c r="PZY765" s="1207"/>
      <c r="PZZ765" s="1207"/>
      <c r="QAA765" s="1207"/>
      <c r="QAB765" s="1207"/>
      <c r="QAC765" s="1207"/>
      <c r="QAD765" s="1207"/>
      <c r="QAE765" s="1207"/>
      <c r="QAF765" s="1207"/>
      <c r="QAG765" s="1207"/>
      <c r="QAH765" s="1207"/>
      <c r="QAI765" s="1207"/>
      <c r="QAJ765" s="1207"/>
      <c r="QAK765" s="1207"/>
      <c r="QAL765" s="1207"/>
      <c r="QAM765" s="1207"/>
      <c r="QAN765" s="1207"/>
      <c r="QAO765" s="1207"/>
      <c r="QAP765" s="1207"/>
      <c r="QAQ765" s="1207"/>
      <c r="QAR765" s="1207"/>
      <c r="QAS765" s="1207"/>
      <c r="QAT765" s="1207"/>
      <c r="QAU765" s="1207"/>
      <c r="QAV765" s="1207"/>
      <c r="QAW765" s="1207"/>
      <c r="QAX765" s="1207"/>
      <c r="QAY765" s="1207"/>
      <c r="QAZ765" s="1207"/>
      <c r="QBA765" s="1207"/>
      <c r="QBB765" s="1207"/>
      <c r="QBC765" s="1207"/>
      <c r="QBD765" s="1207"/>
      <c r="QBE765" s="1207"/>
      <c r="QBF765" s="1207"/>
      <c r="QBG765" s="1207"/>
      <c r="QBH765" s="1207"/>
      <c r="QBI765" s="1207"/>
      <c r="QBJ765" s="1207"/>
      <c r="QBK765" s="1207"/>
      <c r="QBL765" s="1207"/>
      <c r="QBM765" s="1207"/>
      <c r="QBN765" s="1207"/>
      <c r="QBO765" s="1207"/>
      <c r="QBP765" s="1207"/>
      <c r="QBQ765" s="1207"/>
      <c r="QBR765" s="1207"/>
      <c r="QBS765" s="1207"/>
      <c r="QBT765" s="1207"/>
      <c r="QBU765" s="1207"/>
      <c r="QBV765" s="1207"/>
      <c r="QBW765" s="1207"/>
      <c r="QBX765" s="1207"/>
      <c r="QBY765" s="1207"/>
      <c r="QBZ765" s="1207"/>
      <c r="QCA765" s="1207"/>
      <c r="QCB765" s="1207"/>
      <c r="QCC765" s="1207"/>
      <c r="QCD765" s="1207"/>
      <c r="QCE765" s="1207"/>
      <c r="QCF765" s="1207"/>
      <c r="QCG765" s="1207"/>
      <c r="QCH765" s="1207"/>
      <c r="QCI765" s="1207"/>
      <c r="QCJ765" s="1207"/>
      <c r="QCK765" s="1207"/>
      <c r="QCL765" s="1207"/>
      <c r="QCM765" s="1207"/>
      <c r="QCN765" s="1207"/>
      <c r="QCO765" s="1207"/>
      <c r="QCP765" s="1207"/>
      <c r="QCQ765" s="1207"/>
      <c r="QCR765" s="1207"/>
      <c r="QCS765" s="1207"/>
      <c r="QCT765" s="1207"/>
      <c r="QCU765" s="1207"/>
      <c r="QCV765" s="1207"/>
      <c r="QCW765" s="1207"/>
      <c r="QCX765" s="1207"/>
      <c r="QCY765" s="1207"/>
      <c r="QCZ765" s="1207"/>
      <c r="QDA765" s="1207"/>
      <c r="QDB765" s="1207"/>
      <c r="QDC765" s="1207"/>
      <c r="QDD765" s="1207"/>
      <c r="QDE765" s="1207"/>
      <c r="QDF765" s="1207"/>
      <c r="QDG765" s="1207"/>
      <c r="QDH765" s="1207"/>
      <c r="QDI765" s="1207"/>
      <c r="QDJ765" s="1207"/>
      <c r="QDK765" s="1207"/>
      <c r="QDL765" s="1207"/>
      <c r="QDM765" s="1207"/>
      <c r="QDN765" s="1207"/>
      <c r="QDO765" s="1207"/>
      <c r="QDP765" s="1207"/>
      <c r="QDQ765" s="1207"/>
      <c r="QDR765" s="1207"/>
      <c r="QDS765" s="1207"/>
      <c r="QDT765" s="1207"/>
      <c r="QDU765" s="1207"/>
      <c r="QDV765" s="1207"/>
      <c r="QDW765" s="1207"/>
      <c r="QDX765" s="1207"/>
      <c r="QDY765" s="1207"/>
      <c r="QDZ765" s="1207"/>
      <c r="QEA765" s="1207"/>
      <c r="QEB765" s="1207"/>
      <c r="QEC765" s="1207"/>
      <c r="QED765" s="1207"/>
      <c r="QEE765" s="1207"/>
      <c r="QEF765" s="1207"/>
      <c r="QEG765" s="1207"/>
      <c r="QEH765" s="1207"/>
      <c r="QEI765" s="1207"/>
      <c r="QEJ765" s="1207"/>
      <c r="QEK765" s="1207"/>
      <c r="QEL765" s="1207"/>
      <c r="QEM765" s="1207"/>
      <c r="QEN765" s="1207"/>
      <c r="QEO765" s="1207"/>
      <c r="QEP765" s="1207"/>
      <c r="QEQ765" s="1207"/>
      <c r="QER765" s="1207"/>
      <c r="QES765" s="1207"/>
      <c r="QET765" s="1207"/>
      <c r="QEU765" s="1207"/>
      <c r="QEV765" s="1207"/>
      <c r="QEW765" s="1207"/>
      <c r="QEX765" s="1207"/>
      <c r="QEY765" s="1207"/>
      <c r="QEZ765" s="1207"/>
      <c r="QFA765" s="1207"/>
      <c r="QFB765" s="1207"/>
      <c r="QFC765" s="1207"/>
      <c r="QFD765" s="1207"/>
      <c r="QFE765" s="1207"/>
      <c r="QFF765" s="1207"/>
      <c r="QFG765" s="1207"/>
      <c r="QFH765" s="1207"/>
      <c r="QFI765" s="1207"/>
      <c r="QFJ765" s="1207"/>
      <c r="QFK765" s="1207"/>
      <c r="QFL765" s="1207"/>
      <c r="QFM765" s="1207"/>
      <c r="QFN765" s="1207"/>
      <c r="QFO765" s="1207"/>
      <c r="QFP765" s="1207"/>
      <c r="QFQ765" s="1207"/>
      <c r="QFR765" s="1207"/>
      <c r="QFS765" s="1207"/>
      <c r="QFT765" s="1207"/>
      <c r="QFU765" s="1207"/>
      <c r="QFV765" s="1207"/>
      <c r="QFW765" s="1207"/>
      <c r="QFX765" s="1207"/>
      <c r="QFY765" s="1207"/>
      <c r="QFZ765" s="1207"/>
      <c r="QGA765" s="1207"/>
      <c r="QGB765" s="1207"/>
      <c r="QGC765" s="1207"/>
      <c r="QGD765" s="1207"/>
      <c r="QGE765" s="1207"/>
      <c r="QGF765" s="1207"/>
      <c r="QGG765" s="1207"/>
      <c r="QGH765" s="1207"/>
      <c r="QGI765" s="1207"/>
      <c r="QGJ765" s="1207"/>
      <c r="QGK765" s="1207"/>
      <c r="QGL765" s="1207"/>
      <c r="QGM765" s="1207"/>
      <c r="QGN765" s="1207"/>
      <c r="QGO765" s="1207"/>
      <c r="QGP765" s="1207"/>
      <c r="QGQ765" s="1207"/>
      <c r="QGR765" s="1207"/>
      <c r="QGS765" s="1207"/>
      <c r="QGT765" s="1207"/>
      <c r="QGU765" s="1207"/>
      <c r="QGV765" s="1207"/>
      <c r="QGW765" s="1207"/>
      <c r="QGX765" s="1207"/>
      <c r="QGY765" s="1207"/>
      <c r="QGZ765" s="1207"/>
      <c r="QHA765" s="1207"/>
      <c r="QHB765" s="1207"/>
      <c r="QHC765" s="1207"/>
      <c r="QHD765" s="1207"/>
      <c r="QHE765" s="1207"/>
      <c r="QHF765" s="1207"/>
      <c r="QHG765" s="1207"/>
      <c r="QHH765" s="1207"/>
      <c r="QHI765" s="1207"/>
      <c r="QHJ765" s="1207"/>
      <c r="QHK765" s="1207"/>
      <c r="QHL765" s="1207"/>
      <c r="QHM765" s="1207"/>
      <c r="QHN765" s="1207"/>
      <c r="QHO765" s="1207"/>
      <c r="QHP765" s="1207"/>
      <c r="QHQ765" s="1207"/>
      <c r="QHR765" s="1207"/>
      <c r="QHS765" s="1207"/>
      <c r="QHT765" s="1207"/>
      <c r="QHU765" s="1207"/>
      <c r="QHV765" s="1207"/>
      <c r="QHW765" s="1207"/>
      <c r="QHX765" s="1207"/>
      <c r="QHY765" s="1207"/>
      <c r="QHZ765" s="1207"/>
      <c r="QIA765" s="1207"/>
      <c r="QIB765" s="1207"/>
      <c r="QIC765" s="1207"/>
      <c r="QID765" s="1207"/>
      <c r="QIE765" s="1207"/>
      <c r="QIF765" s="1207"/>
      <c r="QIG765" s="1207"/>
      <c r="QIH765" s="1207"/>
      <c r="QII765" s="1207"/>
      <c r="QIJ765" s="1207"/>
      <c r="QIK765" s="1207"/>
      <c r="QIL765" s="1207"/>
      <c r="QIM765" s="1207"/>
      <c r="QIN765" s="1207"/>
      <c r="QIO765" s="1207"/>
      <c r="QIP765" s="1207"/>
      <c r="QIQ765" s="1207"/>
      <c r="QIR765" s="1207"/>
      <c r="QIS765" s="1207"/>
      <c r="QIT765" s="1207"/>
      <c r="QIU765" s="1207"/>
      <c r="QIV765" s="1207"/>
      <c r="QIW765" s="1207"/>
      <c r="QIX765" s="1207"/>
      <c r="QIY765" s="1207"/>
      <c r="QIZ765" s="1207"/>
      <c r="QJA765" s="1207"/>
      <c r="QJB765" s="1207"/>
      <c r="QJC765" s="1207"/>
      <c r="QJD765" s="1207"/>
      <c r="QJE765" s="1207"/>
      <c r="QJF765" s="1207"/>
      <c r="QJG765" s="1207"/>
      <c r="QJH765" s="1207"/>
      <c r="QJI765" s="1207"/>
      <c r="QJJ765" s="1207"/>
      <c r="QJK765" s="1207"/>
      <c r="QJL765" s="1207"/>
      <c r="QJM765" s="1207"/>
      <c r="QJN765" s="1207"/>
      <c r="QJO765" s="1207"/>
      <c r="QJP765" s="1207"/>
      <c r="QJQ765" s="1207"/>
      <c r="QJR765" s="1207"/>
      <c r="QJS765" s="1207"/>
      <c r="QJT765" s="1207"/>
      <c r="QJU765" s="1207"/>
      <c r="QJV765" s="1207"/>
      <c r="QJW765" s="1207"/>
      <c r="QJX765" s="1207"/>
      <c r="QJY765" s="1207"/>
      <c r="QJZ765" s="1207"/>
      <c r="QKA765" s="1207"/>
      <c r="QKB765" s="1207"/>
      <c r="QKC765" s="1207"/>
      <c r="QKD765" s="1207"/>
      <c r="QKE765" s="1207"/>
      <c r="QKF765" s="1207"/>
      <c r="QKG765" s="1207"/>
      <c r="QKH765" s="1207"/>
      <c r="QKI765" s="1207"/>
      <c r="QKJ765" s="1207"/>
      <c r="QKK765" s="1207"/>
      <c r="QKL765" s="1207"/>
      <c r="QKM765" s="1207"/>
      <c r="QKN765" s="1207"/>
      <c r="QKO765" s="1207"/>
      <c r="QKP765" s="1207"/>
      <c r="QKQ765" s="1207"/>
      <c r="QKR765" s="1207"/>
      <c r="QKS765" s="1207"/>
      <c r="QKT765" s="1207"/>
      <c r="QKU765" s="1207"/>
      <c r="QKV765" s="1207"/>
      <c r="QKW765" s="1207"/>
      <c r="QKX765" s="1207"/>
      <c r="QKY765" s="1207"/>
      <c r="QKZ765" s="1207"/>
      <c r="QLA765" s="1207"/>
      <c r="QLB765" s="1207"/>
      <c r="QLC765" s="1207"/>
      <c r="QLD765" s="1207"/>
      <c r="QLE765" s="1207"/>
      <c r="QLF765" s="1207"/>
      <c r="QLG765" s="1207"/>
      <c r="QLH765" s="1207"/>
      <c r="QLI765" s="1207"/>
      <c r="QLJ765" s="1207"/>
      <c r="QLK765" s="1207"/>
      <c r="QLL765" s="1207"/>
      <c r="QLM765" s="1207"/>
      <c r="QLN765" s="1207"/>
      <c r="QLO765" s="1207"/>
      <c r="QLP765" s="1207"/>
      <c r="QLQ765" s="1207"/>
      <c r="QLR765" s="1207"/>
      <c r="QLS765" s="1207"/>
      <c r="QLT765" s="1207"/>
      <c r="QLU765" s="1207"/>
      <c r="QLV765" s="1207"/>
      <c r="QLW765" s="1207"/>
      <c r="QLX765" s="1207"/>
      <c r="QLY765" s="1207"/>
      <c r="QLZ765" s="1207"/>
      <c r="QMA765" s="1207"/>
      <c r="QMB765" s="1207"/>
      <c r="QMC765" s="1207"/>
      <c r="QMD765" s="1207"/>
      <c r="QME765" s="1207"/>
      <c r="QMF765" s="1207"/>
      <c r="QMG765" s="1207"/>
      <c r="QMH765" s="1207"/>
      <c r="QMI765" s="1207"/>
      <c r="QMJ765" s="1207"/>
      <c r="QMK765" s="1207"/>
      <c r="QML765" s="1207"/>
      <c r="QMM765" s="1207"/>
      <c r="QMN765" s="1207"/>
      <c r="QMO765" s="1207"/>
      <c r="QMP765" s="1207"/>
      <c r="QMQ765" s="1207"/>
      <c r="QMR765" s="1207"/>
      <c r="QMS765" s="1207"/>
      <c r="QMT765" s="1207"/>
      <c r="QMU765" s="1207"/>
      <c r="QMV765" s="1207"/>
      <c r="QMW765" s="1207"/>
      <c r="QMX765" s="1207"/>
      <c r="QMY765" s="1207"/>
      <c r="QMZ765" s="1207"/>
      <c r="QNA765" s="1207"/>
      <c r="QNB765" s="1207"/>
      <c r="QNC765" s="1207"/>
      <c r="QND765" s="1207"/>
      <c r="QNE765" s="1207"/>
      <c r="QNF765" s="1207"/>
      <c r="QNG765" s="1207"/>
      <c r="QNH765" s="1207"/>
      <c r="QNI765" s="1207"/>
      <c r="QNJ765" s="1207"/>
      <c r="QNK765" s="1207"/>
      <c r="QNL765" s="1207"/>
      <c r="QNM765" s="1207"/>
      <c r="QNN765" s="1207"/>
      <c r="QNO765" s="1207"/>
      <c r="QNP765" s="1207"/>
      <c r="QNQ765" s="1207"/>
      <c r="QNR765" s="1207"/>
      <c r="QNS765" s="1207"/>
      <c r="QNT765" s="1207"/>
      <c r="QNU765" s="1207"/>
      <c r="QNV765" s="1207"/>
      <c r="QNW765" s="1207"/>
      <c r="QNX765" s="1207"/>
      <c r="QNY765" s="1207"/>
      <c r="QNZ765" s="1207"/>
      <c r="QOA765" s="1207"/>
      <c r="QOB765" s="1207"/>
      <c r="QOC765" s="1207"/>
      <c r="QOD765" s="1207"/>
      <c r="QOE765" s="1207"/>
      <c r="QOF765" s="1207"/>
      <c r="QOG765" s="1207"/>
      <c r="QOH765" s="1207"/>
      <c r="QOI765" s="1207"/>
      <c r="QOJ765" s="1207"/>
      <c r="QOK765" s="1207"/>
      <c r="QOL765" s="1207"/>
      <c r="QOM765" s="1207"/>
      <c r="QON765" s="1207"/>
      <c r="QOO765" s="1207"/>
      <c r="QOP765" s="1207"/>
      <c r="QOQ765" s="1207"/>
      <c r="QOR765" s="1207"/>
      <c r="QOS765" s="1207"/>
      <c r="QOT765" s="1207"/>
      <c r="QOU765" s="1207"/>
      <c r="QOV765" s="1207"/>
      <c r="QOW765" s="1207"/>
      <c r="QOX765" s="1207"/>
      <c r="QOY765" s="1207"/>
      <c r="QOZ765" s="1207"/>
      <c r="QPA765" s="1207"/>
      <c r="QPB765" s="1207"/>
      <c r="QPC765" s="1207"/>
      <c r="QPD765" s="1207"/>
      <c r="QPE765" s="1207"/>
      <c r="QPF765" s="1207"/>
      <c r="QPG765" s="1207"/>
      <c r="QPH765" s="1207"/>
      <c r="QPI765" s="1207"/>
      <c r="QPJ765" s="1207"/>
      <c r="QPK765" s="1207"/>
      <c r="QPL765" s="1207"/>
      <c r="QPM765" s="1207"/>
      <c r="QPN765" s="1207"/>
      <c r="QPO765" s="1207"/>
      <c r="QPP765" s="1207"/>
      <c r="QPQ765" s="1207"/>
      <c r="QPR765" s="1207"/>
      <c r="QPS765" s="1207"/>
      <c r="QPT765" s="1207"/>
      <c r="QPU765" s="1207"/>
      <c r="QPV765" s="1207"/>
      <c r="QPW765" s="1207"/>
      <c r="QPX765" s="1207"/>
      <c r="QPY765" s="1207"/>
      <c r="QPZ765" s="1207"/>
      <c r="QQA765" s="1207"/>
      <c r="QQB765" s="1207"/>
      <c r="QQC765" s="1207"/>
      <c r="QQD765" s="1207"/>
      <c r="QQE765" s="1207"/>
      <c r="QQF765" s="1207"/>
      <c r="QQG765" s="1207"/>
      <c r="QQH765" s="1207"/>
      <c r="QQI765" s="1207"/>
      <c r="QQJ765" s="1207"/>
      <c r="QQK765" s="1207"/>
      <c r="QQL765" s="1207"/>
      <c r="QQM765" s="1207"/>
      <c r="QQN765" s="1207"/>
      <c r="QQO765" s="1207"/>
      <c r="QQP765" s="1207"/>
      <c r="QQQ765" s="1207"/>
      <c r="QQR765" s="1207"/>
      <c r="QQS765" s="1207"/>
      <c r="QQT765" s="1207"/>
      <c r="QQU765" s="1207"/>
      <c r="QQV765" s="1207"/>
      <c r="QQW765" s="1207"/>
      <c r="QQX765" s="1207"/>
      <c r="QQY765" s="1207"/>
      <c r="QQZ765" s="1207"/>
      <c r="QRA765" s="1207"/>
      <c r="QRB765" s="1207"/>
      <c r="QRC765" s="1207"/>
      <c r="QRD765" s="1207"/>
      <c r="QRE765" s="1207"/>
      <c r="QRF765" s="1207"/>
      <c r="QRG765" s="1207"/>
      <c r="QRH765" s="1207"/>
      <c r="QRI765" s="1207"/>
      <c r="QRJ765" s="1207"/>
      <c r="QRK765" s="1207"/>
      <c r="QRL765" s="1207"/>
      <c r="QRM765" s="1207"/>
      <c r="QRN765" s="1207"/>
      <c r="QRO765" s="1207"/>
      <c r="QRP765" s="1207"/>
      <c r="QRQ765" s="1207"/>
      <c r="QRR765" s="1207"/>
      <c r="QRS765" s="1207"/>
      <c r="QRT765" s="1207"/>
      <c r="QRU765" s="1207"/>
      <c r="QRV765" s="1207"/>
      <c r="QRW765" s="1207"/>
      <c r="QRX765" s="1207"/>
      <c r="QRY765" s="1207"/>
      <c r="QRZ765" s="1207"/>
      <c r="QSA765" s="1207"/>
      <c r="QSB765" s="1207"/>
      <c r="QSC765" s="1207"/>
      <c r="QSD765" s="1207"/>
      <c r="QSE765" s="1207"/>
      <c r="QSF765" s="1207"/>
      <c r="QSG765" s="1207"/>
      <c r="QSH765" s="1207"/>
      <c r="QSI765" s="1207"/>
      <c r="QSJ765" s="1207"/>
      <c r="QSK765" s="1207"/>
      <c r="QSL765" s="1207"/>
      <c r="QSM765" s="1207"/>
      <c r="QSN765" s="1207"/>
      <c r="QSO765" s="1207"/>
      <c r="QSP765" s="1207"/>
      <c r="QSQ765" s="1207"/>
      <c r="QSR765" s="1207"/>
      <c r="QSS765" s="1207"/>
      <c r="QST765" s="1207"/>
      <c r="QSU765" s="1207"/>
      <c r="QSV765" s="1207"/>
      <c r="QSW765" s="1207"/>
      <c r="QSX765" s="1207"/>
      <c r="QSY765" s="1207"/>
      <c r="QSZ765" s="1207"/>
      <c r="QTA765" s="1207"/>
      <c r="QTB765" s="1207"/>
      <c r="QTC765" s="1207"/>
      <c r="QTD765" s="1207"/>
      <c r="QTE765" s="1207"/>
      <c r="QTF765" s="1207"/>
      <c r="QTG765" s="1207"/>
      <c r="QTH765" s="1207"/>
      <c r="QTI765" s="1207"/>
      <c r="QTJ765" s="1207"/>
      <c r="QTK765" s="1207"/>
      <c r="QTL765" s="1207"/>
      <c r="QTM765" s="1207"/>
      <c r="QTN765" s="1207"/>
      <c r="QTO765" s="1207"/>
      <c r="QTP765" s="1207"/>
      <c r="QTQ765" s="1207"/>
      <c r="QTR765" s="1207"/>
      <c r="QTS765" s="1207"/>
      <c r="QTT765" s="1207"/>
      <c r="QTU765" s="1207"/>
      <c r="QTV765" s="1207"/>
      <c r="QTW765" s="1207"/>
      <c r="QTX765" s="1207"/>
      <c r="QTY765" s="1207"/>
      <c r="QTZ765" s="1207"/>
      <c r="QUA765" s="1207"/>
      <c r="QUB765" s="1207"/>
      <c r="QUC765" s="1207"/>
      <c r="QUD765" s="1207"/>
      <c r="QUE765" s="1207"/>
      <c r="QUF765" s="1207"/>
      <c r="QUG765" s="1207"/>
      <c r="QUH765" s="1207"/>
      <c r="QUI765" s="1207"/>
      <c r="QUJ765" s="1207"/>
      <c r="QUK765" s="1207"/>
      <c r="QUL765" s="1207"/>
      <c r="QUM765" s="1207"/>
      <c r="QUN765" s="1207"/>
      <c r="QUO765" s="1207"/>
      <c r="QUP765" s="1207"/>
      <c r="QUQ765" s="1207"/>
      <c r="QUR765" s="1207"/>
      <c r="QUS765" s="1207"/>
      <c r="QUT765" s="1207"/>
      <c r="QUU765" s="1207"/>
      <c r="QUV765" s="1207"/>
      <c r="QUW765" s="1207"/>
      <c r="QUX765" s="1207"/>
      <c r="QUY765" s="1207"/>
      <c r="QUZ765" s="1207"/>
      <c r="QVA765" s="1207"/>
      <c r="QVB765" s="1207"/>
      <c r="QVC765" s="1207"/>
      <c r="QVD765" s="1207"/>
      <c r="QVE765" s="1207"/>
      <c r="QVF765" s="1207"/>
      <c r="QVG765" s="1207"/>
      <c r="QVH765" s="1207"/>
      <c r="QVI765" s="1207"/>
      <c r="QVJ765" s="1207"/>
      <c r="QVK765" s="1207"/>
      <c r="QVL765" s="1207"/>
      <c r="QVM765" s="1207"/>
      <c r="QVN765" s="1207"/>
      <c r="QVO765" s="1207"/>
      <c r="QVP765" s="1207"/>
      <c r="QVQ765" s="1207"/>
      <c r="QVR765" s="1207"/>
      <c r="QVS765" s="1207"/>
      <c r="QVT765" s="1207"/>
      <c r="QVU765" s="1207"/>
      <c r="QVV765" s="1207"/>
      <c r="QVW765" s="1207"/>
      <c r="QVX765" s="1207"/>
      <c r="QVY765" s="1207"/>
      <c r="QVZ765" s="1207"/>
      <c r="QWA765" s="1207"/>
      <c r="QWB765" s="1207"/>
      <c r="QWC765" s="1207"/>
      <c r="QWD765" s="1207"/>
      <c r="QWE765" s="1207"/>
      <c r="QWF765" s="1207"/>
      <c r="QWG765" s="1207"/>
      <c r="QWH765" s="1207"/>
      <c r="QWI765" s="1207"/>
      <c r="QWJ765" s="1207"/>
      <c r="QWK765" s="1207"/>
      <c r="QWL765" s="1207"/>
      <c r="QWM765" s="1207"/>
      <c r="QWN765" s="1207"/>
      <c r="QWO765" s="1207"/>
      <c r="QWP765" s="1207"/>
      <c r="QWQ765" s="1207"/>
      <c r="QWR765" s="1207"/>
      <c r="QWS765" s="1207"/>
      <c r="QWT765" s="1207"/>
      <c r="QWU765" s="1207"/>
      <c r="QWV765" s="1207"/>
      <c r="QWW765" s="1207"/>
      <c r="QWX765" s="1207"/>
      <c r="QWY765" s="1207"/>
      <c r="QWZ765" s="1207"/>
      <c r="QXA765" s="1207"/>
      <c r="QXB765" s="1207"/>
      <c r="QXC765" s="1207"/>
      <c r="QXD765" s="1207"/>
      <c r="QXE765" s="1207"/>
      <c r="QXF765" s="1207"/>
      <c r="QXG765" s="1207"/>
      <c r="QXH765" s="1207"/>
      <c r="QXI765" s="1207"/>
      <c r="QXJ765" s="1207"/>
      <c r="QXK765" s="1207"/>
      <c r="QXL765" s="1207"/>
      <c r="QXM765" s="1207"/>
      <c r="QXN765" s="1207"/>
      <c r="QXO765" s="1207"/>
      <c r="QXP765" s="1207"/>
      <c r="QXQ765" s="1207"/>
      <c r="QXR765" s="1207"/>
      <c r="QXS765" s="1207"/>
      <c r="QXT765" s="1207"/>
      <c r="QXU765" s="1207"/>
      <c r="QXV765" s="1207"/>
      <c r="QXW765" s="1207"/>
      <c r="QXX765" s="1207"/>
      <c r="QXY765" s="1207"/>
      <c r="QXZ765" s="1207"/>
      <c r="QYA765" s="1207"/>
      <c r="QYB765" s="1207"/>
      <c r="QYC765" s="1207"/>
      <c r="QYD765" s="1207"/>
      <c r="QYE765" s="1207"/>
      <c r="QYF765" s="1207"/>
      <c r="QYG765" s="1207"/>
      <c r="QYH765" s="1207"/>
      <c r="QYI765" s="1207"/>
      <c r="QYJ765" s="1207"/>
      <c r="QYK765" s="1207"/>
      <c r="QYL765" s="1207"/>
      <c r="QYM765" s="1207"/>
      <c r="QYN765" s="1207"/>
      <c r="QYO765" s="1207"/>
      <c r="QYP765" s="1207"/>
      <c r="QYQ765" s="1207"/>
      <c r="QYR765" s="1207"/>
      <c r="QYS765" s="1207"/>
      <c r="QYT765" s="1207"/>
      <c r="QYU765" s="1207"/>
      <c r="QYV765" s="1207"/>
      <c r="QYW765" s="1207"/>
      <c r="QYX765" s="1207"/>
      <c r="QYY765" s="1207"/>
      <c r="QYZ765" s="1207"/>
      <c r="QZA765" s="1207"/>
      <c r="QZB765" s="1207"/>
      <c r="QZC765" s="1207"/>
      <c r="QZD765" s="1207"/>
      <c r="QZE765" s="1207"/>
      <c r="QZF765" s="1207"/>
      <c r="QZG765" s="1207"/>
      <c r="QZH765" s="1207"/>
      <c r="QZI765" s="1207"/>
      <c r="QZJ765" s="1207"/>
      <c r="QZK765" s="1207"/>
      <c r="QZL765" s="1207"/>
      <c r="QZM765" s="1207"/>
      <c r="QZN765" s="1207"/>
      <c r="QZO765" s="1207"/>
      <c r="QZP765" s="1207"/>
      <c r="QZQ765" s="1207"/>
      <c r="QZR765" s="1207"/>
      <c r="QZS765" s="1207"/>
      <c r="QZT765" s="1207"/>
      <c r="QZU765" s="1207"/>
      <c r="QZV765" s="1207"/>
      <c r="QZW765" s="1207"/>
      <c r="QZX765" s="1207"/>
      <c r="QZY765" s="1207"/>
      <c r="QZZ765" s="1207"/>
      <c r="RAA765" s="1207"/>
      <c r="RAB765" s="1207"/>
      <c r="RAC765" s="1207"/>
      <c r="RAD765" s="1207"/>
      <c r="RAE765" s="1207"/>
      <c r="RAF765" s="1207"/>
      <c r="RAG765" s="1207"/>
      <c r="RAH765" s="1207"/>
      <c r="RAI765" s="1207"/>
      <c r="RAJ765" s="1207"/>
      <c r="RAK765" s="1207"/>
      <c r="RAL765" s="1207"/>
      <c r="RAM765" s="1207"/>
      <c r="RAN765" s="1207"/>
      <c r="RAO765" s="1207"/>
      <c r="RAP765" s="1207"/>
      <c r="RAQ765" s="1207"/>
      <c r="RAR765" s="1207"/>
      <c r="RAS765" s="1207"/>
      <c r="RAT765" s="1207"/>
      <c r="RAU765" s="1207"/>
      <c r="RAV765" s="1207"/>
      <c r="RAW765" s="1207"/>
      <c r="RAX765" s="1207"/>
      <c r="RAY765" s="1207"/>
      <c r="RAZ765" s="1207"/>
      <c r="RBA765" s="1207"/>
      <c r="RBB765" s="1207"/>
      <c r="RBC765" s="1207"/>
      <c r="RBD765" s="1207"/>
      <c r="RBE765" s="1207"/>
      <c r="RBF765" s="1207"/>
      <c r="RBG765" s="1207"/>
      <c r="RBH765" s="1207"/>
      <c r="RBI765" s="1207"/>
      <c r="RBJ765" s="1207"/>
      <c r="RBK765" s="1207"/>
      <c r="RBL765" s="1207"/>
      <c r="RBM765" s="1207"/>
      <c r="RBN765" s="1207"/>
      <c r="RBO765" s="1207"/>
      <c r="RBP765" s="1207"/>
      <c r="RBQ765" s="1207"/>
      <c r="RBR765" s="1207"/>
      <c r="RBS765" s="1207"/>
      <c r="RBT765" s="1207"/>
      <c r="RBU765" s="1207"/>
      <c r="RBV765" s="1207"/>
      <c r="RBW765" s="1207"/>
      <c r="RBX765" s="1207"/>
      <c r="RBY765" s="1207"/>
      <c r="RBZ765" s="1207"/>
      <c r="RCA765" s="1207"/>
      <c r="RCB765" s="1207"/>
      <c r="RCC765" s="1207"/>
      <c r="RCD765" s="1207"/>
      <c r="RCE765" s="1207"/>
      <c r="RCF765" s="1207"/>
      <c r="RCG765" s="1207"/>
      <c r="RCH765" s="1207"/>
      <c r="RCI765" s="1207"/>
      <c r="RCJ765" s="1207"/>
      <c r="RCK765" s="1207"/>
      <c r="RCL765" s="1207"/>
      <c r="RCM765" s="1207"/>
      <c r="RCN765" s="1207"/>
      <c r="RCO765" s="1207"/>
      <c r="RCP765" s="1207"/>
      <c r="RCQ765" s="1207"/>
      <c r="RCR765" s="1207"/>
      <c r="RCS765" s="1207"/>
      <c r="RCT765" s="1207"/>
      <c r="RCU765" s="1207"/>
      <c r="RCV765" s="1207"/>
      <c r="RCW765" s="1207"/>
      <c r="RCX765" s="1207"/>
      <c r="RCY765" s="1207"/>
      <c r="RCZ765" s="1207"/>
      <c r="RDA765" s="1207"/>
      <c r="RDB765" s="1207"/>
      <c r="RDC765" s="1207"/>
      <c r="RDD765" s="1207"/>
      <c r="RDE765" s="1207"/>
      <c r="RDF765" s="1207"/>
      <c r="RDG765" s="1207"/>
      <c r="RDH765" s="1207"/>
      <c r="RDI765" s="1207"/>
      <c r="RDJ765" s="1207"/>
      <c r="RDK765" s="1207"/>
      <c r="RDL765" s="1207"/>
      <c r="RDM765" s="1207"/>
      <c r="RDN765" s="1207"/>
      <c r="RDO765" s="1207"/>
      <c r="RDP765" s="1207"/>
      <c r="RDQ765" s="1207"/>
      <c r="RDR765" s="1207"/>
      <c r="RDS765" s="1207"/>
      <c r="RDT765" s="1207"/>
      <c r="RDU765" s="1207"/>
      <c r="RDV765" s="1207"/>
      <c r="RDW765" s="1207"/>
      <c r="RDX765" s="1207"/>
      <c r="RDY765" s="1207"/>
      <c r="RDZ765" s="1207"/>
      <c r="REA765" s="1207"/>
      <c r="REB765" s="1207"/>
      <c r="REC765" s="1207"/>
      <c r="RED765" s="1207"/>
      <c r="REE765" s="1207"/>
      <c r="REF765" s="1207"/>
      <c r="REG765" s="1207"/>
      <c r="REH765" s="1207"/>
      <c r="REI765" s="1207"/>
      <c r="REJ765" s="1207"/>
      <c r="REK765" s="1207"/>
      <c r="REL765" s="1207"/>
      <c r="REM765" s="1207"/>
      <c r="REN765" s="1207"/>
      <c r="REO765" s="1207"/>
      <c r="REP765" s="1207"/>
      <c r="REQ765" s="1207"/>
      <c r="RER765" s="1207"/>
      <c r="RES765" s="1207"/>
      <c r="RET765" s="1207"/>
      <c r="REU765" s="1207"/>
      <c r="REV765" s="1207"/>
      <c r="REW765" s="1207"/>
      <c r="REX765" s="1207"/>
      <c r="REY765" s="1207"/>
      <c r="REZ765" s="1207"/>
      <c r="RFA765" s="1207"/>
      <c r="RFB765" s="1207"/>
      <c r="RFC765" s="1207"/>
      <c r="RFD765" s="1207"/>
      <c r="RFE765" s="1207"/>
      <c r="RFF765" s="1207"/>
      <c r="RFG765" s="1207"/>
      <c r="RFH765" s="1207"/>
      <c r="RFI765" s="1207"/>
      <c r="RFJ765" s="1207"/>
      <c r="RFK765" s="1207"/>
      <c r="RFL765" s="1207"/>
      <c r="RFM765" s="1207"/>
      <c r="RFN765" s="1207"/>
      <c r="RFO765" s="1207"/>
      <c r="RFP765" s="1207"/>
      <c r="RFQ765" s="1207"/>
      <c r="RFR765" s="1207"/>
      <c r="RFS765" s="1207"/>
      <c r="RFT765" s="1207"/>
      <c r="RFU765" s="1207"/>
      <c r="RFV765" s="1207"/>
      <c r="RFW765" s="1207"/>
      <c r="RFX765" s="1207"/>
      <c r="RFY765" s="1207"/>
      <c r="RFZ765" s="1207"/>
      <c r="RGA765" s="1207"/>
      <c r="RGB765" s="1207"/>
      <c r="RGC765" s="1207"/>
      <c r="RGD765" s="1207"/>
      <c r="RGE765" s="1207"/>
      <c r="RGF765" s="1207"/>
      <c r="RGG765" s="1207"/>
      <c r="RGH765" s="1207"/>
      <c r="RGI765" s="1207"/>
      <c r="RGJ765" s="1207"/>
      <c r="RGK765" s="1207"/>
      <c r="RGL765" s="1207"/>
      <c r="RGM765" s="1207"/>
      <c r="RGN765" s="1207"/>
      <c r="RGO765" s="1207"/>
      <c r="RGP765" s="1207"/>
      <c r="RGQ765" s="1207"/>
      <c r="RGR765" s="1207"/>
      <c r="RGS765" s="1207"/>
      <c r="RGT765" s="1207"/>
      <c r="RGU765" s="1207"/>
      <c r="RGV765" s="1207"/>
      <c r="RGW765" s="1207"/>
      <c r="RGX765" s="1207"/>
      <c r="RGY765" s="1207"/>
      <c r="RGZ765" s="1207"/>
      <c r="RHA765" s="1207"/>
      <c r="RHB765" s="1207"/>
      <c r="RHC765" s="1207"/>
      <c r="RHD765" s="1207"/>
      <c r="RHE765" s="1207"/>
      <c r="RHF765" s="1207"/>
      <c r="RHG765" s="1207"/>
      <c r="RHH765" s="1207"/>
      <c r="RHI765" s="1207"/>
      <c r="RHJ765" s="1207"/>
      <c r="RHK765" s="1207"/>
      <c r="RHL765" s="1207"/>
      <c r="RHM765" s="1207"/>
      <c r="RHN765" s="1207"/>
      <c r="RHO765" s="1207"/>
      <c r="RHP765" s="1207"/>
      <c r="RHQ765" s="1207"/>
      <c r="RHR765" s="1207"/>
      <c r="RHS765" s="1207"/>
      <c r="RHT765" s="1207"/>
      <c r="RHU765" s="1207"/>
      <c r="RHV765" s="1207"/>
      <c r="RHW765" s="1207"/>
      <c r="RHX765" s="1207"/>
      <c r="RHY765" s="1207"/>
      <c r="RHZ765" s="1207"/>
      <c r="RIA765" s="1207"/>
      <c r="RIB765" s="1207"/>
      <c r="RIC765" s="1207"/>
      <c r="RID765" s="1207"/>
      <c r="RIE765" s="1207"/>
      <c r="RIF765" s="1207"/>
      <c r="RIG765" s="1207"/>
      <c r="RIH765" s="1207"/>
      <c r="RII765" s="1207"/>
      <c r="RIJ765" s="1207"/>
      <c r="RIK765" s="1207"/>
      <c r="RIL765" s="1207"/>
      <c r="RIM765" s="1207"/>
      <c r="RIN765" s="1207"/>
      <c r="RIO765" s="1207"/>
      <c r="RIP765" s="1207"/>
      <c r="RIQ765" s="1207"/>
      <c r="RIR765" s="1207"/>
      <c r="RIS765" s="1207"/>
      <c r="RIT765" s="1207"/>
      <c r="RIU765" s="1207"/>
      <c r="RIV765" s="1207"/>
      <c r="RIW765" s="1207"/>
      <c r="RIX765" s="1207"/>
      <c r="RIY765" s="1207"/>
      <c r="RIZ765" s="1207"/>
      <c r="RJA765" s="1207"/>
      <c r="RJB765" s="1207"/>
      <c r="RJC765" s="1207"/>
      <c r="RJD765" s="1207"/>
      <c r="RJE765" s="1207"/>
      <c r="RJF765" s="1207"/>
      <c r="RJG765" s="1207"/>
      <c r="RJH765" s="1207"/>
      <c r="RJI765" s="1207"/>
      <c r="RJJ765" s="1207"/>
      <c r="RJK765" s="1207"/>
      <c r="RJL765" s="1207"/>
      <c r="RJM765" s="1207"/>
      <c r="RJN765" s="1207"/>
      <c r="RJO765" s="1207"/>
      <c r="RJP765" s="1207"/>
      <c r="RJQ765" s="1207"/>
      <c r="RJR765" s="1207"/>
      <c r="RJS765" s="1207"/>
      <c r="RJT765" s="1207"/>
      <c r="RJU765" s="1207"/>
      <c r="RJV765" s="1207"/>
      <c r="RJW765" s="1207"/>
      <c r="RJX765" s="1207"/>
      <c r="RJY765" s="1207"/>
      <c r="RJZ765" s="1207"/>
      <c r="RKA765" s="1207"/>
      <c r="RKB765" s="1207"/>
      <c r="RKC765" s="1207"/>
      <c r="RKD765" s="1207"/>
      <c r="RKE765" s="1207"/>
      <c r="RKF765" s="1207"/>
      <c r="RKG765" s="1207"/>
      <c r="RKH765" s="1207"/>
      <c r="RKI765" s="1207"/>
      <c r="RKJ765" s="1207"/>
      <c r="RKK765" s="1207"/>
      <c r="RKL765" s="1207"/>
      <c r="RKM765" s="1207"/>
      <c r="RKN765" s="1207"/>
      <c r="RKO765" s="1207"/>
      <c r="RKP765" s="1207"/>
      <c r="RKQ765" s="1207"/>
      <c r="RKR765" s="1207"/>
      <c r="RKS765" s="1207"/>
      <c r="RKT765" s="1207"/>
      <c r="RKU765" s="1207"/>
      <c r="RKV765" s="1207"/>
      <c r="RKW765" s="1207"/>
      <c r="RKX765" s="1207"/>
      <c r="RKY765" s="1207"/>
      <c r="RKZ765" s="1207"/>
      <c r="RLA765" s="1207"/>
      <c r="RLB765" s="1207"/>
      <c r="RLC765" s="1207"/>
      <c r="RLD765" s="1207"/>
      <c r="RLE765" s="1207"/>
      <c r="RLF765" s="1207"/>
      <c r="RLG765" s="1207"/>
      <c r="RLH765" s="1207"/>
      <c r="RLI765" s="1207"/>
      <c r="RLJ765" s="1207"/>
      <c r="RLK765" s="1207"/>
      <c r="RLL765" s="1207"/>
      <c r="RLM765" s="1207"/>
      <c r="RLN765" s="1207"/>
      <c r="RLO765" s="1207"/>
      <c r="RLP765" s="1207"/>
      <c r="RLQ765" s="1207"/>
      <c r="RLR765" s="1207"/>
      <c r="RLS765" s="1207"/>
      <c r="RLT765" s="1207"/>
      <c r="RLU765" s="1207"/>
      <c r="RLV765" s="1207"/>
      <c r="RLW765" s="1207"/>
      <c r="RLX765" s="1207"/>
      <c r="RLY765" s="1207"/>
      <c r="RLZ765" s="1207"/>
      <c r="RMA765" s="1207"/>
      <c r="RMB765" s="1207"/>
      <c r="RMC765" s="1207"/>
      <c r="RMD765" s="1207"/>
      <c r="RME765" s="1207"/>
      <c r="RMF765" s="1207"/>
      <c r="RMG765" s="1207"/>
      <c r="RMH765" s="1207"/>
      <c r="RMI765" s="1207"/>
      <c r="RMJ765" s="1207"/>
      <c r="RMK765" s="1207"/>
      <c r="RML765" s="1207"/>
      <c r="RMM765" s="1207"/>
      <c r="RMN765" s="1207"/>
      <c r="RMO765" s="1207"/>
      <c r="RMP765" s="1207"/>
      <c r="RMQ765" s="1207"/>
      <c r="RMR765" s="1207"/>
      <c r="RMS765" s="1207"/>
      <c r="RMT765" s="1207"/>
      <c r="RMU765" s="1207"/>
      <c r="RMV765" s="1207"/>
      <c r="RMW765" s="1207"/>
      <c r="RMX765" s="1207"/>
      <c r="RMY765" s="1207"/>
      <c r="RMZ765" s="1207"/>
      <c r="RNA765" s="1207"/>
      <c r="RNB765" s="1207"/>
      <c r="RNC765" s="1207"/>
      <c r="RND765" s="1207"/>
      <c r="RNE765" s="1207"/>
      <c r="RNF765" s="1207"/>
      <c r="RNG765" s="1207"/>
      <c r="RNH765" s="1207"/>
      <c r="RNI765" s="1207"/>
      <c r="RNJ765" s="1207"/>
      <c r="RNK765" s="1207"/>
      <c r="RNL765" s="1207"/>
      <c r="RNM765" s="1207"/>
      <c r="RNN765" s="1207"/>
      <c r="RNO765" s="1207"/>
      <c r="RNP765" s="1207"/>
      <c r="RNQ765" s="1207"/>
      <c r="RNR765" s="1207"/>
      <c r="RNS765" s="1207"/>
      <c r="RNT765" s="1207"/>
      <c r="RNU765" s="1207"/>
      <c r="RNV765" s="1207"/>
      <c r="RNW765" s="1207"/>
      <c r="RNX765" s="1207"/>
      <c r="RNY765" s="1207"/>
      <c r="RNZ765" s="1207"/>
      <c r="ROA765" s="1207"/>
      <c r="ROB765" s="1207"/>
      <c r="ROC765" s="1207"/>
      <c r="ROD765" s="1207"/>
      <c r="ROE765" s="1207"/>
      <c r="ROF765" s="1207"/>
      <c r="ROG765" s="1207"/>
      <c r="ROH765" s="1207"/>
      <c r="ROI765" s="1207"/>
      <c r="ROJ765" s="1207"/>
      <c r="ROK765" s="1207"/>
      <c r="ROL765" s="1207"/>
      <c r="ROM765" s="1207"/>
      <c r="RON765" s="1207"/>
      <c r="ROO765" s="1207"/>
      <c r="ROP765" s="1207"/>
      <c r="ROQ765" s="1207"/>
      <c r="ROR765" s="1207"/>
      <c r="ROS765" s="1207"/>
      <c r="ROT765" s="1207"/>
      <c r="ROU765" s="1207"/>
      <c r="ROV765" s="1207"/>
      <c r="ROW765" s="1207"/>
      <c r="ROX765" s="1207"/>
      <c r="ROY765" s="1207"/>
      <c r="ROZ765" s="1207"/>
      <c r="RPA765" s="1207"/>
      <c r="RPB765" s="1207"/>
      <c r="RPC765" s="1207"/>
      <c r="RPD765" s="1207"/>
      <c r="RPE765" s="1207"/>
      <c r="RPF765" s="1207"/>
      <c r="RPG765" s="1207"/>
      <c r="RPH765" s="1207"/>
      <c r="RPI765" s="1207"/>
      <c r="RPJ765" s="1207"/>
      <c r="RPK765" s="1207"/>
      <c r="RPL765" s="1207"/>
      <c r="RPM765" s="1207"/>
      <c r="RPN765" s="1207"/>
      <c r="RPO765" s="1207"/>
      <c r="RPP765" s="1207"/>
      <c r="RPQ765" s="1207"/>
      <c r="RPR765" s="1207"/>
      <c r="RPS765" s="1207"/>
      <c r="RPT765" s="1207"/>
      <c r="RPU765" s="1207"/>
      <c r="RPV765" s="1207"/>
      <c r="RPW765" s="1207"/>
      <c r="RPX765" s="1207"/>
      <c r="RPY765" s="1207"/>
      <c r="RPZ765" s="1207"/>
      <c r="RQA765" s="1207"/>
      <c r="RQB765" s="1207"/>
      <c r="RQC765" s="1207"/>
      <c r="RQD765" s="1207"/>
      <c r="RQE765" s="1207"/>
      <c r="RQF765" s="1207"/>
      <c r="RQG765" s="1207"/>
      <c r="RQH765" s="1207"/>
      <c r="RQI765" s="1207"/>
      <c r="RQJ765" s="1207"/>
      <c r="RQK765" s="1207"/>
      <c r="RQL765" s="1207"/>
      <c r="RQM765" s="1207"/>
      <c r="RQN765" s="1207"/>
      <c r="RQO765" s="1207"/>
      <c r="RQP765" s="1207"/>
      <c r="RQQ765" s="1207"/>
      <c r="RQR765" s="1207"/>
      <c r="RQS765" s="1207"/>
      <c r="RQT765" s="1207"/>
      <c r="RQU765" s="1207"/>
      <c r="RQV765" s="1207"/>
      <c r="RQW765" s="1207"/>
      <c r="RQX765" s="1207"/>
      <c r="RQY765" s="1207"/>
      <c r="RQZ765" s="1207"/>
      <c r="RRA765" s="1207"/>
      <c r="RRB765" s="1207"/>
      <c r="RRC765" s="1207"/>
      <c r="RRD765" s="1207"/>
      <c r="RRE765" s="1207"/>
      <c r="RRF765" s="1207"/>
      <c r="RRG765" s="1207"/>
      <c r="RRH765" s="1207"/>
      <c r="RRI765" s="1207"/>
      <c r="RRJ765" s="1207"/>
      <c r="RRK765" s="1207"/>
      <c r="RRL765" s="1207"/>
      <c r="RRM765" s="1207"/>
      <c r="RRN765" s="1207"/>
      <c r="RRO765" s="1207"/>
      <c r="RRP765" s="1207"/>
      <c r="RRQ765" s="1207"/>
      <c r="RRR765" s="1207"/>
      <c r="RRS765" s="1207"/>
      <c r="RRT765" s="1207"/>
      <c r="RRU765" s="1207"/>
      <c r="RRV765" s="1207"/>
      <c r="RRW765" s="1207"/>
      <c r="RRX765" s="1207"/>
      <c r="RRY765" s="1207"/>
      <c r="RRZ765" s="1207"/>
      <c r="RSA765" s="1207"/>
      <c r="RSB765" s="1207"/>
      <c r="RSC765" s="1207"/>
      <c r="RSD765" s="1207"/>
      <c r="RSE765" s="1207"/>
      <c r="RSF765" s="1207"/>
      <c r="RSG765" s="1207"/>
      <c r="RSH765" s="1207"/>
      <c r="RSI765" s="1207"/>
      <c r="RSJ765" s="1207"/>
      <c r="RSK765" s="1207"/>
      <c r="RSL765" s="1207"/>
      <c r="RSM765" s="1207"/>
      <c r="RSN765" s="1207"/>
      <c r="RSO765" s="1207"/>
      <c r="RSP765" s="1207"/>
      <c r="RSQ765" s="1207"/>
      <c r="RSR765" s="1207"/>
      <c r="RSS765" s="1207"/>
      <c r="RST765" s="1207"/>
      <c r="RSU765" s="1207"/>
      <c r="RSV765" s="1207"/>
      <c r="RSW765" s="1207"/>
      <c r="RSX765" s="1207"/>
      <c r="RSY765" s="1207"/>
      <c r="RSZ765" s="1207"/>
      <c r="RTA765" s="1207"/>
      <c r="RTB765" s="1207"/>
      <c r="RTC765" s="1207"/>
      <c r="RTD765" s="1207"/>
      <c r="RTE765" s="1207"/>
      <c r="RTF765" s="1207"/>
      <c r="RTG765" s="1207"/>
      <c r="RTH765" s="1207"/>
      <c r="RTI765" s="1207"/>
      <c r="RTJ765" s="1207"/>
      <c r="RTK765" s="1207"/>
      <c r="RTL765" s="1207"/>
      <c r="RTM765" s="1207"/>
      <c r="RTN765" s="1207"/>
      <c r="RTO765" s="1207"/>
      <c r="RTP765" s="1207"/>
      <c r="RTQ765" s="1207"/>
      <c r="RTR765" s="1207"/>
      <c r="RTS765" s="1207"/>
      <c r="RTT765" s="1207"/>
      <c r="RTU765" s="1207"/>
      <c r="RTV765" s="1207"/>
      <c r="RTW765" s="1207"/>
      <c r="RTX765" s="1207"/>
      <c r="RTY765" s="1207"/>
      <c r="RTZ765" s="1207"/>
      <c r="RUA765" s="1207"/>
      <c r="RUB765" s="1207"/>
      <c r="RUC765" s="1207"/>
      <c r="RUD765" s="1207"/>
      <c r="RUE765" s="1207"/>
      <c r="RUF765" s="1207"/>
      <c r="RUG765" s="1207"/>
      <c r="RUH765" s="1207"/>
      <c r="RUI765" s="1207"/>
      <c r="RUJ765" s="1207"/>
      <c r="RUK765" s="1207"/>
      <c r="RUL765" s="1207"/>
      <c r="RUM765" s="1207"/>
      <c r="RUN765" s="1207"/>
      <c r="RUO765" s="1207"/>
      <c r="RUP765" s="1207"/>
      <c r="RUQ765" s="1207"/>
      <c r="RUR765" s="1207"/>
      <c r="RUS765" s="1207"/>
      <c r="RUT765" s="1207"/>
      <c r="RUU765" s="1207"/>
      <c r="RUV765" s="1207"/>
      <c r="RUW765" s="1207"/>
      <c r="RUX765" s="1207"/>
      <c r="RUY765" s="1207"/>
      <c r="RUZ765" s="1207"/>
      <c r="RVA765" s="1207"/>
      <c r="RVB765" s="1207"/>
      <c r="RVC765" s="1207"/>
      <c r="RVD765" s="1207"/>
      <c r="RVE765" s="1207"/>
      <c r="RVF765" s="1207"/>
      <c r="RVG765" s="1207"/>
      <c r="RVH765" s="1207"/>
      <c r="RVI765" s="1207"/>
      <c r="RVJ765" s="1207"/>
      <c r="RVK765" s="1207"/>
      <c r="RVL765" s="1207"/>
      <c r="RVM765" s="1207"/>
      <c r="RVN765" s="1207"/>
      <c r="RVO765" s="1207"/>
      <c r="RVP765" s="1207"/>
      <c r="RVQ765" s="1207"/>
      <c r="RVR765" s="1207"/>
      <c r="RVS765" s="1207"/>
      <c r="RVT765" s="1207"/>
      <c r="RVU765" s="1207"/>
      <c r="RVV765" s="1207"/>
      <c r="RVW765" s="1207"/>
      <c r="RVX765" s="1207"/>
      <c r="RVY765" s="1207"/>
      <c r="RVZ765" s="1207"/>
      <c r="RWA765" s="1207"/>
      <c r="RWB765" s="1207"/>
      <c r="RWC765" s="1207"/>
      <c r="RWD765" s="1207"/>
      <c r="RWE765" s="1207"/>
      <c r="RWF765" s="1207"/>
      <c r="RWG765" s="1207"/>
      <c r="RWH765" s="1207"/>
      <c r="RWI765" s="1207"/>
      <c r="RWJ765" s="1207"/>
      <c r="RWK765" s="1207"/>
      <c r="RWL765" s="1207"/>
      <c r="RWM765" s="1207"/>
      <c r="RWN765" s="1207"/>
      <c r="RWO765" s="1207"/>
      <c r="RWP765" s="1207"/>
      <c r="RWQ765" s="1207"/>
      <c r="RWR765" s="1207"/>
      <c r="RWS765" s="1207"/>
      <c r="RWT765" s="1207"/>
      <c r="RWU765" s="1207"/>
      <c r="RWV765" s="1207"/>
      <c r="RWW765" s="1207"/>
      <c r="RWX765" s="1207"/>
      <c r="RWY765" s="1207"/>
      <c r="RWZ765" s="1207"/>
      <c r="RXA765" s="1207"/>
      <c r="RXB765" s="1207"/>
      <c r="RXC765" s="1207"/>
      <c r="RXD765" s="1207"/>
      <c r="RXE765" s="1207"/>
      <c r="RXF765" s="1207"/>
      <c r="RXG765" s="1207"/>
      <c r="RXH765" s="1207"/>
      <c r="RXI765" s="1207"/>
      <c r="RXJ765" s="1207"/>
      <c r="RXK765" s="1207"/>
      <c r="RXL765" s="1207"/>
      <c r="RXM765" s="1207"/>
      <c r="RXN765" s="1207"/>
      <c r="RXO765" s="1207"/>
      <c r="RXP765" s="1207"/>
      <c r="RXQ765" s="1207"/>
      <c r="RXR765" s="1207"/>
      <c r="RXS765" s="1207"/>
      <c r="RXT765" s="1207"/>
      <c r="RXU765" s="1207"/>
      <c r="RXV765" s="1207"/>
      <c r="RXW765" s="1207"/>
      <c r="RXX765" s="1207"/>
      <c r="RXY765" s="1207"/>
      <c r="RXZ765" s="1207"/>
      <c r="RYA765" s="1207"/>
      <c r="RYB765" s="1207"/>
      <c r="RYC765" s="1207"/>
      <c r="RYD765" s="1207"/>
      <c r="RYE765" s="1207"/>
      <c r="RYF765" s="1207"/>
      <c r="RYG765" s="1207"/>
      <c r="RYH765" s="1207"/>
      <c r="RYI765" s="1207"/>
      <c r="RYJ765" s="1207"/>
      <c r="RYK765" s="1207"/>
      <c r="RYL765" s="1207"/>
      <c r="RYM765" s="1207"/>
      <c r="RYN765" s="1207"/>
      <c r="RYO765" s="1207"/>
      <c r="RYP765" s="1207"/>
      <c r="RYQ765" s="1207"/>
      <c r="RYR765" s="1207"/>
      <c r="RYS765" s="1207"/>
      <c r="RYT765" s="1207"/>
      <c r="RYU765" s="1207"/>
      <c r="RYV765" s="1207"/>
      <c r="RYW765" s="1207"/>
      <c r="RYX765" s="1207"/>
      <c r="RYY765" s="1207"/>
      <c r="RYZ765" s="1207"/>
      <c r="RZA765" s="1207"/>
      <c r="RZB765" s="1207"/>
      <c r="RZC765" s="1207"/>
      <c r="RZD765" s="1207"/>
      <c r="RZE765" s="1207"/>
      <c r="RZF765" s="1207"/>
      <c r="RZG765" s="1207"/>
      <c r="RZH765" s="1207"/>
      <c r="RZI765" s="1207"/>
      <c r="RZJ765" s="1207"/>
      <c r="RZK765" s="1207"/>
      <c r="RZL765" s="1207"/>
      <c r="RZM765" s="1207"/>
      <c r="RZN765" s="1207"/>
      <c r="RZO765" s="1207"/>
      <c r="RZP765" s="1207"/>
      <c r="RZQ765" s="1207"/>
      <c r="RZR765" s="1207"/>
      <c r="RZS765" s="1207"/>
      <c r="RZT765" s="1207"/>
      <c r="RZU765" s="1207"/>
      <c r="RZV765" s="1207"/>
      <c r="RZW765" s="1207"/>
      <c r="RZX765" s="1207"/>
      <c r="RZY765" s="1207"/>
      <c r="RZZ765" s="1207"/>
      <c r="SAA765" s="1207"/>
      <c r="SAB765" s="1207"/>
      <c r="SAC765" s="1207"/>
      <c r="SAD765" s="1207"/>
      <c r="SAE765" s="1207"/>
      <c r="SAF765" s="1207"/>
      <c r="SAG765" s="1207"/>
      <c r="SAH765" s="1207"/>
      <c r="SAI765" s="1207"/>
      <c r="SAJ765" s="1207"/>
      <c r="SAK765" s="1207"/>
      <c r="SAL765" s="1207"/>
      <c r="SAM765" s="1207"/>
      <c r="SAN765" s="1207"/>
      <c r="SAO765" s="1207"/>
      <c r="SAP765" s="1207"/>
      <c r="SAQ765" s="1207"/>
      <c r="SAR765" s="1207"/>
      <c r="SAS765" s="1207"/>
      <c r="SAT765" s="1207"/>
      <c r="SAU765" s="1207"/>
      <c r="SAV765" s="1207"/>
      <c r="SAW765" s="1207"/>
      <c r="SAX765" s="1207"/>
      <c r="SAY765" s="1207"/>
      <c r="SAZ765" s="1207"/>
      <c r="SBA765" s="1207"/>
      <c r="SBB765" s="1207"/>
      <c r="SBC765" s="1207"/>
      <c r="SBD765" s="1207"/>
      <c r="SBE765" s="1207"/>
      <c r="SBF765" s="1207"/>
      <c r="SBG765" s="1207"/>
      <c r="SBH765" s="1207"/>
      <c r="SBI765" s="1207"/>
      <c r="SBJ765" s="1207"/>
      <c r="SBK765" s="1207"/>
      <c r="SBL765" s="1207"/>
      <c r="SBM765" s="1207"/>
      <c r="SBN765" s="1207"/>
      <c r="SBO765" s="1207"/>
      <c r="SBP765" s="1207"/>
      <c r="SBQ765" s="1207"/>
      <c r="SBR765" s="1207"/>
      <c r="SBS765" s="1207"/>
      <c r="SBT765" s="1207"/>
      <c r="SBU765" s="1207"/>
      <c r="SBV765" s="1207"/>
      <c r="SBW765" s="1207"/>
      <c r="SBX765" s="1207"/>
      <c r="SBY765" s="1207"/>
      <c r="SBZ765" s="1207"/>
      <c r="SCA765" s="1207"/>
      <c r="SCB765" s="1207"/>
      <c r="SCC765" s="1207"/>
      <c r="SCD765" s="1207"/>
      <c r="SCE765" s="1207"/>
      <c r="SCF765" s="1207"/>
      <c r="SCG765" s="1207"/>
      <c r="SCH765" s="1207"/>
      <c r="SCI765" s="1207"/>
      <c r="SCJ765" s="1207"/>
      <c r="SCK765" s="1207"/>
      <c r="SCL765" s="1207"/>
      <c r="SCM765" s="1207"/>
      <c r="SCN765" s="1207"/>
      <c r="SCO765" s="1207"/>
      <c r="SCP765" s="1207"/>
      <c r="SCQ765" s="1207"/>
      <c r="SCR765" s="1207"/>
      <c r="SCS765" s="1207"/>
      <c r="SCT765" s="1207"/>
      <c r="SCU765" s="1207"/>
      <c r="SCV765" s="1207"/>
      <c r="SCW765" s="1207"/>
      <c r="SCX765" s="1207"/>
      <c r="SCY765" s="1207"/>
      <c r="SCZ765" s="1207"/>
      <c r="SDA765" s="1207"/>
      <c r="SDB765" s="1207"/>
      <c r="SDC765" s="1207"/>
      <c r="SDD765" s="1207"/>
      <c r="SDE765" s="1207"/>
      <c r="SDF765" s="1207"/>
      <c r="SDG765" s="1207"/>
      <c r="SDH765" s="1207"/>
      <c r="SDI765" s="1207"/>
      <c r="SDJ765" s="1207"/>
      <c r="SDK765" s="1207"/>
      <c r="SDL765" s="1207"/>
      <c r="SDM765" s="1207"/>
      <c r="SDN765" s="1207"/>
      <c r="SDO765" s="1207"/>
      <c r="SDP765" s="1207"/>
      <c r="SDQ765" s="1207"/>
      <c r="SDR765" s="1207"/>
      <c r="SDS765" s="1207"/>
      <c r="SDT765" s="1207"/>
      <c r="SDU765" s="1207"/>
      <c r="SDV765" s="1207"/>
      <c r="SDW765" s="1207"/>
      <c r="SDX765" s="1207"/>
      <c r="SDY765" s="1207"/>
      <c r="SDZ765" s="1207"/>
      <c r="SEA765" s="1207"/>
      <c r="SEB765" s="1207"/>
      <c r="SEC765" s="1207"/>
      <c r="SED765" s="1207"/>
      <c r="SEE765" s="1207"/>
      <c r="SEF765" s="1207"/>
      <c r="SEG765" s="1207"/>
      <c r="SEH765" s="1207"/>
      <c r="SEI765" s="1207"/>
      <c r="SEJ765" s="1207"/>
      <c r="SEK765" s="1207"/>
      <c r="SEL765" s="1207"/>
      <c r="SEM765" s="1207"/>
      <c r="SEN765" s="1207"/>
      <c r="SEO765" s="1207"/>
      <c r="SEP765" s="1207"/>
      <c r="SEQ765" s="1207"/>
      <c r="SER765" s="1207"/>
      <c r="SES765" s="1207"/>
      <c r="SET765" s="1207"/>
      <c r="SEU765" s="1207"/>
      <c r="SEV765" s="1207"/>
      <c r="SEW765" s="1207"/>
      <c r="SEX765" s="1207"/>
      <c r="SEY765" s="1207"/>
      <c r="SEZ765" s="1207"/>
      <c r="SFA765" s="1207"/>
      <c r="SFB765" s="1207"/>
      <c r="SFC765" s="1207"/>
      <c r="SFD765" s="1207"/>
      <c r="SFE765" s="1207"/>
      <c r="SFF765" s="1207"/>
      <c r="SFG765" s="1207"/>
      <c r="SFH765" s="1207"/>
      <c r="SFI765" s="1207"/>
      <c r="SFJ765" s="1207"/>
      <c r="SFK765" s="1207"/>
      <c r="SFL765" s="1207"/>
      <c r="SFM765" s="1207"/>
      <c r="SFN765" s="1207"/>
      <c r="SFO765" s="1207"/>
      <c r="SFP765" s="1207"/>
      <c r="SFQ765" s="1207"/>
      <c r="SFR765" s="1207"/>
      <c r="SFS765" s="1207"/>
      <c r="SFT765" s="1207"/>
      <c r="SFU765" s="1207"/>
      <c r="SFV765" s="1207"/>
      <c r="SFW765" s="1207"/>
      <c r="SFX765" s="1207"/>
      <c r="SFY765" s="1207"/>
      <c r="SFZ765" s="1207"/>
      <c r="SGA765" s="1207"/>
      <c r="SGB765" s="1207"/>
      <c r="SGC765" s="1207"/>
      <c r="SGD765" s="1207"/>
      <c r="SGE765" s="1207"/>
      <c r="SGF765" s="1207"/>
      <c r="SGG765" s="1207"/>
      <c r="SGH765" s="1207"/>
      <c r="SGI765" s="1207"/>
      <c r="SGJ765" s="1207"/>
      <c r="SGK765" s="1207"/>
      <c r="SGL765" s="1207"/>
      <c r="SGM765" s="1207"/>
      <c r="SGN765" s="1207"/>
      <c r="SGO765" s="1207"/>
      <c r="SGP765" s="1207"/>
      <c r="SGQ765" s="1207"/>
      <c r="SGR765" s="1207"/>
      <c r="SGS765" s="1207"/>
      <c r="SGT765" s="1207"/>
      <c r="SGU765" s="1207"/>
      <c r="SGV765" s="1207"/>
      <c r="SGW765" s="1207"/>
      <c r="SGX765" s="1207"/>
      <c r="SGY765" s="1207"/>
      <c r="SGZ765" s="1207"/>
      <c r="SHA765" s="1207"/>
      <c r="SHB765" s="1207"/>
      <c r="SHC765" s="1207"/>
      <c r="SHD765" s="1207"/>
      <c r="SHE765" s="1207"/>
      <c r="SHF765" s="1207"/>
      <c r="SHG765" s="1207"/>
      <c r="SHH765" s="1207"/>
      <c r="SHI765" s="1207"/>
      <c r="SHJ765" s="1207"/>
      <c r="SHK765" s="1207"/>
      <c r="SHL765" s="1207"/>
      <c r="SHM765" s="1207"/>
      <c r="SHN765" s="1207"/>
      <c r="SHO765" s="1207"/>
      <c r="SHP765" s="1207"/>
      <c r="SHQ765" s="1207"/>
      <c r="SHR765" s="1207"/>
      <c r="SHS765" s="1207"/>
      <c r="SHT765" s="1207"/>
      <c r="SHU765" s="1207"/>
      <c r="SHV765" s="1207"/>
      <c r="SHW765" s="1207"/>
      <c r="SHX765" s="1207"/>
      <c r="SHY765" s="1207"/>
      <c r="SHZ765" s="1207"/>
      <c r="SIA765" s="1207"/>
      <c r="SIB765" s="1207"/>
      <c r="SIC765" s="1207"/>
      <c r="SID765" s="1207"/>
      <c r="SIE765" s="1207"/>
      <c r="SIF765" s="1207"/>
      <c r="SIG765" s="1207"/>
      <c r="SIH765" s="1207"/>
      <c r="SII765" s="1207"/>
      <c r="SIJ765" s="1207"/>
      <c r="SIK765" s="1207"/>
      <c r="SIL765" s="1207"/>
      <c r="SIM765" s="1207"/>
      <c r="SIN765" s="1207"/>
      <c r="SIO765" s="1207"/>
      <c r="SIP765" s="1207"/>
      <c r="SIQ765" s="1207"/>
      <c r="SIR765" s="1207"/>
      <c r="SIS765" s="1207"/>
      <c r="SIT765" s="1207"/>
      <c r="SIU765" s="1207"/>
      <c r="SIV765" s="1207"/>
      <c r="SIW765" s="1207"/>
      <c r="SIX765" s="1207"/>
      <c r="SIY765" s="1207"/>
      <c r="SIZ765" s="1207"/>
      <c r="SJA765" s="1207"/>
      <c r="SJB765" s="1207"/>
      <c r="SJC765" s="1207"/>
      <c r="SJD765" s="1207"/>
      <c r="SJE765" s="1207"/>
      <c r="SJF765" s="1207"/>
      <c r="SJG765" s="1207"/>
      <c r="SJH765" s="1207"/>
      <c r="SJI765" s="1207"/>
      <c r="SJJ765" s="1207"/>
      <c r="SJK765" s="1207"/>
      <c r="SJL765" s="1207"/>
      <c r="SJM765" s="1207"/>
      <c r="SJN765" s="1207"/>
      <c r="SJO765" s="1207"/>
      <c r="SJP765" s="1207"/>
      <c r="SJQ765" s="1207"/>
      <c r="SJR765" s="1207"/>
      <c r="SJS765" s="1207"/>
      <c r="SJT765" s="1207"/>
      <c r="SJU765" s="1207"/>
      <c r="SJV765" s="1207"/>
      <c r="SJW765" s="1207"/>
      <c r="SJX765" s="1207"/>
      <c r="SJY765" s="1207"/>
      <c r="SJZ765" s="1207"/>
      <c r="SKA765" s="1207"/>
      <c r="SKB765" s="1207"/>
      <c r="SKC765" s="1207"/>
      <c r="SKD765" s="1207"/>
      <c r="SKE765" s="1207"/>
      <c r="SKF765" s="1207"/>
      <c r="SKG765" s="1207"/>
      <c r="SKH765" s="1207"/>
      <c r="SKI765" s="1207"/>
      <c r="SKJ765" s="1207"/>
      <c r="SKK765" s="1207"/>
      <c r="SKL765" s="1207"/>
      <c r="SKM765" s="1207"/>
      <c r="SKN765" s="1207"/>
      <c r="SKO765" s="1207"/>
      <c r="SKP765" s="1207"/>
      <c r="SKQ765" s="1207"/>
      <c r="SKR765" s="1207"/>
      <c r="SKS765" s="1207"/>
      <c r="SKT765" s="1207"/>
      <c r="SKU765" s="1207"/>
      <c r="SKV765" s="1207"/>
      <c r="SKW765" s="1207"/>
      <c r="SKX765" s="1207"/>
      <c r="SKY765" s="1207"/>
      <c r="SKZ765" s="1207"/>
      <c r="SLA765" s="1207"/>
      <c r="SLB765" s="1207"/>
      <c r="SLC765" s="1207"/>
      <c r="SLD765" s="1207"/>
      <c r="SLE765" s="1207"/>
      <c r="SLF765" s="1207"/>
      <c r="SLG765" s="1207"/>
      <c r="SLH765" s="1207"/>
      <c r="SLI765" s="1207"/>
      <c r="SLJ765" s="1207"/>
      <c r="SLK765" s="1207"/>
      <c r="SLL765" s="1207"/>
      <c r="SLM765" s="1207"/>
      <c r="SLN765" s="1207"/>
      <c r="SLO765" s="1207"/>
      <c r="SLP765" s="1207"/>
      <c r="SLQ765" s="1207"/>
      <c r="SLR765" s="1207"/>
      <c r="SLS765" s="1207"/>
      <c r="SLT765" s="1207"/>
      <c r="SLU765" s="1207"/>
      <c r="SLV765" s="1207"/>
      <c r="SLW765" s="1207"/>
      <c r="SLX765" s="1207"/>
      <c r="SLY765" s="1207"/>
      <c r="SLZ765" s="1207"/>
      <c r="SMA765" s="1207"/>
      <c r="SMB765" s="1207"/>
      <c r="SMC765" s="1207"/>
      <c r="SMD765" s="1207"/>
      <c r="SME765" s="1207"/>
      <c r="SMF765" s="1207"/>
      <c r="SMG765" s="1207"/>
      <c r="SMH765" s="1207"/>
      <c r="SMI765" s="1207"/>
      <c r="SMJ765" s="1207"/>
      <c r="SMK765" s="1207"/>
      <c r="SML765" s="1207"/>
      <c r="SMM765" s="1207"/>
      <c r="SMN765" s="1207"/>
      <c r="SMO765" s="1207"/>
      <c r="SMP765" s="1207"/>
      <c r="SMQ765" s="1207"/>
      <c r="SMR765" s="1207"/>
      <c r="SMS765" s="1207"/>
      <c r="SMT765" s="1207"/>
      <c r="SMU765" s="1207"/>
      <c r="SMV765" s="1207"/>
      <c r="SMW765" s="1207"/>
      <c r="SMX765" s="1207"/>
      <c r="SMY765" s="1207"/>
      <c r="SMZ765" s="1207"/>
      <c r="SNA765" s="1207"/>
      <c r="SNB765" s="1207"/>
      <c r="SNC765" s="1207"/>
      <c r="SND765" s="1207"/>
      <c r="SNE765" s="1207"/>
      <c r="SNF765" s="1207"/>
      <c r="SNG765" s="1207"/>
      <c r="SNH765" s="1207"/>
      <c r="SNI765" s="1207"/>
      <c r="SNJ765" s="1207"/>
      <c r="SNK765" s="1207"/>
      <c r="SNL765" s="1207"/>
      <c r="SNM765" s="1207"/>
      <c r="SNN765" s="1207"/>
      <c r="SNO765" s="1207"/>
      <c r="SNP765" s="1207"/>
      <c r="SNQ765" s="1207"/>
      <c r="SNR765" s="1207"/>
      <c r="SNS765" s="1207"/>
      <c r="SNT765" s="1207"/>
      <c r="SNU765" s="1207"/>
      <c r="SNV765" s="1207"/>
      <c r="SNW765" s="1207"/>
      <c r="SNX765" s="1207"/>
      <c r="SNY765" s="1207"/>
      <c r="SNZ765" s="1207"/>
      <c r="SOA765" s="1207"/>
      <c r="SOB765" s="1207"/>
      <c r="SOC765" s="1207"/>
      <c r="SOD765" s="1207"/>
      <c r="SOE765" s="1207"/>
      <c r="SOF765" s="1207"/>
      <c r="SOG765" s="1207"/>
      <c r="SOH765" s="1207"/>
      <c r="SOI765" s="1207"/>
      <c r="SOJ765" s="1207"/>
      <c r="SOK765" s="1207"/>
      <c r="SOL765" s="1207"/>
      <c r="SOM765" s="1207"/>
      <c r="SON765" s="1207"/>
      <c r="SOO765" s="1207"/>
      <c r="SOP765" s="1207"/>
      <c r="SOQ765" s="1207"/>
      <c r="SOR765" s="1207"/>
      <c r="SOS765" s="1207"/>
      <c r="SOT765" s="1207"/>
      <c r="SOU765" s="1207"/>
      <c r="SOV765" s="1207"/>
      <c r="SOW765" s="1207"/>
      <c r="SOX765" s="1207"/>
      <c r="SOY765" s="1207"/>
      <c r="SOZ765" s="1207"/>
      <c r="SPA765" s="1207"/>
      <c r="SPB765" s="1207"/>
      <c r="SPC765" s="1207"/>
      <c r="SPD765" s="1207"/>
      <c r="SPE765" s="1207"/>
      <c r="SPF765" s="1207"/>
      <c r="SPG765" s="1207"/>
      <c r="SPH765" s="1207"/>
      <c r="SPI765" s="1207"/>
      <c r="SPJ765" s="1207"/>
      <c r="SPK765" s="1207"/>
      <c r="SPL765" s="1207"/>
      <c r="SPM765" s="1207"/>
      <c r="SPN765" s="1207"/>
      <c r="SPO765" s="1207"/>
      <c r="SPP765" s="1207"/>
      <c r="SPQ765" s="1207"/>
      <c r="SPR765" s="1207"/>
      <c r="SPS765" s="1207"/>
      <c r="SPT765" s="1207"/>
      <c r="SPU765" s="1207"/>
      <c r="SPV765" s="1207"/>
      <c r="SPW765" s="1207"/>
      <c r="SPX765" s="1207"/>
      <c r="SPY765" s="1207"/>
      <c r="SPZ765" s="1207"/>
      <c r="SQA765" s="1207"/>
      <c r="SQB765" s="1207"/>
      <c r="SQC765" s="1207"/>
      <c r="SQD765" s="1207"/>
      <c r="SQE765" s="1207"/>
      <c r="SQF765" s="1207"/>
      <c r="SQG765" s="1207"/>
      <c r="SQH765" s="1207"/>
      <c r="SQI765" s="1207"/>
      <c r="SQJ765" s="1207"/>
      <c r="SQK765" s="1207"/>
      <c r="SQL765" s="1207"/>
      <c r="SQM765" s="1207"/>
      <c r="SQN765" s="1207"/>
      <c r="SQO765" s="1207"/>
      <c r="SQP765" s="1207"/>
      <c r="SQQ765" s="1207"/>
      <c r="SQR765" s="1207"/>
      <c r="SQS765" s="1207"/>
      <c r="SQT765" s="1207"/>
      <c r="SQU765" s="1207"/>
      <c r="SQV765" s="1207"/>
      <c r="SQW765" s="1207"/>
      <c r="SQX765" s="1207"/>
      <c r="SQY765" s="1207"/>
      <c r="SQZ765" s="1207"/>
      <c r="SRA765" s="1207"/>
      <c r="SRB765" s="1207"/>
      <c r="SRC765" s="1207"/>
      <c r="SRD765" s="1207"/>
      <c r="SRE765" s="1207"/>
      <c r="SRF765" s="1207"/>
      <c r="SRG765" s="1207"/>
      <c r="SRH765" s="1207"/>
      <c r="SRI765" s="1207"/>
      <c r="SRJ765" s="1207"/>
      <c r="SRK765" s="1207"/>
      <c r="SRL765" s="1207"/>
      <c r="SRM765" s="1207"/>
      <c r="SRN765" s="1207"/>
      <c r="SRO765" s="1207"/>
      <c r="SRP765" s="1207"/>
      <c r="SRQ765" s="1207"/>
      <c r="SRR765" s="1207"/>
      <c r="SRS765" s="1207"/>
      <c r="SRT765" s="1207"/>
      <c r="SRU765" s="1207"/>
      <c r="SRV765" s="1207"/>
      <c r="SRW765" s="1207"/>
      <c r="SRX765" s="1207"/>
      <c r="SRY765" s="1207"/>
      <c r="SRZ765" s="1207"/>
      <c r="SSA765" s="1207"/>
      <c r="SSB765" s="1207"/>
      <c r="SSC765" s="1207"/>
      <c r="SSD765" s="1207"/>
      <c r="SSE765" s="1207"/>
      <c r="SSF765" s="1207"/>
      <c r="SSG765" s="1207"/>
      <c r="SSH765" s="1207"/>
      <c r="SSI765" s="1207"/>
      <c r="SSJ765" s="1207"/>
      <c r="SSK765" s="1207"/>
      <c r="SSL765" s="1207"/>
      <c r="SSM765" s="1207"/>
      <c r="SSN765" s="1207"/>
      <c r="SSO765" s="1207"/>
      <c r="SSP765" s="1207"/>
      <c r="SSQ765" s="1207"/>
      <c r="SSR765" s="1207"/>
      <c r="SSS765" s="1207"/>
      <c r="SST765" s="1207"/>
      <c r="SSU765" s="1207"/>
      <c r="SSV765" s="1207"/>
      <c r="SSW765" s="1207"/>
      <c r="SSX765" s="1207"/>
      <c r="SSY765" s="1207"/>
      <c r="SSZ765" s="1207"/>
      <c r="STA765" s="1207"/>
      <c r="STB765" s="1207"/>
      <c r="STC765" s="1207"/>
      <c r="STD765" s="1207"/>
      <c r="STE765" s="1207"/>
      <c r="STF765" s="1207"/>
      <c r="STG765" s="1207"/>
      <c r="STH765" s="1207"/>
      <c r="STI765" s="1207"/>
      <c r="STJ765" s="1207"/>
      <c r="STK765" s="1207"/>
      <c r="STL765" s="1207"/>
      <c r="STM765" s="1207"/>
      <c r="STN765" s="1207"/>
      <c r="STO765" s="1207"/>
      <c r="STP765" s="1207"/>
      <c r="STQ765" s="1207"/>
      <c r="STR765" s="1207"/>
      <c r="STS765" s="1207"/>
      <c r="STT765" s="1207"/>
      <c r="STU765" s="1207"/>
      <c r="STV765" s="1207"/>
      <c r="STW765" s="1207"/>
      <c r="STX765" s="1207"/>
      <c r="STY765" s="1207"/>
      <c r="STZ765" s="1207"/>
      <c r="SUA765" s="1207"/>
      <c r="SUB765" s="1207"/>
      <c r="SUC765" s="1207"/>
      <c r="SUD765" s="1207"/>
      <c r="SUE765" s="1207"/>
      <c r="SUF765" s="1207"/>
      <c r="SUG765" s="1207"/>
      <c r="SUH765" s="1207"/>
      <c r="SUI765" s="1207"/>
      <c r="SUJ765" s="1207"/>
      <c r="SUK765" s="1207"/>
      <c r="SUL765" s="1207"/>
      <c r="SUM765" s="1207"/>
      <c r="SUN765" s="1207"/>
      <c r="SUO765" s="1207"/>
      <c r="SUP765" s="1207"/>
      <c r="SUQ765" s="1207"/>
      <c r="SUR765" s="1207"/>
      <c r="SUS765" s="1207"/>
      <c r="SUT765" s="1207"/>
      <c r="SUU765" s="1207"/>
      <c r="SUV765" s="1207"/>
      <c r="SUW765" s="1207"/>
      <c r="SUX765" s="1207"/>
      <c r="SUY765" s="1207"/>
      <c r="SUZ765" s="1207"/>
      <c r="SVA765" s="1207"/>
      <c r="SVB765" s="1207"/>
      <c r="SVC765" s="1207"/>
      <c r="SVD765" s="1207"/>
      <c r="SVE765" s="1207"/>
      <c r="SVF765" s="1207"/>
      <c r="SVG765" s="1207"/>
      <c r="SVH765" s="1207"/>
      <c r="SVI765" s="1207"/>
      <c r="SVJ765" s="1207"/>
      <c r="SVK765" s="1207"/>
      <c r="SVL765" s="1207"/>
      <c r="SVM765" s="1207"/>
      <c r="SVN765" s="1207"/>
      <c r="SVO765" s="1207"/>
      <c r="SVP765" s="1207"/>
      <c r="SVQ765" s="1207"/>
      <c r="SVR765" s="1207"/>
      <c r="SVS765" s="1207"/>
      <c r="SVT765" s="1207"/>
      <c r="SVU765" s="1207"/>
      <c r="SVV765" s="1207"/>
      <c r="SVW765" s="1207"/>
      <c r="SVX765" s="1207"/>
      <c r="SVY765" s="1207"/>
      <c r="SVZ765" s="1207"/>
      <c r="SWA765" s="1207"/>
      <c r="SWB765" s="1207"/>
      <c r="SWC765" s="1207"/>
      <c r="SWD765" s="1207"/>
      <c r="SWE765" s="1207"/>
      <c r="SWF765" s="1207"/>
      <c r="SWG765" s="1207"/>
      <c r="SWH765" s="1207"/>
      <c r="SWI765" s="1207"/>
      <c r="SWJ765" s="1207"/>
      <c r="SWK765" s="1207"/>
      <c r="SWL765" s="1207"/>
      <c r="SWM765" s="1207"/>
      <c r="SWN765" s="1207"/>
      <c r="SWO765" s="1207"/>
      <c r="SWP765" s="1207"/>
      <c r="SWQ765" s="1207"/>
      <c r="SWR765" s="1207"/>
      <c r="SWS765" s="1207"/>
      <c r="SWT765" s="1207"/>
      <c r="SWU765" s="1207"/>
      <c r="SWV765" s="1207"/>
      <c r="SWW765" s="1207"/>
      <c r="SWX765" s="1207"/>
      <c r="SWY765" s="1207"/>
      <c r="SWZ765" s="1207"/>
      <c r="SXA765" s="1207"/>
      <c r="SXB765" s="1207"/>
      <c r="SXC765" s="1207"/>
      <c r="SXD765" s="1207"/>
      <c r="SXE765" s="1207"/>
      <c r="SXF765" s="1207"/>
      <c r="SXG765" s="1207"/>
      <c r="SXH765" s="1207"/>
      <c r="SXI765" s="1207"/>
      <c r="SXJ765" s="1207"/>
      <c r="SXK765" s="1207"/>
      <c r="SXL765" s="1207"/>
      <c r="SXM765" s="1207"/>
      <c r="SXN765" s="1207"/>
      <c r="SXO765" s="1207"/>
      <c r="SXP765" s="1207"/>
      <c r="SXQ765" s="1207"/>
      <c r="SXR765" s="1207"/>
      <c r="SXS765" s="1207"/>
      <c r="SXT765" s="1207"/>
      <c r="SXU765" s="1207"/>
      <c r="SXV765" s="1207"/>
      <c r="SXW765" s="1207"/>
      <c r="SXX765" s="1207"/>
      <c r="SXY765" s="1207"/>
      <c r="SXZ765" s="1207"/>
      <c r="SYA765" s="1207"/>
      <c r="SYB765" s="1207"/>
      <c r="SYC765" s="1207"/>
      <c r="SYD765" s="1207"/>
      <c r="SYE765" s="1207"/>
      <c r="SYF765" s="1207"/>
      <c r="SYG765" s="1207"/>
      <c r="SYH765" s="1207"/>
      <c r="SYI765" s="1207"/>
      <c r="SYJ765" s="1207"/>
      <c r="SYK765" s="1207"/>
      <c r="SYL765" s="1207"/>
      <c r="SYM765" s="1207"/>
      <c r="SYN765" s="1207"/>
      <c r="SYO765" s="1207"/>
      <c r="SYP765" s="1207"/>
      <c r="SYQ765" s="1207"/>
      <c r="SYR765" s="1207"/>
      <c r="SYS765" s="1207"/>
      <c r="SYT765" s="1207"/>
      <c r="SYU765" s="1207"/>
      <c r="SYV765" s="1207"/>
      <c r="SYW765" s="1207"/>
      <c r="SYX765" s="1207"/>
      <c r="SYY765" s="1207"/>
      <c r="SYZ765" s="1207"/>
      <c r="SZA765" s="1207"/>
      <c r="SZB765" s="1207"/>
      <c r="SZC765" s="1207"/>
      <c r="SZD765" s="1207"/>
      <c r="SZE765" s="1207"/>
      <c r="SZF765" s="1207"/>
      <c r="SZG765" s="1207"/>
      <c r="SZH765" s="1207"/>
      <c r="SZI765" s="1207"/>
      <c r="SZJ765" s="1207"/>
      <c r="SZK765" s="1207"/>
      <c r="SZL765" s="1207"/>
      <c r="SZM765" s="1207"/>
      <c r="SZN765" s="1207"/>
      <c r="SZO765" s="1207"/>
      <c r="SZP765" s="1207"/>
      <c r="SZQ765" s="1207"/>
      <c r="SZR765" s="1207"/>
      <c r="SZS765" s="1207"/>
      <c r="SZT765" s="1207"/>
      <c r="SZU765" s="1207"/>
      <c r="SZV765" s="1207"/>
      <c r="SZW765" s="1207"/>
      <c r="SZX765" s="1207"/>
      <c r="SZY765" s="1207"/>
      <c r="SZZ765" s="1207"/>
      <c r="TAA765" s="1207"/>
      <c r="TAB765" s="1207"/>
      <c r="TAC765" s="1207"/>
      <c r="TAD765" s="1207"/>
      <c r="TAE765" s="1207"/>
      <c r="TAF765" s="1207"/>
      <c r="TAG765" s="1207"/>
      <c r="TAH765" s="1207"/>
      <c r="TAI765" s="1207"/>
      <c r="TAJ765" s="1207"/>
      <c r="TAK765" s="1207"/>
      <c r="TAL765" s="1207"/>
      <c r="TAM765" s="1207"/>
      <c r="TAN765" s="1207"/>
      <c r="TAO765" s="1207"/>
      <c r="TAP765" s="1207"/>
      <c r="TAQ765" s="1207"/>
      <c r="TAR765" s="1207"/>
      <c r="TAS765" s="1207"/>
      <c r="TAT765" s="1207"/>
      <c r="TAU765" s="1207"/>
      <c r="TAV765" s="1207"/>
      <c r="TAW765" s="1207"/>
      <c r="TAX765" s="1207"/>
      <c r="TAY765" s="1207"/>
      <c r="TAZ765" s="1207"/>
      <c r="TBA765" s="1207"/>
      <c r="TBB765" s="1207"/>
      <c r="TBC765" s="1207"/>
      <c r="TBD765" s="1207"/>
      <c r="TBE765" s="1207"/>
      <c r="TBF765" s="1207"/>
      <c r="TBG765" s="1207"/>
      <c r="TBH765" s="1207"/>
      <c r="TBI765" s="1207"/>
      <c r="TBJ765" s="1207"/>
      <c r="TBK765" s="1207"/>
      <c r="TBL765" s="1207"/>
      <c r="TBM765" s="1207"/>
      <c r="TBN765" s="1207"/>
      <c r="TBO765" s="1207"/>
      <c r="TBP765" s="1207"/>
      <c r="TBQ765" s="1207"/>
      <c r="TBR765" s="1207"/>
      <c r="TBS765" s="1207"/>
      <c r="TBT765" s="1207"/>
      <c r="TBU765" s="1207"/>
      <c r="TBV765" s="1207"/>
      <c r="TBW765" s="1207"/>
      <c r="TBX765" s="1207"/>
      <c r="TBY765" s="1207"/>
      <c r="TBZ765" s="1207"/>
      <c r="TCA765" s="1207"/>
      <c r="TCB765" s="1207"/>
      <c r="TCC765" s="1207"/>
      <c r="TCD765" s="1207"/>
      <c r="TCE765" s="1207"/>
      <c r="TCF765" s="1207"/>
      <c r="TCG765" s="1207"/>
      <c r="TCH765" s="1207"/>
      <c r="TCI765" s="1207"/>
      <c r="TCJ765" s="1207"/>
      <c r="TCK765" s="1207"/>
      <c r="TCL765" s="1207"/>
      <c r="TCM765" s="1207"/>
      <c r="TCN765" s="1207"/>
      <c r="TCO765" s="1207"/>
      <c r="TCP765" s="1207"/>
      <c r="TCQ765" s="1207"/>
      <c r="TCR765" s="1207"/>
      <c r="TCS765" s="1207"/>
      <c r="TCT765" s="1207"/>
      <c r="TCU765" s="1207"/>
      <c r="TCV765" s="1207"/>
      <c r="TCW765" s="1207"/>
      <c r="TCX765" s="1207"/>
      <c r="TCY765" s="1207"/>
      <c r="TCZ765" s="1207"/>
      <c r="TDA765" s="1207"/>
      <c r="TDB765" s="1207"/>
      <c r="TDC765" s="1207"/>
      <c r="TDD765" s="1207"/>
      <c r="TDE765" s="1207"/>
      <c r="TDF765" s="1207"/>
      <c r="TDG765" s="1207"/>
      <c r="TDH765" s="1207"/>
      <c r="TDI765" s="1207"/>
      <c r="TDJ765" s="1207"/>
      <c r="TDK765" s="1207"/>
      <c r="TDL765" s="1207"/>
      <c r="TDM765" s="1207"/>
      <c r="TDN765" s="1207"/>
      <c r="TDO765" s="1207"/>
      <c r="TDP765" s="1207"/>
      <c r="TDQ765" s="1207"/>
      <c r="TDR765" s="1207"/>
      <c r="TDS765" s="1207"/>
      <c r="TDT765" s="1207"/>
      <c r="TDU765" s="1207"/>
      <c r="TDV765" s="1207"/>
      <c r="TDW765" s="1207"/>
      <c r="TDX765" s="1207"/>
      <c r="TDY765" s="1207"/>
      <c r="TDZ765" s="1207"/>
      <c r="TEA765" s="1207"/>
      <c r="TEB765" s="1207"/>
      <c r="TEC765" s="1207"/>
      <c r="TED765" s="1207"/>
      <c r="TEE765" s="1207"/>
      <c r="TEF765" s="1207"/>
      <c r="TEG765" s="1207"/>
      <c r="TEH765" s="1207"/>
      <c r="TEI765" s="1207"/>
      <c r="TEJ765" s="1207"/>
      <c r="TEK765" s="1207"/>
      <c r="TEL765" s="1207"/>
      <c r="TEM765" s="1207"/>
      <c r="TEN765" s="1207"/>
      <c r="TEO765" s="1207"/>
      <c r="TEP765" s="1207"/>
      <c r="TEQ765" s="1207"/>
      <c r="TER765" s="1207"/>
      <c r="TES765" s="1207"/>
      <c r="TET765" s="1207"/>
      <c r="TEU765" s="1207"/>
      <c r="TEV765" s="1207"/>
      <c r="TEW765" s="1207"/>
      <c r="TEX765" s="1207"/>
      <c r="TEY765" s="1207"/>
      <c r="TEZ765" s="1207"/>
      <c r="TFA765" s="1207"/>
      <c r="TFB765" s="1207"/>
      <c r="TFC765" s="1207"/>
      <c r="TFD765" s="1207"/>
      <c r="TFE765" s="1207"/>
      <c r="TFF765" s="1207"/>
      <c r="TFG765" s="1207"/>
      <c r="TFH765" s="1207"/>
      <c r="TFI765" s="1207"/>
      <c r="TFJ765" s="1207"/>
      <c r="TFK765" s="1207"/>
      <c r="TFL765" s="1207"/>
      <c r="TFM765" s="1207"/>
      <c r="TFN765" s="1207"/>
      <c r="TFO765" s="1207"/>
      <c r="TFP765" s="1207"/>
      <c r="TFQ765" s="1207"/>
      <c r="TFR765" s="1207"/>
      <c r="TFS765" s="1207"/>
      <c r="TFT765" s="1207"/>
      <c r="TFU765" s="1207"/>
      <c r="TFV765" s="1207"/>
      <c r="TFW765" s="1207"/>
      <c r="TFX765" s="1207"/>
      <c r="TFY765" s="1207"/>
      <c r="TFZ765" s="1207"/>
      <c r="TGA765" s="1207"/>
      <c r="TGB765" s="1207"/>
      <c r="TGC765" s="1207"/>
      <c r="TGD765" s="1207"/>
      <c r="TGE765" s="1207"/>
      <c r="TGF765" s="1207"/>
      <c r="TGG765" s="1207"/>
      <c r="TGH765" s="1207"/>
      <c r="TGI765" s="1207"/>
      <c r="TGJ765" s="1207"/>
      <c r="TGK765" s="1207"/>
      <c r="TGL765" s="1207"/>
      <c r="TGM765" s="1207"/>
      <c r="TGN765" s="1207"/>
      <c r="TGO765" s="1207"/>
      <c r="TGP765" s="1207"/>
      <c r="TGQ765" s="1207"/>
      <c r="TGR765" s="1207"/>
      <c r="TGS765" s="1207"/>
      <c r="TGT765" s="1207"/>
      <c r="TGU765" s="1207"/>
      <c r="TGV765" s="1207"/>
      <c r="TGW765" s="1207"/>
      <c r="TGX765" s="1207"/>
      <c r="TGY765" s="1207"/>
      <c r="TGZ765" s="1207"/>
      <c r="THA765" s="1207"/>
      <c r="THB765" s="1207"/>
      <c r="THC765" s="1207"/>
      <c r="THD765" s="1207"/>
      <c r="THE765" s="1207"/>
      <c r="THF765" s="1207"/>
      <c r="THG765" s="1207"/>
      <c r="THH765" s="1207"/>
      <c r="THI765" s="1207"/>
      <c r="THJ765" s="1207"/>
      <c r="THK765" s="1207"/>
      <c r="THL765" s="1207"/>
      <c r="THM765" s="1207"/>
      <c r="THN765" s="1207"/>
      <c r="THO765" s="1207"/>
      <c r="THP765" s="1207"/>
      <c r="THQ765" s="1207"/>
      <c r="THR765" s="1207"/>
      <c r="THS765" s="1207"/>
      <c r="THT765" s="1207"/>
      <c r="THU765" s="1207"/>
      <c r="THV765" s="1207"/>
      <c r="THW765" s="1207"/>
      <c r="THX765" s="1207"/>
      <c r="THY765" s="1207"/>
      <c r="THZ765" s="1207"/>
      <c r="TIA765" s="1207"/>
      <c r="TIB765" s="1207"/>
      <c r="TIC765" s="1207"/>
      <c r="TID765" s="1207"/>
      <c r="TIE765" s="1207"/>
      <c r="TIF765" s="1207"/>
      <c r="TIG765" s="1207"/>
      <c r="TIH765" s="1207"/>
      <c r="TII765" s="1207"/>
      <c r="TIJ765" s="1207"/>
      <c r="TIK765" s="1207"/>
      <c r="TIL765" s="1207"/>
      <c r="TIM765" s="1207"/>
      <c r="TIN765" s="1207"/>
      <c r="TIO765" s="1207"/>
      <c r="TIP765" s="1207"/>
      <c r="TIQ765" s="1207"/>
      <c r="TIR765" s="1207"/>
      <c r="TIS765" s="1207"/>
      <c r="TIT765" s="1207"/>
      <c r="TIU765" s="1207"/>
      <c r="TIV765" s="1207"/>
      <c r="TIW765" s="1207"/>
      <c r="TIX765" s="1207"/>
      <c r="TIY765" s="1207"/>
      <c r="TIZ765" s="1207"/>
      <c r="TJA765" s="1207"/>
      <c r="TJB765" s="1207"/>
      <c r="TJC765" s="1207"/>
      <c r="TJD765" s="1207"/>
      <c r="TJE765" s="1207"/>
      <c r="TJF765" s="1207"/>
      <c r="TJG765" s="1207"/>
      <c r="TJH765" s="1207"/>
      <c r="TJI765" s="1207"/>
      <c r="TJJ765" s="1207"/>
      <c r="TJK765" s="1207"/>
      <c r="TJL765" s="1207"/>
      <c r="TJM765" s="1207"/>
      <c r="TJN765" s="1207"/>
      <c r="TJO765" s="1207"/>
      <c r="TJP765" s="1207"/>
      <c r="TJQ765" s="1207"/>
      <c r="TJR765" s="1207"/>
      <c r="TJS765" s="1207"/>
      <c r="TJT765" s="1207"/>
      <c r="TJU765" s="1207"/>
      <c r="TJV765" s="1207"/>
      <c r="TJW765" s="1207"/>
      <c r="TJX765" s="1207"/>
      <c r="TJY765" s="1207"/>
      <c r="TJZ765" s="1207"/>
      <c r="TKA765" s="1207"/>
      <c r="TKB765" s="1207"/>
      <c r="TKC765" s="1207"/>
      <c r="TKD765" s="1207"/>
      <c r="TKE765" s="1207"/>
      <c r="TKF765" s="1207"/>
      <c r="TKG765" s="1207"/>
      <c r="TKH765" s="1207"/>
      <c r="TKI765" s="1207"/>
      <c r="TKJ765" s="1207"/>
      <c r="TKK765" s="1207"/>
      <c r="TKL765" s="1207"/>
      <c r="TKM765" s="1207"/>
      <c r="TKN765" s="1207"/>
      <c r="TKO765" s="1207"/>
      <c r="TKP765" s="1207"/>
      <c r="TKQ765" s="1207"/>
      <c r="TKR765" s="1207"/>
      <c r="TKS765" s="1207"/>
      <c r="TKT765" s="1207"/>
      <c r="TKU765" s="1207"/>
      <c r="TKV765" s="1207"/>
      <c r="TKW765" s="1207"/>
      <c r="TKX765" s="1207"/>
      <c r="TKY765" s="1207"/>
      <c r="TKZ765" s="1207"/>
      <c r="TLA765" s="1207"/>
      <c r="TLB765" s="1207"/>
      <c r="TLC765" s="1207"/>
      <c r="TLD765" s="1207"/>
      <c r="TLE765" s="1207"/>
      <c r="TLF765" s="1207"/>
      <c r="TLG765" s="1207"/>
      <c r="TLH765" s="1207"/>
      <c r="TLI765" s="1207"/>
      <c r="TLJ765" s="1207"/>
      <c r="TLK765" s="1207"/>
      <c r="TLL765" s="1207"/>
      <c r="TLM765" s="1207"/>
      <c r="TLN765" s="1207"/>
      <c r="TLO765" s="1207"/>
      <c r="TLP765" s="1207"/>
      <c r="TLQ765" s="1207"/>
      <c r="TLR765" s="1207"/>
      <c r="TLS765" s="1207"/>
      <c r="TLT765" s="1207"/>
      <c r="TLU765" s="1207"/>
      <c r="TLV765" s="1207"/>
      <c r="TLW765" s="1207"/>
      <c r="TLX765" s="1207"/>
      <c r="TLY765" s="1207"/>
      <c r="TLZ765" s="1207"/>
      <c r="TMA765" s="1207"/>
      <c r="TMB765" s="1207"/>
      <c r="TMC765" s="1207"/>
      <c r="TMD765" s="1207"/>
      <c r="TME765" s="1207"/>
      <c r="TMF765" s="1207"/>
      <c r="TMG765" s="1207"/>
      <c r="TMH765" s="1207"/>
      <c r="TMI765" s="1207"/>
      <c r="TMJ765" s="1207"/>
      <c r="TMK765" s="1207"/>
      <c r="TML765" s="1207"/>
      <c r="TMM765" s="1207"/>
      <c r="TMN765" s="1207"/>
      <c r="TMO765" s="1207"/>
      <c r="TMP765" s="1207"/>
      <c r="TMQ765" s="1207"/>
      <c r="TMR765" s="1207"/>
      <c r="TMS765" s="1207"/>
      <c r="TMT765" s="1207"/>
      <c r="TMU765" s="1207"/>
      <c r="TMV765" s="1207"/>
      <c r="TMW765" s="1207"/>
      <c r="TMX765" s="1207"/>
      <c r="TMY765" s="1207"/>
      <c r="TMZ765" s="1207"/>
      <c r="TNA765" s="1207"/>
      <c r="TNB765" s="1207"/>
      <c r="TNC765" s="1207"/>
      <c r="TND765" s="1207"/>
      <c r="TNE765" s="1207"/>
      <c r="TNF765" s="1207"/>
      <c r="TNG765" s="1207"/>
      <c r="TNH765" s="1207"/>
      <c r="TNI765" s="1207"/>
      <c r="TNJ765" s="1207"/>
      <c r="TNK765" s="1207"/>
      <c r="TNL765" s="1207"/>
      <c r="TNM765" s="1207"/>
      <c r="TNN765" s="1207"/>
      <c r="TNO765" s="1207"/>
      <c r="TNP765" s="1207"/>
      <c r="TNQ765" s="1207"/>
      <c r="TNR765" s="1207"/>
      <c r="TNS765" s="1207"/>
      <c r="TNT765" s="1207"/>
      <c r="TNU765" s="1207"/>
      <c r="TNV765" s="1207"/>
      <c r="TNW765" s="1207"/>
      <c r="TNX765" s="1207"/>
      <c r="TNY765" s="1207"/>
      <c r="TNZ765" s="1207"/>
      <c r="TOA765" s="1207"/>
      <c r="TOB765" s="1207"/>
      <c r="TOC765" s="1207"/>
      <c r="TOD765" s="1207"/>
      <c r="TOE765" s="1207"/>
      <c r="TOF765" s="1207"/>
      <c r="TOG765" s="1207"/>
      <c r="TOH765" s="1207"/>
      <c r="TOI765" s="1207"/>
      <c r="TOJ765" s="1207"/>
      <c r="TOK765" s="1207"/>
      <c r="TOL765" s="1207"/>
      <c r="TOM765" s="1207"/>
      <c r="TON765" s="1207"/>
      <c r="TOO765" s="1207"/>
      <c r="TOP765" s="1207"/>
      <c r="TOQ765" s="1207"/>
      <c r="TOR765" s="1207"/>
      <c r="TOS765" s="1207"/>
      <c r="TOT765" s="1207"/>
      <c r="TOU765" s="1207"/>
      <c r="TOV765" s="1207"/>
      <c r="TOW765" s="1207"/>
      <c r="TOX765" s="1207"/>
      <c r="TOY765" s="1207"/>
      <c r="TOZ765" s="1207"/>
      <c r="TPA765" s="1207"/>
      <c r="TPB765" s="1207"/>
      <c r="TPC765" s="1207"/>
      <c r="TPD765" s="1207"/>
      <c r="TPE765" s="1207"/>
      <c r="TPF765" s="1207"/>
      <c r="TPG765" s="1207"/>
      <c r="TPH765" s="1207"/>
      <c r="TPI765" s="1207"/>
      <c r="TPJ765" s="1207"/>
      <c r="TPK765" s="1207"/>
      <c r="TPL765" s="1207"/>
      <c r="TPM765" s="1207"/>
      <c r="TPN765" s="1207"/>
      <c r="TPO765" s="1207"/>
      <c r="TPP765" s="1207"/>
      <c r="TPQ765" s="1207"/>
      <c r="TPR765" s="1207"/>
      <c r="TPS765" s="1207"/>
      <c r="TPT765" s="1207"/>
      <c r="TPU765" s="1207"/>
      <c r="TPV765" s="1207"/>
      <c r="TPW765" s="1207"/>
      <c r="TPX765" s="1207"/>
      <c r="TPY765" s="1207"/>
      <c r="TPZ765" s="1207"/>
      <c r="TQA765" s="1207"/>
      <c r="TQB765" s="1207"/>
      <c r="TQC765" s="1207"/>
      <c r="TQD765" s="1207"/>
      <c r="TQE765" s="1207"/>
      <c r="TQF765" s="1207"/>
      <c r="TQG765" s="1207"/>
      <c r="TQH765" s="1207"/>
      <c r="TQI765" s="1207"/>
      <c r="TQJ765" s="1207"/>
      <c r="TQK765" s="1207"/>
      <c r="TQL765" s="1207"/>
      <c r="TQM765" s="1207"/>
      <c r="TQN765" s="1207"/>
      <c r="TQO765" s="1207"/>
      <c r="TQP765" s="1207"/>
      <c r="TQQ765" s="1207"/>
      <c r="TQR765" s="1207"/>
      <c r="TQS765" s="1207"/>
      <c r="TQT765" s="1207"/>
      <c r="TQU765" s="1207"/>
      <c r="TQV765" s="1207"/>
      <c r="TQW765" s="1207"/>
      <c r="TQX765" s="1207"/>
      <c r="TQY765" s="1207"/>
      <c r="TQZ765" s="1207"/>
      <c r="TRA765" s="1207"/>
      <c r="TRB765" s="1207"/>
      <c r="TRC765" s="1207"/>
      <c r="TRD765" s="1207"/>
      <c r="TRE765" s="1207"/>
      <c r="TRF765" s="1207"/>
      <c r="TRG765" s="1207"/>
      <c r="TRH765" s="1207"/>
      <c r="TRI765" s="1207"/>
      <c r="TRJ765" s="1207"/>
      <c r="TRK765" s="1207"/>
      <c r="TRL765" s="1207"/>
      <c r="TRM765" s="1207"/>
      <c r="TRN765" s="1207"/>
      <c r="TRO765" s="1207"/>
      <c r="TRP765" s="1207"/>
      <c r="TRQ765" s="1207"/>
      <c r="TRR765" s="1207"/>
      <c r="TRS765" s="1207"/>
      <c r="TRT765" s="1207"/>
      <c r="TRU765" s="1207"/>
      <c r="TRV765" s="1207"/>
      <c r="TRW765" s="1207"/>
      <c r="TRX765" s="1207"/>
      <c r="TRY765" s="1207"/>
      <c r="TRZ765" s="1207"/>
      <c r="TSA765" s="1207"/>
      <c r="TSB765" s="1207"/>
      <c r="TSC765" s="1207"/>
      <c r="TSD765" s="1207"/>
      <c r="TSE765" s="1207"/>
      <c r="TSF765" s="1207"/>
      <c r="TSG765" s="1207"/>
      <c r="TSH765" s="1207"/>
      <c r="TSI765" s="1207"/>
      <c r="TSJ765" s="1207"/>
      <c r="TSK765" s="1207"/>
      <c r="TSL765" s="1207"/>
      <c r="TSM765" s="1207"/>
      <c r="TSN765" s="1207"/>
      <c r="TSO765" s="1207"/>
      <c r="TSP765" s="1207"/>
      <c r="TSQ765" s="1207"/>
      <c r="TSR765" s="1207"/>
      <c r="TSS765" s="1207"/>
      <c r="TST765" s="1207"/>
      <c r="TSU765" s="1207"/>
      <c r="TSV765" s="1207"/>
      <c r="TSW765" s="1207"/>
      <c r="TSX765" s="1207"/>
      <c r="TSY765" s="1207"/>
      <c r="TSZ765" s="1207"/>
      <c r="TTA765" s="1207"/>
      <c r="TTB765" s="1207"/>
      <c r="TTC765" s="1207"/>
      <c r="TTD765" s="1207"/>
      <c r="TTE765" s="1207"/>
      <c r="TTF765" s="1207"/>
      <c r="TTG765" s="1207"/>
      <c r="TTH765" s="1207"/>
      <c r="TTI765" s="1207"/>
      <c r="TTJ765" s="1207"/>
      <c r="TTK765" s="1207"/>
      <c r="TTL765" s="1207"/>
      <c r="TTM765" s="1207"/>
      <c r="TTN765" s="1207"/>
      <c r="TTO765" s="1207"/>
      <c r="TTP765" s="1207"/>
      <c r="TTQ765" s="1207"/>
      <c r="TTR765" s="1207"/>
      <c r="TTS765" s="1207"/>
      <c r="TTT765" s="1207"/>
      <c r="TTU765" s="1207"/>
      <c r="TTV765" s="1207"/>
      <c r="TTW765" s="1207"/>
      <c r="TTX765" s="1207"/>
      <c r="TTY765" s="1207"/>
      <c r="TTZ765" s="1207"/>
      <c r="TUA765" s="1207"/>
      <c r="TUB765" s="1207"/>
      <c r="TUC765" s="1207"/>
      <c r="TUD765" s="1207"/>
      <c r="TUE765" s="1207"/>
      <c r="TUF765" s="1207"/>
      <c r="TUG765" s="1207"/>
      <c r="TUH765" s="1207"/>
      <c r="TUI765" s="1207"/>
      <c r="TUJ765" s="1207"/>
      <c r="TUK765" s="1207"/>
      <c r="TUL765" s="1207"/>
      <c r="TUM765" s="1207"/>
      <c r="TUN765" s="1207"/>
      <c r="TUO765" s="1207"/>
      <c r="TUP765" s="1207"/>
      <c r="TUQ765" s="1207"/>
      <c r="TUR765" s="1207"/>
      <c r="TUS765" s="1207"/>
      <c r="TUT765" s="1207"/>
      <c r="TUU765" s="1207"/>
      <c r="TUV765" s="1207"/>
      <c r="TUW765" s="1207"/>
      <c r="TUX765" s="1207"/>
      <c r="TUY765" s="1207"/>
      <c r="TUZ765" s="1207"/>
      <c r="TVA765" s="1207"/>
      <c r="TVB765" s="1207"/>
      <c r="TVC765" s="1207"/>
      <c r="TVD765" s="1207"/>
      <c r="TVE765" s="1207"/>
      <c r="TVF765" s="1207"/>
      <c r="TVG765" s="1207"/>
      <c r="TVH765" s="1207"/>
      <c r="TVI765" s="1207"/>
      <c r="TVJ765" s="1207"/>
      <c r="TVK765" s="1207"/>
      <c r="TVL765" s="1207"/>
      <c r="TVM765" s="1207"/>
      <c r="TVN765" s="1207"/>
      <c r="TVO765" s="1207"/>
      <c r="TVP765" s="1207"/>
      <c r="TVQ765" s="1207"/>
      <c r="TVR765" s="1207"/>
      <c r="TVS765" s="1207"/>
      <c r="TVT765" s="1207"/>
      <c r="TVU765" s="1207"/>
      <c r="TVV765" s="1207"/>
      <c r="TVW765" s="1207"/>
      <c r="TVX765" s="1207"/>
      <c r="TVY765" s="1207"/>
      <c r="TVZ765" s="1207"/>
      <c r="TWA765" s="1207"/>
      <c r="TWB765" s="1207"/>
      <c r="TWC765" s="1207"/>
      <c r="TWD765" s="1207"/>
      <c r="TWE765" s="1207"/>
      <c r="TWF765" s="1207"/>
      <c r="TWG765" s="1207"/>
      <c r="TWH765" s="1207"/>
      <c r="TWI765" s="1207"/>
      <c r="TWJ765" s="1207"/>
      <c r="TWK765" s="1207"/>
      <c r="TWL765" s="1207"/>
      <c r="TWM765" s="1207"/>
      <c r="TWN765" s="1207"/>
      <c r="TWO765" s="1207"/>
      <c r="TWP765" s="1207"/>
      <c r="TWQ765" s="1207"/>
      <c r="TWR765" s="1207"/>
      <c r="TWS765" s="1207"/>
      <c r="TWT765" s="1207"/>
      <c r="TWU765" s="1207"/>
      <c r="TWV765" s="1207"/>
      <c r="TWW765" s="1207"/>
      <c r="TWX765" s="1207"/>
      <c r="TWY765" s="1207"/>
      <c r="TWZ765" s="1207"/>
      <c r="TXA765" s="1207"/>
      <c r="TXB765" s="1207"/>
      <c r="TXC765" s="1207"/>
      <c r="TXD765" s="1207"/>
      <c r="TXE765" s="1207"/>
      <c r="TXF765" s="1207"/>
      <c r="TXG765" s="1207"/>
      <c r="TXH765" s="1207"/>
      <c r="TXI765" s="1207"/>
      <c r="TXJ765" s="1207"/>
      <c r="TXK765" s="1207"/>
      <c r="TXL765" s="1207"/>
      <c r="TXM765" s="1207"/>
      <c r="TXN765" s="1207"/>
      <c r="TXO765" s="1207"/>
      <c r="TXP765" s="1207"/>
      <c r="TXQ765" s="1207"/>
      <c r="TXR765" s="1207"/>
      <c r="TXS765" s="1207"/>
      <c r="TXT765" s="1207"/>
      <c r="TXU765" s="1207"/>
      <c r="TXV765" s="1207"/>
      <c r="TXW765" s="1207"/>
      <c r="TXX765" s="1207"/>
      <c r="TXY765" s="1207"/>
      <c r="TXZ765" s="1207"/>
      <c r="TYA765" s="1207"/>
      <c r="TYB765" s="1207"/>
      <c r="TYC765" s="1207"/>
      <c r="TYD765" s="1207"/>
      <c r="TYE765" s="1207"/>
      <c r="TYF765" s="1207"/>
      <c r="TYG765" s="1207"/>
      <c r="TYH765" s="1207"/>
      <c r="TYI765" s="1207"/>
      <c r="TYJ765" s="1207"/>
      <c r="TYK765" s="1207"/>
      <c r="TYL765" s="1207"/>
      <c r="TYM765" s="1207"/>
      <c r="TYN765" s="1207"/>
      <c r="TYO765" s="1207"/>
      <c r="TYP765" s="1207"/>
      <c r="TYQ765" s="1207"/>
      <c r="TYR765" s="1207"/>
      <c r="TYS765" s="1207"/>
      <c r="TYT765" s="1207"/>
      <c r="TYU765" s="1207"/>
      <c r="TYV765" s="1207"/>
      <c r="TYW765" s="1207"/>
      <c r="TYX765" s="1207"/>
      <c r="TYY765" s="1207"/>
      <c r="TYZ765" s="1207"/>
      <c r="TZA765" s="1207"/>
      <c r="TZB765" s="1207"/>
      <c r="TZC765" s="1207"/>
      <c r="TZD765" s="1207"/>
      <c r="TZE765" s="1207"/>
      <c r="TZF765" s="1207"/>
      <c r="TZG765" s="1207"/>
      <c r="TZH765" s="1207"/>
      <c r="TZI765" s="1207"/>
      <c r="TZJ765" s="1207"/>
      <c r="TZK765" s="1207"/>
      <c r="TZL765" s="1207"/>
      <c r="TZM765" s="1207"/>
      <c r="TZN765" s="1207"/>
      <c r="TZO765" s="1207"/>
      <c r="TZP765" s="1207"/>
      <c r="TZQ765" s="1207"/>
      <c r="TZR765" s="1207"/>
      <c r="TZS765" s="1207"/>
      <c r="TZT765" s="1207"/>
      <c r="TZU765" s="1207"/>
      <c r="TZV765" s="1207"/>
      <c r="TZW765" s="1207"/>
      <c r="TZX765" s="1207"/>
      <c r="TZY765" s="1207"/>
      <c r="TZZ765" s="1207"/>
      <c r="UAA765" s="1207"/>
      <c r="UAB765" s="1207"/>
      <c r="UAC765" s="1207"/>
      <c r="UAD765" s="1207"/>
      <c r="UAE765" s="1207"/>
      <c r="UAF765" s="1207"/>
      <c r="UAG765" s="1207"/>
      <c r="UAH765" s="1207"/>
      <c r="UAI765" s="1207"/>
      <c r="UAJ765" s="1207"/>
      <c r="UAK765" s="1207"/>
      <c r="UAL765" s="1207"/>
      <c r="UAM765" s="1207"/>
      <c r="UAN765" s="1207"/>
      <c r="UAO765" s="1207"/>
      <c r="UAP765" s="1207"/>
      <c r="UAQ765" s="1207"/>
      <c r="UAR765" s="1207"/>
      <c r="UAS765" s="1207"/>
      <c r="UAT765" s="1207"/>
      <c r="UAU765" s="1207"/>
      <c r="UAV765" s="1207"/>
      <c r="UAW765" s="1207"/>
      <c r="UAX765" s="1207"/>
      <c r="UAY765" s="1207"/>
      <c r="UAZ765" s="1207"/>
      <c r="UBA765" s="1207"/>
      <c r="UBB765" s="1207"/>
      <c r="UBC765" s="1207"/>
      <c r="UBD765" s="1207"/>
      <c r="UBE765" s="1207"/>
      <c r="UBF765" s="1207"/>
      <c r="UBG765" s="1207"/>
      <c r="UBH765" s="1207"/>
      <c r="UBI765" s="1207"/>
      <c r="UBJ765" s="1207"/>
      <c r="UBK765" s="1207"/>
      <c r="UBL765" s="1207"/>
      <c r="UBM765" s="1207"/>
      <c r="UBN765" s="1207"/>
      <c r="UBO765" s="1207"/>
      <c r="UBP765" s="1207"/>
      <c r="UBQ765" s="1207"/>
      <c r="UBR765" s="1207"/>
      <c r="UBS765" s="1207"/>
      <c r="UBT765" s="1207"/>
      <c r="UBU765" s="1207"/>
      <c r="UBV765" s="1207"/>
      <c r="UBW765" s="1207"/>
      <c r="UBX765" s="1207"/>
      <c r="UBY765" s="1207"/>
      <c r="UBZ765" s="1207"/>
      <c r="UCA765" s="1207"/>
      <c r="UCB765" s="1207"/>
      <c r="UCC765" s="1207"/>
      <c r="UCD765" s="1207"/>
      <c r="UCE765" s="1207"/>
      <c r="UCF765" s="1207"/>
      <c r="UCG765" s="1207"/>
      <c r="UCH765" s="1207"/>
      <c r="UCI765" s="1207"/>
      <c r="UCJ765" s="1207"/>
      <c r="UCK765" s="1207"/>
      <c r="UCL765" s="1207"/>
      <c r="UCM765" s="1207"/>
      <c r="UCN765" s="1207"/>
      <c r="UCO765" s="1207"/>
      <c r="UCP765" s="1207"/>
      <c r="UCQ765" s="1207"/>
      <c r="UCR765" s="1207"/>
      <c r="UCS765" s="1207"/>
      <c r="UCT765" s="1207"/>
      <c r="UCU765" s="1207"/>
      <c r="UCV765" s="1207"/>
      <c r="UCW765" s="1207"/>
      <c r="UCX765" s="1207"/>
      <c r="UCY765" s="1207"/>
      <c r="UCZ765" s="1207"/>
      <c r="UDA765" s="1207"/>
      <c r="UDB765" s="1207"/>
      <c r="UDC765" s="1207"/>
      <c r="UDD765" s="1207"/>
      <c r="UDE765" s="1207"/>
      <c r="UDF765" s="1207"/>
      <c r="UDG765" s="1207"/>
      <c r="UDH765" s="1207"/>
      <c r="UDI765" s="1207"/>
      <c r="UDJ765" s="1207"/>
      <c r="UDK765" s="1207"/>
      <c r="UDL765" s="1207"/>
      <c r="UDM765" s="1207"/>
      <c r="UDN765" s="1207"/>
      <c r="UDO765" s="1207"/>
      <c r="UDP765" s="1207"/>
      <c r="UDQ765" s="1207"/>
      <c r="UDR765" s="1207"/>
      <c r="UDS765" s="1207"/>
      <c r="UDT765" s="1207"/>
      <c r="UDU765" s="1207"/>
      <c r="UDV765" s="1207"/>
      <c r="UDW765" s="1207"/>
      <c r="UDX765" s="1207"/>
      <c r="UDY765" s="1207"/>
      <c r="UDZ765" s="1207"/>
      <c r="UEA765" s="1207"/>
      <c r="UEB765" s="1207"/>
      <c r="UEC765" s="1207"/>
      <c r="UED765" s="1207"/>
      <c r="UEE765" s="1207"/>
      <c r="UEF765" s="1207"/>
      <c r="UEG765" s="1207"/>
      <c r="UEH765" s="1207"/>
      <c r="UEI765" s="1207"/>
      <c r="UEJ765" s="1207"/>
      <c r="UEK765" s="1207"/>
      <c r="UEL765" s="1207"/>
      <c r="UEM765" s="1207"/>
      <c r="UEN765" s="1207"/>
      <c r="UEO765" s="1207"/>
      <c r="UEP765" s="1207"/>
      <c r="UEQ765" s="1207"/>
      <c r="UER765" s="1207"/>
      <c r="UES765" s="1207"/>
      <c r="UET765" s="1207"/>
      <c r="UEU765" s="1207"/>
      <c r="UEV765" s="1207"/>
      <c r="UEW765" s="1207"/>
      <c r="UEX765" s="1207"/>
      <c r="UEY765" s="1207"/>
      <c r="UEZ765" s="1207"/>
      <c r="UFA765" s="1207"/>
      <c r="UFB765" s="1207"/>
      <c r="UFC765" s="1207"/>
      <c r="UFD765" s="1207"/>
      <c r="UFE765" s="1207"/>
      <c r="UFF765" s="1207"/>
      <c r="UFG765" s="1207"/>
      <c r="UFH765" s="1207"/>
      <c r="UFI765" s="1207"/>
      <c r="UFJ765" s="1207"/>
      <c r="UFK765" s="1207"/>
      <c r="UFL765" s="1207"/>
      <c r="UFM765" s="1207"/>
      <c r="UFN765" s="1207"/>
      <c r="UFO765" s="1207"/>
      <c r="UFP765" s="1207"/>
      <c r="UFQ765" s="1207"/>
      <c r="UFR765" s="1207"/>
      <c r="UFS765" s="1207"/>
      <c r="UFT765" s="1207"/>
      <c r="UFU765" s="1207"/>
      <c r="UFV765" s="1207"/>
      <c r="UFW765" s="1207"/>
      <c r="UFX765" s="1207"/>
      <c r="UFY765" s="1207"/>
      <c r="UFZ765" s="1207"/>
      <c r="UGA765" s="1207"/>
      <c r="UGB765" s="1207"/>
      <c r="UGC765" s="1207"/>
      <c r="UGD765" s="1207"/>
      <c r="UGE765" s="1207"/>
      <c r="UGF765" s="1207"/>
      <c r="UGG765" s="1207"/>
      <c r="UGH765" s="1207"/>
      <c r="UGI765" s="1207"/>
      <c r="UGJ765" s="1207"/>
      <c r="UGK765" s="1207"/>
      <c r="UGL765" s="1207"/>
      <c r="UGM765" s="1207"/>
      <c r="UGN765" s="1207"/>
      <c r="UGO765" s="1207"/>
      <c r="UGP765" s="1207"/>
      <c r="UGQ765" s="1207"/>
      <c r="UGR765" s="1207"/>
      <c r="UGS765" s="1207"/>
      <c r="UGT765" s="1207"/>
      <c r="UGU765" s="1207"/>
      <c r="UGV765" s="1207"/>
      <c r="UGW765" s="1207"/>
      <c r="UGX765" s="1207"/>
      <c r="UGY765" s="1207"/>
      <c r="UGZ765" s="1207"/>
      <c r="UHA765" s="1207"/>
      <c r="UHB765" s="1207"/>
      <c r="UHC765" s="1207"/>
      <c r="UHD765" s="1207"/>
      <c r="UHE765" s="1207"/>
      <c r="UHF765" s="1207"/>
      <c r="UHG765" s="1207"/>
      <c r="UHH765" s="1207"/>
      <c r="UHI765" s="1207"/>
      <c r="UHJ765" s="1207"/>
      <c r="UHK765" s="1207"/>
      <c r="UHL765" s="1207"/>
      <c r="UHM765" s="1207"/>
      <c r="UHN765" s="1207"/>
      <c r="UHO765" s="1207"/>
      <c r="UHP765" s="1207"/>
      <c r="UHQ765" s="1207"/>
      <c r="UHR765" s="1207"/>
      <c r="UHS765" s="1207"/>
      <c r="UHT765" s="1207"/>
      <c r="UHU765" s="1207"/>
      <c r="UHV765" s="1207"/>
      <c r="UHW765" s="1207"/>
      <c r="UHX765" s="1207"/>
      <c r="UHY765" s="1207"/>
      <c r="UHZ765" s="1207"/>
      <c r="UIA765" s="1207"/>
      <c r="UIB765" s="1207"/>
      <c r="UIC765" s="1207"/>
      <c r="UID765" s="1207"/>
      <c r="UIE765" s="1207"/>
      <c r="UIF765" s="1207"/>
      <c r="UIG765" s="1207"/>
      <c r="UIH765" s="1207"/>
      <c r="UII765" s="1207"/>
      <c r="UIJ765" s="1207"/>
      <c r="UIK765" s="1207"/>
      <c r="UIL765" s="1207"/>
      <c r="UIM765" s="1207"/>
      <c r="UIN765" s="1207"/>
      <c r="UIO765" s="1207"/>
      <c r="UIP765" s="1207"/>
      <c r="UIQ765" s="1207"/>
      <c r="UIR765" s="1207"/>
      <c r="UIS765" s="1207"/>
      <c r="UIT765" s="1207"/>
      <c r="UIU765" s="1207"/>
      <c r="UIV765" s="1207"/>
      <c r="UIW765" s="1207"/>
      <c r="UIX765" s="1207"/>
      <c r="UIY765" s="1207"/>
      <c r="UIZ765" s="1207"/>
      <c r="UJA765" s="1207"/>
      <c r="UJB765" s="1207"/>
      <c r="UJC765" s="1207"/>
      <c r="UJD765" s="1207"/>
      <c r="UJE765" s="1207"/>
      <c r="UJF765" s="1207"/>
      <c r="UJG765" s="1207"/>
      <c r="UJH765" s="1207"/>
      <c r="UJI765" s="1207"/>
      <c r="UJJ765" s="1207"/>
      <c r="UJK765" s="1207"/>
      <c r="UJL765" s="1207"/>
      <c r="UJM765" s="1207"/>
      <c r="UJN765" s="1207"/>
      <c r="UJO765" s="1207"/>
      <c r="UJP765" s="1207"/>
      <c r="UJQ765" s="1207"/>
      <c r="UJR765" s="1207"/>
      <c r="UJS765" s="1207"/>
      <c r="UJT765" s="1207"/>
      <c r="UJU765" s="1207"/>
      <c r="UJV765" s="1207"/>
      <c r="UJW765" s="1207"/>
      <c r="UJX765" s="1207"/>
      <c r="UJY765" s="1207"/>
      <c r="UJZ765" s="1207"/>
      <c r="UKA765" s="1207"/>
      <c r="UKB765" s="1207"/>
      <c r="UKC765" s="1207"/>
      <c r="UKD765" s="1207"/>
      <c r="UKE765" s="1207"/>
      <c r="UKF765" s="1207"/>
      <c r="UKG765" s="1207"/>
      <c r="UKH765" s="1207"/>
      <c r="UKI765" s="1207"/>
      <c r="UKJ765" s="1207"/>
      <c r="UKK765" s="1207"/>
      <c r="UKL765" s="1207"/>
      <c r="UKM765" s="1207"/>
      <c r="UKN765" s="1207"/>
      <c r="UKO765" s="1207"/>
      <c r="UKP765" s="1207"/>
      <c r="UKQ765" s="1207"/>
      <c r="UKR765" s="1207"/>
      <c r="UKS765" s="1207"/>
      <c r="UKT765" s="1207"/>
      <c r="UKU765" s="1207"/>
      <c r="UKV765" s="1207"/>
      <c r="UKW765" s="1207"/>
      <c r="UKX765" s="1207"/>
      <c r="UKY765" s="1207"/>
      <c r="UKZ765" s="1207"/>
      <c r="ULA765" s="1207"/>
      <c r="ULB765" s="1207"/>
      <c r="ULC765" s="1207"/>
      <c r="ULD765" s="1207"/>
      <c r="ULE765" s="1207"/>
      <c r="ULF765" s="1207"/>
      <c r="ULG765" s="1207"/>
      <c r="ULH765" s="1207"/>
      <c r="ULI765" s="1207"/>
      <c r="ULJ765" s="1207"/>
      <c r="ULK765" s="1207"/>
      <c r="ULL765" s="1207"/>
      <c r="ULM765" s="1207"/>
      <c r="ULN765" s="1207"/>
      <c r="ULO765" s="1207"/>
      <c r="ULP765" s="1207"/>
      <c r="ULQ765" s="1207"/>
      <c r="ULR765" s="1207"/>
      <c r="ULS765" s="1207"/>
      <c r="ULT765" s="1207"/>
      <c r="ULU765" s="1207"/>
      <c r="ULV765" s="1207"/>
      <c r="ULW765" s="1207"/>
      <c r="ULX765" s="1207"/>
      <c r="ULY765" s="1207"/>
      <c r="ULZ765" s="1207"/>
      <c r="UMA765" s="1207"/>
      <c r="UMB765" s="1207"/>
      <c r="UMC765" s="1207"/>
      <c r="UMD765" s="1207"/>
      <c r="UME765" s="1207"/>
      <c r="UMF765" s="1207"/>
      <c r="UMG765" s="1207"/>
      <c r="UMH765" s="1207"/>
      <c r="UMI765" s="1207"/>
      <c r="UMJ765" s="1207"/>
      <c r="UMK765" s="1207"/>
      <c r="UML765" s="1207"/>
      <c r="UMM765" s="1207"/>
      <c r="UMN765" s="1207"/>
      <c r="UMO765" s="1207"/>
      <c r="UMP765" s="1207"/>
      <c r="UMQ765" s="1207"/>
      <c r="UMR765" s="1207"/>
      <c r="UMS765" s="1207"/>
      <c r="UMT765" s="1207"/>
      <c r="UMU765" s="1207"/>
      <c r="UMV765" s="1207"/>
      <c r="UMW765" s="1207"/>
      <c r="UMX765" s="1207"/>
      <c r="UMY765" s="1207"/>
      <c r="UMZ765" s="1207"/>
      <c r="UNA765" s="1207"/>
      <c r="UNB765" s="1207"/>
      <c r="UNC765" s="1207"/>
      <c r="UND765" s="1207"/>
      <c r="UNE765" s="1207"/>
      <c r="UNF765" s="1207"/>
      <c r="UNG765" s="1207"/>
      <c r="UNH765" s="1207"/>
      <c r="UNI765" s="1207"/>
      <c r="UNJ765" s="1207"/>
      <c r="UNK765" s="1207"/>
      <c r="UNL765" s="1207"/>
      <c r="UNM765" s="1207"/>
      <c r="UNN765" s="1207"/>
      <c r="UNO765" s="1207"/>
      <c r="UNP765" s="1207"/>
      <c r="UNQ765" s="1207"/>
      <c r="UNR765" s="1207"/>
      <c r="UNS765" s="1207"/>
      <c r="UNT765" s="1207"/>
      <c r="UNU765" s="1207"/>
      <c r="UNV765" s="1207"/>
      <c r="UNW765" s="1207"/>
      <c r="UNX765" s="1207"/>
      <c r="UNY765" s="1207"/>
      <c r="UNZ765" s="1207"/>
      <c r="UOA765" s="1207"/>
      <c r="UOB765" s="1207"/>
      <c r="UOC765" s="1207"/>
      <c r="UOD765" s="1207"/>
      <c r="UOE765" s="1207"/>
      <c r="UOF765" s="1207"/>
      <c r="UOG765" s="1207"/>
      <c r="UOH765" s="1207"/>
      <c r="UOI765" s="1207"/>
      <c r="UOJ765" s="1207"/>
      <c r="UOK765" s="1207"/>
      <c r="UOL765" s="1207"/>
      <c r="UOM765" s="1207"/>
      <c r="UON765" s="1207"/>
      <c r="UOO765" s="1207"/>
      <c r="UOP765" s="1207"/>
      <c r="UOQ765" s="1207"/>
      <c r="UOR765" s="1207"/>
      <c r="UOS765" s="1207"/>
      <c r="UOT765" s="1207"/>
      <c r="UOU765" s="1207"/>
      <c r="UOV765" s="1207"/>
      <c r="UOW765" s="1207"/>
      <c r="UOX765" s="1207"/>
      <c r="UOY765" s="1207"/>
      <c r="UOZ765" s="1207"/>
      <c r="UPA765" s="1207"/>
      <c r="UPB765" s="1207"/>
      <c r="UPC765" s="1207"/>
      <c r="UPD765" s="1207"/>
      <c r="UPE765" s="1207"/>
      <c r="UPF765" s="1207"/>
      <c r="UPG765" s="1207"/>
      <c r="UPH765" s="1207"/>
      <c r="UPI765" s="1207"/>
      <c r="UPJ765" s="1207"/>
      <c r="UPK765" s="1207"/>
      <c r="UPL765" s="1207"/>
      <c r="UPM765" s="1207"/>
      <c r="UPN765" s="1207"/>
      <c r="UPO765" s="1207"/>
      <c r="UPP765" s="1207"/>
      <c r="UPQ765" s="1207"/>
      <c r="UPR765" s="1207"/>
      <c r="UPS765" s="1207"/>
      <c r="UPT765" s="1207"/>
      <c r="UPU765" s="1207"/>
      <c r="UPV765" s="1207"/>
      <c r="UPW765" s="1207"/>
      <c r="UPX765" s="1207"/>
      <c r="UPY765" s="1207"/>
      <c r="UPZ765" s="1207"/>
      <c r="UQA765" s="1207"/>
      <c r="UQB765" s="1207"/>
      <c r="UQC765" s="1207"/>
      <c r="UQD765" s="1207"/>
      <c r="UQE765" s="1207"/>
      <c r="UQF765" s="1207"/>
      <c r="UQG765" s="1207"/>
      <c r="UQH765" s="1207"/>
      <c r="UQI765" s="1207"/>
      <c r="UQJ765" s="1207"/>
      <c r="UQK765" s="1207"/>
      <c r="UQL765" s="1207"/>
      <c r="UQM765" s="1207"/>
      <c r="UQN765" s="1207"/>
      <c r="UQO765" s="1207"/>
      <c r="UQP765" s="1207"/>
      <c r="UQQ765" s="1207"/>
      <c r="UQR765" s="1207"/>
      <c r="UQS765" s="1207"/>
      <c r="UQT765" s="1207"/>
      <c r="UQU765" s="1207"/>
      <c r="UQV765" s="1207"/>
      <c r="UQW765" s="1207"/>
      <c r="UQX765" s="1207"/>
      <c r="UQY765" s="1207"/>
      <c r="UQZ765" s="1207"/>
      <c r="URA765" s="1207"/>
      <c r="URB765" s="1207"/>
      <c r="URC765" s="1207"/>
      <c r="URD765" s="1207"/>
      <c r="URE765" s="1207"/>
      <c r="URF765" s="1207"/>
      <c r="URG765" s="1207"/>
      <c r="URH765" s="1207"/>
      <c r="URI765" s="1207"/>
      <c r="URJ765" s="1207"/>
      <c r="URK765" s="1207"/>
      <c r="URL765" s="1207"/>
      <c r="URM765" s="1207"/>
      <c r="URN765" s="1207"/>
      <c r="URO765" s="1207"/>
      <c r="URP765" s="1207"/>
      <c r="URQ765" s="1207"/>
      <c r="URR765" s="1207"/>
      <c r="URS765" s="1207"/>
      <c r="URT765" s="1207"/>
      <c r="URU765" s="1207"/>
      <c r="URV765" s="1207"/>
      <c r="URW765" s="1207"/>
      <c r="URX765" s="1207"/>
      <c r="URY765" s="1207"/>
      <c r="URZ765" s="1207"/>
      <c r="USA765" s="1207"/>
      <c r="USB765" s="1207"/>
      <c r="USC765" s="1207"/>
      <c r="USD765" s="1207"/>
      <c r="USE765" s="1207"/>
      <c r="USF765" s="1207"/>
      <c r="USG765" s="1207"/>
      <c r="USH765" s="1207"/>
      <c r="USI765" s="1207"/>
      <c r="USJ765" s="1207"/>
      <c r="USK765" s="1207"/>
      <c r="USL765" s="1207"/>
      <c r="USM765" s="1207"/>
      <c r="USN765" s="1207"/>
      <c r="USO765" s="1207"/>
      <c r="USP765" s="1207"/>
      <c r="USQ765" s="1207"/>
      <c r="USR765" s="1207"/>
      <c r="USS765" s="1207"/>
      <c r="UST765" s="1207"/>
      <c r="USU765" s="1207"/>
      <c r="USV765" s="1207"/>
      <c r="USW765" s="1207"/>
      <c r="USX765" s="1207"/>
      <c r="USY765" s="1207"/>
      <c r="USZ765" s="1207"/>
      <c r="UTA765" s="1207"/>
      <c r="UTB765" s="1207"/>
      <c r="UTC765" s="1207"/>
      <c r="UTD765" s="1207"/>
      <c r="UTE765" s="1207"/>
      <c r="UTF765" s="1207"/>
      <c r="UTG765" s="1207"/>
      <c r="UTH765" s="1207"/>
      <c r="UTI765" s="1207"/>
      <c r="UTJ765" s="1207"/>
      <c r="UTK765" s="1207"/>
      <c r="UTL765" s="1207"/>
      <c r="UTM765" s="1207"/>
      <c r="UTN765" s="1207"/>
      <c r="UTO765" s="1207"/>
      <c r="UTP765" s="1207"/>
      <c r="UTQ765" s="1207"/>
      <c r="UTR765" s="1207"/>
      <c r="UTS765" s="1207"/>
      <c r="UTT765" s="1207"/>
      <c r="UTU765" s="1207"/>
      <c r="UTV765" s="1207"/>
      <c r="UTW765" s="1207"/>
      <c r="UTX765" s="1207"/>
      <c r="UTY765" s="1207"/>
      <c r="UTZ765" s="1207"/>
      <c r="UUA765" s="1207"/>
      <c r="UUB765" s="1207"/>
      <c r="UUC765" s="1207"/>
      <c r="UUD765" s="1207"/>
      <c r="UUE765" s="1207"/>
      <c r="UUF765" s="1207"/>
      <c r="UUG765" s="1207"/>
      <c r="UUH765" s="1207"/>
      <c r="UUI765" s="1207"/>
      <c r="UUJ765" s="1207"/>
      <c r="UUK765" s="1207"/>
      <c r="UUL765" s="1207"/>
      <c r="UUM765" s="1207"/>
      <c r="UUN765" s="1207"/>
      <c r="UUO765" s="1207"/>
      <c r="UUP765" s="1207"/>
      <c r="UUQ765" s="1207"/>
      <c r="UUR765" s="1207"/>
      <c r="UUS765" s="1207"/>
      <c r="UUT765" s="1207"/>
      <c r="UUU765" s="1207"/>
      <c r="UUV765" s="1207"/>
      <c r="UUW765" s="1207"/>
      <c r="UUX765" s="1207"/>
      <c r="UUY765" s="1207"/>
      <c r="UUZ765" s="1207"/>
      <c r="UVA765" s="1207"/>
      <c r="UVB765" s="1207"/>
      <c r="UVC765" s="1207"/>
      <c r="UVD765" s="1207"/>
      <c r="UVE765" s="1207"/>
      <c r="UVF765" s="1207"/>
      <c r="UVG765" s="1207"/>
      <c r="UVH765" s="1207"/>
      <c r="UVI765" s="1207"/>
      <c r="UVJ765" s="1207"/>
      <c r="UVK765" s="1207"/>
      <c r="UVL765" s="1207"/>
      <c r="UVM765" s="1207"/>
      <c r="UVN765" s="1207"/>
      <c r="UVO765" s="1207"/>
      <c r="UVP765" s="1207"/>
      <c r="UVQ765" s="1207"/>
      <c r="UVR765" s="1207"/>
      <c r="UVS765" s="1207"/>
      <c r="UVT765" s="1207"/>
      <c r="UVU765" s="1207"/>
      <c r="UVV765" s="1207"/>
      <c r="UVW765" s="1207"/>
      <c r="UVX765" s="1207"/>
      <c r="UVY765" s="1207"/>
      <c r="UVZ765" s="1207"/>
      <c r="UWA765" s="1207"/>
      <c r="UWB765" s="1207"/>
      <c r="UWC765" s="1207"/>
      <c r="UWD765" s="1207"/>
      <c r="UWE765" s="1207"/>
      <c r="UWF765" s="1207"/>
      <c r="UWG765" s="1207"/>
      <c r="UWH765" s="1207"/>
      <c r="UWI765" s="1207"/>
      <c r="UWJ765" s="1207"/>
      <c r="UWK765" s="1207"/>
      <c r="UWL765" s="1207"/>
      <c r="UWM765" s="1207"/>
      <c r="UWN765" s="1207"/>
      <c r="UWO765" s="1207"/>
      <c r="UWP765" s="1207"/>
      <c r="UWQ765" s="1207"/>
      <c r="UWR765" s="1207"/>
      <c r="UWS765" s="1207"/>
      <c r="UWT765" s="1207"/>
      <c r="UWU765" s="1207"/>
      <c r="UWV765" s="1207"/>
      <c r="UWW765" s="1207"/>
      <c r="UWX765" s="1207"/>
      <c r="UWY765" s="1207"/>
      <c r="UWZ765" s="1207"/>
      <c r="UXA765" s="1207"/>
      <c r="UXB765" s="1207"/>
      <c r="UXC765" s="1207"/>
      <c r="UXD765" s="1207"/>
      <c r="UXE765" s="1207"/>
      <c r="UXF765" s="1207"/>
      <c r="UXG765" s="1207"/>
      <c r="UXH765" s="1207"/>
      <c r="UXI765" s="1207"/>
      <c r="UXJ765" s="1207"/>
      <c r="UXK765" s="1207"/>
      <c r="UXL765" s="1207"/>
      <c r="UXM765" s="1207"/>
      <c r="UXN765" s="1207"/>
      <c r="UXO765" s="1207"/>
      <c r="UXP765" s="1207"/>
      <c r="UXQ765" s="1207"/>
      <c r="UXR765" s="1207"/>
      <c r="UXS765" s="1207"/>
      <c r="UXT765" s="1207"/>
      <c r="UXU765" s="1207"/>
      <c r="UXV765" s="1207"/>
      <c r="UXW765" s="1207"/>
      <c r="UXX765" s="1207"/>
      <c r="UXY765" s="1207"/>
      <c r="UXZ765" s="1207"/>
      <c r="UYA765" s="1207"/>
      <c r="UYB765" s="1207"/>
      <c r="UYC765" s="1207"/>
      <c r="UYD765" s="1207"/>
      <c r="UYE765" s="1207"/>
      <c r="UYF765" s="1207"/>
      <c r="UYG765" s="1207"/>
      <c r="UYH765" s="1207"/>
      <c r="UYI765" s="1207"/>
      <c r="UYJ765" s="1207"/>
      <c r="UYK765" s="1207"/>
      <c r="UYL765" s="1207"/>
      <c r="UYM765" s="1207"/>
      <c r="UYN765" s="1207"/>
      <c r="UYO765" s="1207"/>
      <c r="UYP765" s="1207"/>
      <c r="UYQ765" s="1207"/>
      <c r="UYR765" s="1207"/>
      <c r="UYS765" s="1207"/>
      <c r="UYT765" s="1207"/>
      <c r="UYU765" s="1207"/>
      <c r="UYV765" s="1207"/>
      <c r="UYW765" s="1207"/>
      <c r="UYX765" s="1207"/>
      <c r="UYY765" s="1207"/>
      <c r="UYZ765" s="1207"/>
      <c r="UZA765" s="1207"/>
      <c r="UZB765" s="1207"/>
      <c r="UZC765" s="1207"/>
      <c r="UZD765" s="1207"/>
      <c r="UZE765" s="1207"/>
      <c r="UZF765" s="1207"/>
      <c r="UZG765" s="1207"/>
      <c r="UZH765" s="1207"/>
      <c r="UZI765" s="1207"/>
      <c r="UZJ765" s="1207"/>
      <c r="UZK765" s="1207"/>
      <c r="UZL765" s="1207"/>
      <c r="UZM765" s="1207"/>
      <c r="UZN765" s="1207"/>
      <c r="UZO765" s="1207"/>
      <c r="UZP765" s="1207"/>
      <c r="UZQ765" s="1207"/>
      <c r="UZR765" s="1207"/>
      <c r="UZS765" s="1207"/>
      <c r="UZT765" s="1207"/>
      <c r="UZU765" s="1207"/>
      <c r="UZV765" s="1207"/>
      <c r="UZW765" s="1207"/>
      <c r="UZX765" s="1207"/>
      <c r="UZY765" s="1207"/>
      <c r="UZZ765" s="1207"/>
      <c r="VAA765" s="1207"/>
      <c r="VAB765" s="1207"/>
      <c r="VAC765" s="1207"/>
      <c r="VAD765" s="1207"/>
      <c r="VAE765" s="1207"/>
      <c r="VAF765" s="1207"/>
      <c r="VAG765" s="1207"/>
      <c r="VAH765" s="1207"/>
      <c r="VAI765" s="1207"/>
      <c r="VAJ765" s="1207"/>
      <c r="VAK765" s="1207"/>
      <c r="VAL765" s="1207"/>
      <c r="VAM765" s="1207"/>
      <c r="VAN765" s="1207"/>
      <c r="VAO765" s="1207"/>
      <c r="VAP765" s="1207"/>
      <c r="VAQ765" s="1207"/>
      <c r="VAR765" s="1207"/>
      <c r="VAS765" s="1207"/>
      <c r="VAT765" s="1207"/>
      <c r="VAU765" s="1207"/>
      <c r="VAV765" s="1207"/>
      <c r="VAW765" s="1207"/>
      <c r="VAX765" s="1207"/>
      <c r="VAY765" s="1207"/>
      <c r="VAZ765" s="1207"/>
      <c r="VBA765" s="1207"/>
      <c r="VBB765" s="1207"/>
      <c r="VBC765" s="1207"/>
      <c r="VBD765" s="1207"/>
      <c r="VBE765" s="1207"/>
      <c r="VBF765" s="1207"/>
      <c r="VBG765" s="1207"/>
      <c r="VBH765" s="1207"/>
      <c r="VBI765" s="1207"/>
      <c r="VBJ765" s="1207"/>
      <c r="VBK765" s="1207"/>
      <c r="VBL765" s="1207"/>
      <c r="VBM765" s="1207"/>
      <c r="VBN765" s="1207"/>
      <c r="VBO765" s="1207"/>
      <c r="VBP765" s="1207"/>
      <c r="VBQ765" s="1207"/>
      <c r="VBR765" s="1207"/>
      <c r="VBS765" s="1207"/>
      <c r="VBT765" s="1207"/>
      <c r="VBU765" s="1207"/>
      <c r="VBV765" s="1207"/>
      <c r="VBW765" s="1207"/>
      <c r="VBX765" s="1207"/>
      <c r="VBY765" s="1207"/>
      <c r="VBZ765" s="1207"/>
      <c r="VCA765" s="1207"/>
      <c r="VCB765" s="1207"/>
      <c r="VCC765" s="1207"/>
      <c r="VCD765" s="1207"/>
      <c r="VCE765" s="1207"/>
      <c r="VCF765" s="1207"/>
      <c r="VCG765" s="1207"/>
      <c r="VCH765" s="1207"/>
      <c r="VCI765" s="1207"/>
      <c r="VCJ765" s="1207"/>
      <c r="VCK765" s="1207"/>
      <c r="VCL765" s="1207"/>
      <c r="VCM765" s="1207"/>
      <c r="VCN765" s="1207"/>
      <c r="VCO765" s="1207"/>
      <c r="VCP765" s="1207"/>
      <c r="VCQ765" s="1207"/>
      <c r="VCR765" s="1207"/>
      <c r="VCS765" s="1207"/>
      <c r="VCT765" s="1207"/>
      <c r="VCU765" s="1207"/>
      <c r="VCV765" s="1207"/>
      <c r="VCW765" s="1207"/>
      <c r="VCX765" s="1207"/>
      <c r="VCY765" s="1207"/>
      <c r="VCZ765" s="1207"/>
      <c r="VDA765" s="1207"/>
      <c r="VDB765" s="1207"/>
      <c r="VDC765" s="1207"/>
      <c r="VDD765" s="1207"/>
      <c r="VDE765" s="1207"/>
      <c r="VDF765" s="1207"/>
      <c r="VDG765" s="1207"/>
      <c r="VDH765" s="1207"/>
      <c r="VDI765" s="1207"/>
      <c r="VDJ765" s="1207"/>
      <c r="VDK765" s="1207"/>
      <c r="VDL765" s="1207"/>
      <c r="VDM765" s="1207"/>
      <c r="VDN765" s="1207"/>
      <c r="VDO765" s="1207"/>
      <c r="VDP765" s="1207"/>
      <c r="VDQ765" s="1207"/>
      <c r="VDR765" s="1207"/>
      <c r="VDS765" s="1207"/>
      <c r="VDT765" s="1207"/>
      <c r="VDU765" s="1207"/>
      <c r="VDV765" s="1207"/>
      <c r="VDW765" s="1207"/>
      <c r="VDX765" s="1207"/>
      <c r="VDY765" s="1207"/>
      <c r="VDZ765" s="1207"/>
      <c r="VEA765" s="1207"/>
      <c r="VEB765" s="1207"/>
      <c r="VEC765" s="1207"/>
      <c r="VED765" s="1207"/>
      <c r="VEE765" s="1207"/>
      <c r="VEF765" s="1207"/>
      <c r="VEG765" s="1207"/>
      <c r="VEH765" s="1207"/>
      <c r="VEI765" s="1207"/>
      <c r="VEJ765" s="1207"/>
      <c r="VEK765" s="1207"/>
      <c r="VEL765" s="1207"/>
      <c r="VEM765" s="1207"/>
      <c r="VEN765" s="1207"/>
      <c r="VEO765" s="1207"/>
      <c r="VEP765" s="1207"/>
      <c r="VEQ765" s="1207"/>
      <c r="VER765" s="1207"/>
      <c r="VES765" s="1207"/>
      <c r="VET765" s="1207"/>
      <c r="VEU765" s="1207"/>
      <c r="VEV765" s="1207"/>
      <c r="VEW765" s="1207"/>
      <c r="VEX765" s="1207"/>
      <c r="VEY765" s="1207"/>
      <c r="VEZ765" s="1207"/>
      <c r="VFA765" s="1207"/>
      <c r="VFB765" s="1207"/>
      <c r="VFC765" s="1207"/>
      <c r="VFD765" s="1207"/>
      <c r="VFE765" s="1207"/>
      <c r="VFF765" s="1207"/>
      <c r="VFG765" s="1207"/>
      <c r="VFH765" s="1207"/>
      <c r="VFI765" s="1207"/>
      <c r="VFJ765" s="1207"/>
      <c r="VFK765" s="1207"/>
      <c r="VFL765" s="1207"/>
      <c r="VFM765" s="1207"/>
      <c r="VFN765" s="1207"/>
      <c r="VFO765" s="1207"/>
      <c r="VFP765" s="1207"/>
      <c r="VFQ765" s="1207"/>
      <c r="VFR765" s="1207"/>
      <c r="VFS765" s="1207"/>
      <c r="VFT765" s="1207"/>
      <c r="VFU765" s="1207"/>
      <c r="VFV765" s="1207"/>
      <c r="VFW765" s="1207"/>
      <c r="VFX765" s="1207"/>
      <c r="VFY765" s="1207"/>
      <c r="VFZ765" s="1207"/>
      <c r="VGA765" s="1207"/>
      <c r="VGB765" s="1207"/>
      <c r="VGC765" s="1207"/>
      <c r="VGD765" s="1207"/>
      <c r="VGE765" s="1207"/>
      <c r="VGF765" s="1207"/>
      <c r="VGG765" s="1207"/>
      <c r="VGH765" s="1207"/>
      <c r="VGI765" s="1207"/>
      <c r="VGJ765" s="1207"/>
      <c r="VGK765" s="1207"/>
      <c r="VGL765" s="1207"/>
      <c r="VGM765" s="1207"/>
      <c r="VGN765" s="1207"/>
      <c r="VGO765" s="1207"/>
      <c r="VGP765" s="1207"/>
      <c r="VGQ765" s="1207"/>
      <c r="VGR765" s="1207"/>
      <c r="VGS765" s="1207"/>
      <c r="VGT765" s="1207"/>
      <c r="VGU765" s="1207"/>
      <c r="VGV765" s="1207"/>
      <c r="VGW765" s="1207"/>
      <c r="VGX765" s="1207"/>
      <c r="VGY765" s="1207"/>
      <c r="VGZ765" s="1207"/>
      <c r="VHA765" s="1207"/>
      <c r="VHB765" s="1207"/>
      <c r="VHC765" s="1207"/>
      <c r="VHD765" s="1207"/>
      <c r="VHE765" s="1207"/>
      <c r="VHF765" s="1207"/>
      <c r="VHG765" s="1207"/>
      <c r="VHH765" s="1207"/>
      <c r="VHI765" s="1207"/>
      <c r="VHJ765" s="1207"/>
      <c r="VHK765" s="1207"/>
      <c r="VHL765" s="1207"/>
      <c r="VHM765" s="1207"/>
      <c r="VHN765" s="1207"/>
      <c r="VHO765" s="1207"/>
      <c r="VHP765" s="1207"/>
      <c r="VHQ765" s="1207"/>
      <c r="VHR765" s="1207"/>
      <c r="VHS765" s="1207"/>
      <c r="VHT765" s="1207"/>
      <c r="VHU765" s="1207"/>
      <c r="VHV765" s="1207"/>
      <c r="VHW765" s="1207"/>
      <c r="VHX765" s="1207"/>
      <c r="VHY765" s="1207"/>
      <c r="VHZ765" s="1207"/>
      <c r="VIA765" s="1207"/>
      <c r="VIB765" s="1207"/>
      <c r="VIC765" s="1207"/>
      <c r="VID765" s="1207"/>
      <c r="VIE765" s="1207"/>
      <c r="VIF765" s="1207"/>
      <c r="VIG765" s="1207"/>
      <c r="VIH765" s="1207"/>
      <c r="VII765" s="1207"/>
      <c r="VIJ765" s="1207"/>
      <c r="VIK765" s="1207"/>
      <c r="VIL765" s="1207"/>
      <c r="VIM765" s="1207"/>
      <c r="VIN765" s="1207"/>
      <c r="VIO765" s="1207"/>
      <c r="VIP765" s="1207"/>
      <c r="VIQ765" s="1207"/>
      <c r="VIR765" s="1207"/>
      <c r="VIS765" s="1207"/>
      <c r="VIT765" s="1207"/>
      <c r="VIU765" s="1207"/>
      <c r="VIV765" s="1207"/>
      <c r="VIW765" s="1207"/>
      <c r="VIX765" s="1207"/>
      <c r="VIY765" s="1207"/>
      <c r="VIZ765" s="1207"/>
      <c r="VJA765" s="1207"/>
      <c r="VJB765" s="1207"/>
      <c r="VJC765" s="1207"/>
      <c r="VJD765" s="1207"/>
      <c r="VJE765" s="1207"/>
      <c r="VJF765" s="1207"/>
      <c r="VJG765" s="1207"/>
      <c r="VJH765" s="1207"/>
      <c r="VJI765" s="1207"/>
      <c r="VJJ765" s="1207"/>
      <c r="VJK765" s="1207"/>
      <c r="VJL765" s="1207"/>
      <c r="VJM765" s="1207"/>
      <c r="VJN765" s="1207"/>
      <c r="VJO765" s="1207"/>
      <c r="VJP765" s="1207"/>
      <c r="VJQ765" s="1207"/>
      <c r="VJR765" s="1207"/>
      <c r="VJS765" s="1207"/>
      <c r="VJT765" s="1207"/>
      <c r="VJU765" s="1207"/>
      <c r="VJV765" s="1207"/>
      <c r="VJW765" s="1207"/>
      <c r="VJX765" s="1207"/>
      <c r="VJY765" s="1207"/>
      <c r="VJZ765" s="1207"/>
      <c r="VKA765" s="1207"/>
      <c r="VKB765" s="1207"/>
      <c r="VKC765" s="1207"/>
      <c r="VKD765" s="1207"/>
      <c r="VKE765" s="1207"/>
      <c r="VKF765" s="1207"/>
      <c r="VKG765" s="1207"/>
      <c r="VKH765" s="1207"/>
      <c r="VKI765" s="1207"/>
      <c r="VKJ765" s="1207"/>
      <c r="VKK765" s="1207"/>
      <c r="VKL765" s="1207"/>
      <c r="VKM765" s="1207"/>
      <c r="VKN765" s="1207"/>
      <c r="VKO765" s="1207"/>
      <c r="VKP765" s="1207"/>
      <c r="VKQ765" s="1207"/>
      <c r="VKR765" s="1207"/>
      <c r="VKS765" s="1207"/>
      <c r="VKT765" s="1207"/>
      <c r="VKU765" s="1207"/>
      <c r="VKV765" s="1207"/>
      <c r="VKW765" s="1207"/>
      <c r="VKX765" s="1207"/>
      <c r="VKY765" s="1207"/>
      <c r="VKZ765" s="1207"/>
      <c r="VLA765" s="1207"/>
      <c r="VLB765" s="1207"/>
      <c r="VLC765" s="1207"/>
      <c r="VLD765" s="1207"/>
      <c r="VLE765" s="1207"/>
      <c r="VLF765" s="1207"/>
      <c r="VLG765" s="1207"/>
      <c r="VLH765" s="1207"/>
      <c r="VLI765" s="1207"/>
      <c r="VLJ765" s="1207"/>
      <c r="VLK765" s="1207"/>
      <c r="VLL765" s="1207"/>
      <c r="VLM765" s="1207"/>
      <c r="VLN765" s="1207"/>
      <c r="VLO765" s="1207"/>
      <c r="VLP765" s="1207"/>
      <c r="VLQ765" s="1207"/>
      <c r="VLR765" s="1207"/>
      <c r="VLS765" s="1207"/>
      <c r="VLT765" s="1207"/>
      <c r="VLU765" s="1207"/>
      <c r="VLV765" s="1207"/>
      <c r="VLW765" s="1207"/>
      <c r="VLX765" s="1207"/>
      <c r="VLY765" s="1207"/>
      <c r="VLZ765" s="1207"/>
      <c r="VMA765" s="1207"/>
      <c r="VMB765" s="1207"/>
      <c r="VMC765" s="1207"/>
      <c r="VMD765" s="1207"/>
      <c r="VME765" s="1207"/>
      <c r="VMF765" s="1207"/>
      <c r="VMG765" s="1207"/>
      <c r="VMH765" s="1207"/>
      <c r="VMI765" s="1207"/>
      <c r="VMJ765" s="1207"/>
      <c r="VMK765" s="1207"/>
      <c r="VML765" s="1207"/>
      <c r="VMM765" s="1207"/>
      <c r="VMN765" s="1207"/>
      <c r="VMO765" s="1207"/>
      <c r="VMP765" s="1207"/>
      <c r="VMQ765" s="1207"/>
      <c r="VMR765" s="1207"/>
      <c r="VMS765" s="1207"/>
      <c r="VMT765" s="1207"/>
      <c r="VMU765" s="1207"/>
      <c r="VMV765" s="1207"/>
      <c r="VMW765" s="1207"/>
      <c r="VMX765" s="1207"/>
      <c r="VMY765" s="1207"/>
      <c r="VMZ765" s="1207"/>
      <c r="VNA765" s="1207"/>
      <c r="VNB765" s="1207"/>
      <c r="VNC765" s="1207"/>
      <c r="VND765" s="1207"/>
      <c r="VNE765" s="1207"/>
      <c r="VNF765" s="1207"/>
      <c r="VNG765" s="1207"/>
      <c r="VNH765" s="1207"/>
      <c r="VNI765" s="1207"/>
      <c r="VNJ765" s="1207"/>
      <c r="VNK765" s="1207"/>
      <c r="VNL765" s="1207"/>
      <c r="VNM765" s="1207"/>
      <c r="VNN765" s="1207"/>
      <c r="VNO765" s="1207"/>
      <c r="VNP765" s="1207"/>
      <c r="VNQ765" s="1207"/>
      <c r="VNR765" s="1207"/>
      <c r="VNS765" s="1207"/>
      <c r="VNT765" s="1207"/>
      <c r="VNU765" s="1207"/>
      <c r="VNV765" s="1207"/>
      <c r="VNW765" s="1207"/>
      <c r="VNX765" s="1207"/>
      <c r="VNY765" s="1207"/>
      <c r="VNZ765" s="1207"/>
      <c r="VOA765" s="1207"/>
      <c r="VOB765" s="1207"/>
      <c r="VOC765" s="1207"/>
      <c r="VOD765" s="1207"/>
      <c r="VOE765" s="1207"/>
      <c r="VOF765" s="1207"/>
      <c r="VOG765" s="1207"/>
      <c r="VOH765" s="1207"/>
      <c r="VOI765" s="1207"/>
      <c r="VOJ765" s="1207"/>
      <c r="VOK765" s="1207"/>
      <c r="VOL765" s="1207"/>
      <c r="VOM765" s="1207"/>
      <c r="VON765" s="1207"/>
      <c r="VOO765" s="1207"/>
      <c r="VOP765" s="1207"/>
      <c r="VOQ765" s="1207"/>
      <c r="VOR765" s="1207"/>
      <c r="VOS765" s="1207"/>
      <c r="VOT765" s="1207"/>
      <c r="VOU765" s="1207"/>
      <c r="VOV765" s="1207"/>
      <c r="VOW765" s="1207"/>
      <c r="VOX765" s="1207"/>
      <c r="VOY765" s="1207"/>
      <c r="VOZ765" s="1207"/>
      <c r="VPA765" s="1207"/>
      <c r="VPB765" s="1207"/>
      <c r="VPC765" s="1207"/>
      <c r="VPD765" s="1207"/>
      <c r="VPE765" s="1207"/>
      <c r="VPF765" s="1207"/>
      <c r="VPG765" s="1207"/>
      <c r="VPH765" s="1207"/>
      <c r="VPI765" s="1207"/>
      <c r="VPJ765" s="1207"/>
      <c r="VPK765" s="1207"/>
      <c r="VPL765" s="1207"/>
      <c r="VPM765" s="1207"/>
      <c r="VPN765" s="1207"/>
      <c r="VPO765" s="1207"/>
      <c r="VPP765" s="1207"/>
      <c r="VPQ765" s="1207"/>
      <c r="VPR765" s="1207"/>
      <c r="VPS765" s="1207"/>
      <c r="VPT765" s="1207"/>
      <c r="VPU765" s="1207"/>
      <c r="VPV765" s="1207"/>
      <c r="VPW765" s="1207"/>
      <c r="VPX765" s="1207"/>
      <c r="VPY765" s="1207"/>
      <c r="VPZ765" s="1207"/>
      <c r="VQA765" s="1207"/>
      <c r="VQB765" s="1207"/>
      <c r="VQC765" s="1207"/>
      <c r="VQD765" s="1207"/>
      <c r="VQE765" s="1207"/>
      <c r="VQF765" s="1207"/>
      <c r="VQG765" s="1207"/>
      <c r="VQH765" s="1207"/>
      <c r="VQI765" s="1207"/>
      <c r="VQJ765" s="1207"/>
      <c r="VQK765" s="1207"/>
      <c r="VQL765" s="1207"/>
      <c r="VQM765" s="1207"/>
      <c r="VQN765" s="1207"/>
      <c r="VQO765" s="1207"/>
      <c r="VQP765" s="1207"/>
      <c r="VQQ765" s="1207"/>
      <c r="VQR765" s="1207"/>
      <c r="VQS765" s="1207"/>
      <c r="VQT765" s="1207"/>
      <c r="VQU765" s="1207"/>
      <c r="VQV765" s="1207"/>
      <c r="VQW765" s="1207"/>
      <c r="VQX765" s="1207"/>
      <c r="VQY765" s="1207"/>
      <c r="VQZ765" s="1207"/>
      <c r="VRA765" s="1207"/>
      <c r="VRB765" s="1207"/>
      <c r="VRC765" s="1207"/>
      <c r="VRD765" s="1207"/>
      <c r="VRE765" s="1207"/>
      <c r="VRF765" s="1207"/>
      <c r="VRG765" s="1207"/>
      <c r="VRH765" s="1207"/>
      <c r="VRI765" s="1207"/>
      <c r="VRJ765" s="1207"/>
      <c r="VRK765" s="1207"/>
      <c r="VRL765" s="1207"/>
      <c r="VRM765" s="1207"/>
      <c r="VRN765" s="1207"/>
      <c r="VRO765" s="1207"/>
      <c r="VRP765" s="1207"/>
      <c r="VRQ765" s="1207"/>
      <c r="VRR765" s="1207"/>
      <c r="VRS765" s="1207"/>
      <c r="VRT765" s="1207"/>
      <c r="VRU765" s="1207"/>
      <c r="VRV765" s="1207"/>
      <c r="VRW765" s="1207"/>
      <c r="VRX765" s="1207"/>
      <c r="VRY765" s="1207"/>
      <c r="VRZ765" s="1207"/>
      <c r="VSA765" s="1207"/>
      <c r="VSB765" s="1207"/>
      <c r="VSC765" s="1207"/>
      <c r="VSD765" s="1207"/>
      <c r="VSE765" s="1207"/>
      <c r="VSF765" s="1207"/>
      <c r="VSG765" s="1207"/>
      <c r="VSH765" s="1207"/>
      <c r="VSI765" s="1207"/>
      <c r="VSJ765" s="1207"/>
      <c r="VSK765" s="1207"/>
      <c r="VSL765" s="1207"/>
      <c r="VSM765" s="1207"/>
      <c r="VSN765" s="1207"/>
      <c r="VSO765" s="1207"/>
      <c r="VSP765" s="1207"/>
      <c r="VSQ765" s="1207"/>
      <c r="VSR765" s="1207"/>
      <c r="VSS765" s="1207"/>
      <c r="VST765" s="1207"/>
      <c r="VSU765" s="1207"/>
      <c r="VSV765" s="1207"/>
      <c r="VSW765" s="1207"/>
      <c r="VSX765" s="1207"/>
      <c r="VSY765" s="1207"/>
      <c r="VSZ765" s="1207"/>
      <c r="VTA765" s="1207"/>
      <c r="VTB765" s="1207"/>
      <c r="VTC765" s="1207"/>
      <c r="VTD765" s="1207"/>
      <c r="VTE765" s="1207"/>
      <c r="VTF765" s="1207"/>
      <c r="VTG765" s="1207"/>
      <c r="VTH765" s="1207"/>
      <c r="VTI765" s="1207"/>
      <c r="VTJ765" s="1207"/>
      <c r="VTK765" s="1207"/>
      <c r="VTL765" s="1207"/>
      <c r="VTM765" s="1207"/>
      <c r="VTN765" s="1207"/>
      <c r="VTO765" s="1207"/>
      <c r="VTP765" s="1207"/>
      <c r="VTQ765" s="1207"/>
      <c r="VTR765" s="1207"/>
      <c r="VTS765" s="1207"/>
      <c r="VTT765" s="1207"/>
      <c r="VTU765" s="1207"/>
      <c r="VTV765" s="1207"/>
      <c r="VTW765" s="1207"/>
      <c r="VTX765" s="1207"/>
      <c r="VTY765" s="1207"/>
      <c r="VTZ765" s="1207"/>
      <c r="VUA765" s="1207"/>
      <c r="VUB765" s="1207"/>
      <c r="VUC765" s="1207"/>
      <c r="VUD765" s="1207"/>
      <c r="VUE765" s="1207"/>
      <c r="VUF765" s="1207"/>
      <c r="VUG765" s="1207"/>
      <c r="VUH765" s="1207"/>
      <c r="VUI765" s="1207"/>
      <c r="VUJ765" s="1207"/>
      <c r="VUK765" s="1207"/>
      <c r="VUL765" s="1207"/>
      <c r="VUM765" s="1207"/>
      <c r="VUN765" s="1207"/>
      <c r="VUO765" s="1207"/>
      <c r="VUP765" s="1207"/>
      <c r="VUQ765" s="1207"/>
      <c r="VUR765" s="1207"/>
      <c r="VUS765" s="1207"/>
      <c r="VUT765" s="1207"/>
      <c r="VUU765" s="1207"/>
      <c r="VUV765" s="1207"/>
      <c r="VUW765" s="1207"/>
      <c r="VUX765" s="1207"/>
      <c r="VUY765" s="1207"/>
      <c r="VUZ765" s="1207"/>
      <c r="VVA765" s="1207"/>
      <c r="VVB765" s="1207"/>
      <c r="VVC765" s="1207"/>
      <c r="VVD765" s="1207"/>
      <c r="VVE765" s="1207"/>
      <c r="VVF765" s="1207"/>
      <c r="VVG765" s="1207"/>
      <c r="VVH765" s="1207"/>
      <c r="VVI765" s="1207"/>
      <c r="VVJ765" s="1207"/>
      <c r="VVK765" s="1207"/>
      <c r="VVL765" s="1207"/>
      <c r="VVM765" s="1207"/>
      <c r="VVN765" s="1207"/>
      <c r="VVO765" s="1207"/>
      <c r="VVP765" s="1207"/>
      <c r="VVQ765" s="1207"/>
      <c r="VVR765" s="1207"/>
      <c r="VVS765" s="1207"/>
      <c r="VVT765" s="1207"/>
      <c r="VVU765" s="1207"/>
      <c r="VVV765" s="1207"/>
      <c r="VVW765" s="1207"/>
      <c r="VVX765" s="1207"/>
      <c r="VVY765" s="1207"/>
      <c r="VVZ765" s="1207"/>
      <c r="VWA765" s="1207"/>
      <c r="VWB765" s="1207"/>
      <c r="VWC765" s="1207"/>
      <c r="VWD765" s="1207"/>
      <c r="VWE765" s="1207"/>
      <c r="VWF765" s="1207"/>
      <c r="VWG765" s="1207"/>
      <c r="VWH765" s="1207"/>
      <c r="VWI765" s="1207"/>
      <c r="VWJ765" s="1207"/>
      <c r="VWK765" s="1207"/>
      <c r="VWL765" s="1207"/>
      <c r="VWM765" s="1207"/>
      <c r="VWN765" s="1207"/>
      <c r="VWO765" s="1207"/>
      <c r="VWP765" s="1207"/>
      <c r="VWQ765" s="1207"/>
      <c r="VWR765" s="1207"/>
      <c r="VWS765" s="1207"/>
      <c r="VWT765" s="1207"/>
      <c r="VWU765" s="1207"/>
      <c r="VWV765" s="1207"/>
      <c r="VWW765" s="1207"/>
      <c r="VWX765" s="1207"/>
      <c r="VWY765" s="1207"/>
      <c r="VWZ765" s="1207"/>
      <c r="VXA765" s="1207"/>
      <c r="VXB765" s="1207"/>
      <c r="VXC765" s="1207"/>
      <c r="VXD765" s="1207"/>
      <c r="VXE765" s="1207"/>
      <c r="VXF765" s="1207"/>
      <c r="VXG765" s="1207"/>
      <c r="VXH765" s="1207"/>
      <c r="VXI765" s="1207"/>
      <c r="VXJ765" s="1207"/>
      <c r="VXK765" s="1207"/>
      <c r="VXL765" s="1207"/>
      <c r="VXM765" s="1207"/>
      <c r="VXN765" s="1207"/>
      <c r="VXO765" s="1207"/>
      <c r="VXP765" s="1207"/>
      <c r="VXQ765" s="1207"/>
      <c r="VXR765" s="1207"/>
      <c r="VXS765" s="1207"/>
      <c r="VXT765" s="1207"/>
      <c r="VXU765" s="1207"/>
      <c r="VXV765" s="1207"/>
      <c r="VXW765" s="1207"/>
      <c r="VXX765" s="1207"/>
      <c r="VXY765" s="1207"/>
      <c r="VXZ765" s="1207"/>
      <c r="VYA765" s="1207"/>
      <c r="VYB765" s="1207"/>
      <c r="VYC765" s="1207"/>
      <c r="VYD765" s="1207"/>
      <c r="VYE765" s="1207"/>
      <c r="VYF765" s="1207"/>
      <c r="VYG765" s="1207"/>
      <c r="VYH765" s="1207"/>
      <c r="VYI765" s="1207"/>
      <c r="VYJ765" s="1207"/>
      <c r="VYK765" s="1207"/>
      <c r="VYL765" s="1207"/>
      <c r="VYM765" s="1207"/>
      <c r="VYN765" s="1207"/>
      <c r="VYO765" s="1207"/>
      <c r="VYP765" s="1207"/>
      <c r="VYQ765" s="1207"/>
      <c r="VYR765" s="1207"/>
      <c r="VYS765" s="1207"/>
      <c r="VYT765" s="1207"/>
      <c r="VYU765" s="1207"/>
      <c r="VYV765" s="1207"/>
      <c r="VYW765" s="1207"/>
      <c r="VYX765" s="1207"/>
      <c r="VYY765" s="1207"/>
      <c r="VYZ765" s="1207"/>
      <c r="VZA765" s="1207"/>
      <c r="VZB765" s="1207"/>
      <c r="VZC765" s="1207"/>
      <c r="VZD765" s="1207"/>
      <c r="VZE765" s="1207"/>
      <c r="VZF765" s="1207"/>
      <c r="VZG765" s="1207"/>
      <c r="VZH765" s="1207"/>
      <c r="VZI765" s="1207"/>
      <c r="VZJ765" s="1207"/>
      <c r="VZK765" s="1207"/>
      <c r="VZL765" s="1207"/>
      <c r="VZM765" s="1207"/>
      <c r="VZN765" s="1207"/>
      <c r="VZO765" s="1207"/>
      <c r="VZP765" s="1207"/>
      <c r="VZQ765" s="1207"/>
      <c r="VZR765" s="1207"/>
      <c r="VZS765" s="1207"/>
      <c r="VZT765" s="1207"/>
      <c r="VZU765" s="1207"/>
      <c r="VZV765" s="1207"/>
      <c r="VZW765" s="1207"/>
      <c r="VZX765" s="1207"/>
      <c r="VZY765" s="1207"/>
      <c r="VZZ765" s="1207"/>
      <c r="WAA765" s="1207"/>
      <c r="WAB765" s="1207"/>
      <c r="WAC765" s="1207"/>
      <c r="WAD765" s="1207"/>
      <c r="WAE765" s="1207"/>
      <c r="WAF765" s="1207"/>
      <c r="WAG765" s="1207"/>
      <c r="WAH765" s="1207"/>
      <c r="WAI765" s="1207"/>
      <c r="WAJ765" s="1207"/>
      <c r="WAK765" s="1207"/>
      <c r="WAL765" s="1207"/>
      <c r="WAM765" s="1207"/>
      <c r="WAN765" s="1207"/>
      <c r="WAO765" s="1207"/>
      <c r="WAP765" s="1207"/>
      <c r="WAQ765" s="1207"/>
      <c r="WAR765" s="1207"/>
      <c r="WAS765" s="1207"/>
      <c r="WAT765" s="1207"/>
      <c r="WAU765" s="1207"/>
      <c r="WAV765" s="1207"/>
      <c r="WAW765" s="1207"/>
      <c r="WAX765" s="1207"/>
      <c r="WAY765" s="1207"/>
      <c r="WAZ765" s="1207"/>
      <c r="WBA765" s="1207"/>
      <c r="WBB765" s="1207"/>
      <c r="WBC765" s="1207"/>
      <c r="WBD765" s="1207"/>
      <c r="WBE765" s="1207"/>
      <c r="WBF765" s="1207"/>
      <c r="WBG765" s="1207"/>
      <c r="WBH765" s="1207"/>
      <c r="WBI765" s="1207"/>
      <c r="WBJ765" s="1207"/>
      <c r="WBK765" s="1207"/>
      <c r="WBL765" s="1207"/>
      <c r="WBM765" s="1207"/>
      <c r="WBN765" s="1207"/>
      <c r="WBO765" s="1207"/>
      <c r="WBP765" s="1207"/>
      <c r="WBQ765" s="1207"/>
      <c r="WBR765" s="1207"/>
      <c r="WBS765" s="1207"/>
      <c r="WBT765" s="1207"/>
      <c r="WBU765" s="1207"/>
      <c r="WBV765" s="1207"/>
      <c r="WBW765" s="1207"/>
      <c r="WBX765" s="1207"/>
      <c r="WBY765" s="1207"/>
      <c r="WBZ765" s="1207"/>
      <c r="WCA765" s="1207"/>
      <c r="WCB765" s="1207"/>
      <c r="WCC765" s="1207"/>
      <c r="WCD765" s="1207"/>
      <c r="WCE765" s="1207"/>
      <c r="WCF765" s="1207"/>
      <c r="WCG765" s="1207"/>
      <c r="WCH765" s="1207"/>
      <c r="WCI765" s="1207"/>
      <c r="WCJ765" s="1207"/>
      <c r="WCK765" s="1207"/>
      <c r="WCL765" s="1207"/>
      <c r="WCM765" s="1207"/>
      <c r="WCN765" s="1207"/>
      <c r="WCO765" s="1207"/>
      <c r="WCP765" s="1207"/>
      <c r="WCQ765" s="1207"/>
      <c r="WCR765" s="1207"/>
      <c r="WCS765" s="1207"/>
      <c r="WCT765" s="1207"/>
      <c r="WCU765" s="1207"/>
      <c r="WCV765" s="1207"/>
      <c r="WCW765" s="1207"/>
      <c r="WCX765" s="1207"/>
      <c r="WCY765" s="1207"/>
      <c r="WCZ765" s="1207"/>
      <c r="WDA765" s="1207"/>
      <c r="WDB765" s="1207"/>
      <c r="WDC765" s="1207"/>
      <c r="WDD765" s="1207"/>
      <c r="WDE765" s="1207"/>
      <c r="WDF765" s="1207"/>
      <c r="WDG765" s="1207"/>
      <c r="WDH765" s="1207"/>
      <c r="WDI765" s="1207"/>
      <c r="WDJ765" s="1207"/>
      <c r="WDK765" s="1207"/>
      <c r="WDL765" s="1207"/>
      <c r="WDM765" s="1207"/>
      <c r="WDN765" s="1207"/>
      <c r="WDO765" s="1207"/>
      <c r="WDP765" s="1207"/>
      <c r="WDQ765" s="1207"/>
      <c r="WDR765" s="1207"/>
      <c r="WDS765" s="1207"/>
      <c r="WDT765" s="1207"/>
      <c r="WDU765" s="1207"/>
      <c r="WDV765" s="1207"/>
      <c r="WDW765" s="1207"/>
      <c r="WDX765" s="1207"/>
      <c r="WDY765" s="1207"/>
      <c r="WDZ765" s="1207"/>
      <c r="WEA765" s="1207"/>
      <c r="WEB765" s="1207"/>
      <c r="WEC765" s="1207"/>
      <c r="WED765" s="1207"/>
      <c r="WEE765" s="1207"/>
      <c r="WEF765" s="1207"/>
      <c r="WEG765" s="1207"/>
      <c r="WEH765" s="1207"/>
      <c r="WEI765" s="1207"/>
      <c r="WEJ765" s="1207"/>
      <c r="WEK765" s="1207"/>
      <c r="WEL765" s="1207"/>
      <c r="WEM765" s="1207"/>
      <c r="WEN765" s="1207"/>
      <c r="WEO765" s="1207"/>
      <c r="WEP765" s="1207"/>
      <c r="WEQ765" s="1207"/>
      <c r="WER765" s="1207"/>
      <c r="WES765" s="1207"/>
      <c r="WET765" s="1207"/>
      <c r="WEU765" s="1207"/>
      <c r="WEV765" s="1207"/>
      <c r="WEW765" s="1207"/>
      <c r="WEX765" s="1207"/>
      <c r="WEY765" s="1207"/>
      <c r="WEZ765" s="1207"/>
      <c r="WFA765" s="1207"/>
      <c r="WFB765" s="1207"/>
      <c r="WFC765" s="1207"/>
      <c r="WFD765" s="1207"/>
      <c r="WFE765" s="1207"/>
      <c r="WFF765" s="1207"/>
      <c r="WFG765" s="1207"/>
      <c r="WFH765" s="1207"/>
      <c r="WFI765" s="1207"/>
      <c r="WFJ765" s="1207"/>
      <c r="WFK765" s="1207"/>
      <c r="WFL765" s="1207"/>
      <c r="WFM765" s="1207"/>
      <c r="WFN765" s="1207"/>
      <c r="WFO765" s="1207"/>
      <c r="WFP765" s="1207"/>
      <c r="WFQ765" s="1207"/>
      <c r="WFR765" s="1207"/>
      <c r="WFS765" s="1207"/>
      <c r="WFT765" s="1207"/>
      <c r="WFU765" s="1207"/>
      <c r="WFV765" s="1207"/>
      <c r="WFW765" s="1207"/>
      <c r="WFX765" s="1207"/>
      <c r="WFY765" s="1207"/>
      <c r="WFZ765" s="1207"/>
      <c r="WGA765" s="1207"/>
      <c r="WGB765" s="1207"/>
      <c r="WGC765" s="1207"/>
      <c r="WGD765" s="1207"/>
      <c r="WGE765" s="1207"/>
      <c r="WGF765" s="1207"/>
      <c r="WGG765" s="1207"/>
      <c r="WGH765" s="1207"/>
      <c r="WGI765" s="1207"/>
      <c r="WGJ765" s="1207"/>
      <c r="WGK765" s="1207"/>
      <c r="WGL765" s="1207"/>
      <c r="WGM765" s="1207"/>
      <c r="WGN765" s="1207"/>
      <c r="WGO765" s="1207"/>
      <c r="WGP765" s="1207"/>
      <c r="WGQ765" s="1207"/>
      <c r="WGR765" s="1207"/>
      <c r="WGS765" s="1207"/>
      <c r="WGT765" s="1207"/>
      <c r="WGU765" s="1207"/>
      <c r="WGV765" s="1207"/>
      <c r="WGW765" s="1207"/>
      <c r="WGX765" s="1207"/>
      <c r="WGY765" s="1207"/>
      <c r="WGZ765" s="1207"/>
      <c r="WHA765" s="1207"/>
      <c r="WHB765" s="1207"/>
      <c r="WHC765" s="1207"/>
      <c r="WHD765" s="1207"/>
      <c r="WHE765" s="1207"/>
      <c r="WHF765" s="1207"/>
      <c r="WHG765" s="1207"/>
      <c r="WHH765" s="1207"/>
      <c r="WHI765" s="1207"/>
      <c r="WHJ765" s="1207"/>
      <c r="WHK765" s="1207"/>
      <c r="WHL765" s="1207"/>
      <c r="WHM765" s="1207"/>
      <c r="WHN765" s="1207"/>
      <c r="WHO765" s="1207"/>
      <c r="WHP765" s="1207"/>
      <c r="WHQ765" s="1207"/>
      <c r="WHR765" s="1207"/>
      <c r="WHS765" s="1207"/>
      <c r="WHT765" s="1207"/>
      <c r="WHU765" s="1207"/>
      <c r="WHV765" s="1207"/>
      <c r="WHW765" s="1207"/>
      <c r="WHX765" s="1207"/>
      <c r="WHY765" s="1207"/>
      <c r="WHZ765" s="1207"/>
      <c r="WIA765" s="1207"/>
      <c r="WIB765" s="1207"/>
      <c r="WIC765" s="1207"/>
      <c r="WID765" s="1207"/>
      <c r="WIE765" s="1207"/>
      <c r="WIF765" s="1207"/>
      <c r="WIG765" s="1207"/>
      <c r="WIH765" s="1207"/>
      <c r="WII765" s="1207"/>
      <c r="WIJ765" s="1207"/>
      <c r="WIK765" s="1207"/>
      <c r="WIL765" s="1207"/>
      <c r="WIM765" s="1207"/>
      <c r="WIN765" s="1207"/>
      <c r="WIO765" s="1207"/>
      <c r="WIP765" s="1207"/>
      <c r="WIQ765" s="1207"/>
      <c r="WIR765" s="1207"/>
      <c r="WIS765" s="1207"/>
      <c r="WIT765" s="1207"/>
      <c r="WIU765" s="1207"/>
      <c r="WIV765" s="1207"/>
      <c r="WIW765" s="1207"/>
      <c r="WIX765" s="1207"/>
      <c r="WIY765" s="1207"/>
      <c r="WIZ765" s="1207"/>
      <c r="WJA765" s="1207"/>
      <c r="WJB765" s="1207"/>
      <c r="WJC765" s="1207"/>
      <c r="WJD765" s="1207"/>
      <c r="WJE765" s="1207"/>
      <c r="WJF765" s="1207"/>
      <c r="WJG765" s="1207"/>
      <c r="WJH765" s="1207"/>
      <c r="WJI765" s="1207"/>
      <c r="WJJ765" s="1207"/>
      <c r="WJK765" s="1207"/>
      <c r="WJL765" s="1207"/>
      <c r="WJM765" s="1207"/>
      <c r="WJN765" s="1207"/>
      <c r="WJO765" s="1207"/>
      <c r="WJP765" s="1207"/>
      <c r="WJQ765" s="1207"/>
      <c r="WJR765" s="1207"/>
      <c r="WJS765" s="1207"/>
      <c r="WJT765" s="1207"/>
      <c r="WJU765" s="1207"/>
      <c r="WJV765" s="1207"/>
      <c r="WJW765" s="1207"/>
      <c r="WJX765" s="1207"/>
      <c r="WJY765" s="1207"/>
      <c r="WJZ765" s="1207"/>
      <c r="WKA765" s="1207"/>
      <c r="WKB765" s="1207"/>
      <c r="WKC765" s="1207"/>
      <c r="WKD765" s="1207"/>
      <c r="WKE765" s="1207"/>
      <c r="WKF765" s="1207"/>
      <c r="WKG765" s="1207"/>
      <c r="WKH765" s="1207"/>
      <c r="WKI765" s="1207"/>
      <c r="WKJ765" s="1207"/>
      <c r="WKK765" s="1207"/>
      <c r="WKL765" s="1207"/>
      <c r="WKM765" s="1207"/>
      <c r="WKN765" s="1207"/>
      <c r="WKO765" s="1207"/>
      <c r="WKP765" s="1207"/>
      <c r="WKQ765" s="1207"/>
      <c r="WKR765" s="1207"/>
      <c r="WKS765" s="1207"/>
      <c r="WKT765" s="1207"/>
      <c r="WKU765" s="1207"/>
      <c r="WKV765" s="1207"/>
      <c r="WKW765" s="1207"/>
      <c r="WKX765" s="1207"/>
      <c r="WKY765" s="1207"/>
      <c r="WKZ765" s="1207"/>
      <c r="WLA765" s="1207"/>
      <c r="WLB765" s="1207"/>
      <c r="WLC765" s="1207"/>
      <c r="WLD765" s="1207"/>
      <c r="WLE765" s="1207"/>
      <c r="WLF765" s="1207"/>
      <c r="WLG765" s="1207"/>
      <c r="WLH765" s="1207"/>
      <c r="WLI765" s="1207"/>
      <c r="WLJ765" s="1207"/>
      <c r="WLK765" s="1207"/>
      <c r="WLL765" s="1207"/>
      <c r="WLM765" s="1207"/>
      <c r="WLN765" s="1207"/>
      <c r="WLO765" s="1207"/>
      <c r="WLP765" s="1207"/>
      <c r="WLQ765" s="1207"/>
      <c r="WLR765" s="1207"/>
      <c r="WLS765" s="1207"/>
      <c r="WLT765" s="1207"/>
      <c r="WLU765" s="1207"/>
      <c r="WLV765" s="1207"/>
      <c r="WLW765" s="1207"/>
      <c r="WLX765" s="1207"/>
      <c r="WLY765" s="1207"/>
      <c r="WLZ765" s="1207"/>
      <c r="WMA765" s="1207"/>
      <c r="WMB765" s="1207"/>
      <c r="WMC765" s="1207"/>
      <c r="WMD765" s="1207"/>
      <c r="WME765" s="1207"/>
      <c r="WMF765" s="1207"/>
      <c r="WMG765" s="1207"/>
      <c r="WMH765" s="1207"/>
      <c r="WMI765" s="1207"/>
      <c r="WMJ765" s="1207"/>
      <c r="WMK765" s="1207"/>
      <c r="WML765" s="1207"/>
      <c r="WMM765" s="1207"/>
      <c r="WMN765" s="1207"/>
      <c r="WMO765" s="1207"/>
      <c r="WMP765" s="1207"/>
      <c r="WMQ765" s="1207"/>
      <c r="WMR765" s="1207"/>
      <c r="WMS765" s="1207"/>
      <c r="WMT765" s="1207"/>
      <c r="WMU765" s="1207"/>
      <c r="WMV765" s="1207"/>
      <c r="WMW765" s="1207"/>
      <c r="WMX765" s="1207"/>
      <c r="WMY765" s="1207"/>
      <c r="WMZ765" s="1207"/>
      <c r="WNA765" s="1207"/>
      <c r="WNB765" s="1207"/>
      <c r="WNC765" s="1207"/>
      <c r="WND765" s="1207"/>
      <c r="WNE765" s="1207"/>
      <c r="WNF765" s="1207"/>
      <c r="WNG765" s="1207"/>
      <c r="WNH765" s="1207"/>
      <c r="WNI765" s="1207"/>
      <c r="WNJ765" s="1207"/>
      <c r="WNK765" s="1207"/>
      <c r="WNL765" s="1207"/>
      <c r="WNM765" s="1207"/>
      <c r="WNN765" s="1207"/>
      <c r="WNO765" s="1207"/>
      <c r="WNP765" s="1207"/>
      <c r="WNQ765" s="1207"/>
      <c r="WNR765" s="1207"/>
      <c r="WNS765" s="1207"/>
      <c r="WNT765" s="1207"/>
      <c r="WNU765" s="1207"/>
      <c r="WNV765" s="1207"/>
      <c r="WNW765" s="1207"/>
      <c r="WNX765" s="1207"/>
      <c r="WNY765" s="1207"/>
      <c r="WNZ765" s="1207"/>
      <c r="WOA765" s="1207"/>
      <c r="WOB765" s="1207"/>
      <c r="WOC765" s="1207"/>
      <c r="WOD765" s="1207"/>
      <c r="WOE765" s="1207"/>
      <c r="WOF765" s="1207"/>
      <c r="WOG765" s="1207"/>
      <c r="WOH765" s="1207"/>
      <c r="WOI765" s="1207"/>
      <c r="WOJ765" s="1207"/>
      <c r="WOK765" s="1207"/>
      <c r="WOL765" s="1207"/>
      <c r="WOM765" s="1207"/>
      <c r="WON765" s="1207"/>
      <c r="WOO765" s="1207"/>
      <c r="WOP765" s="1207"/>
      <c r="WOQ765" s="1207"/>
      <c r="WOR765" s="1207"/>
      <c r="WOS765" s="1207"/>
      <c r="WOT765" s="1207"/>
      <c r="WOU765" s="1207"/>
      <c r="WOV765" s="1207"/>
      <c r="WOW765" s="1207"/>
      <c r="WOX765" s="1207"/>
      <c r="WOY765" s="1207"/>
      <c r="WOZ765" s="1207"/>
      <c r="WPA765" s="1207"/>
      <c r="WPB765" s="1207"/>
      <c r="WPC765" s="1207"/>
      <c r="WPD765" s="1207"/>
      <c r="WPE765" s="1207"/>
      <c r="WPF765" s="1207"/>
      <c r="WPG765" s="1207"/>
      <c r="WPH765" s="1207"/>
      <c r="WPI765" s="1207"/>
      <c r="WPJ765" s="1207"/>
      <c r="WPK765" s="1207"/>
      <c r="WPL765" s="1207"/>
      <c r="WPM765" s="1207"/>
      <c r="WPN765" s="1207"/>
      <c r="WPO765" s="1207"/>
      <c r="WPP765" s="1207"/>
      <c r="WPQ765" s="1207"/>
      <c r="WPR765" s="1207"/>
      <c r="WPS765" s="1207"/>
      <c r="WPT765" s="1207"/>
      <c r="WPU765" s="1207"/>
      <c r="WPV765" s="1207"/>
      <c r="WPW765" s="1207"/>
      <c r="WPX765" s="1207"/>
      <c r="WPY765" s="1207"/>
      <c r="WPZ765" s="1207"/>
      <c r="WQA765" s="1207"/>
      <c r="WQB765" s="1207"/>
      <c r="WQC765" s="1207"/>
      <c r="WQD765" s="1207"/>
      <c r="WQE765" s="1207"/>
      <c r="WQF765" s="1207"/>
      <c r="WQG765" s="1207"/>
      <c r="WQH765" s="1207"/>
      <c r="WQI765" s="1207"/>
      <c r="WQJ765" s="1207"/>
      <c r="WQK765" s="1207"/>
      <c r="WQL765" s="1207"/>
      <c r="WQM765" s="1207"/>
      <c r="WQN765" s="1207"/>
      <c r="WQO765" s="1207"/>
      <c r="WQP765" s="1207"/>
      <c r="WQQ765" s="1207"/>
      <c r="WQR765" s="1207"/>
      <c r="WQS765" s="1207"/>
      <c r="WQT765" s="1207"/>
      <c r="WQU765" s="1207"/>
      <c r="WQV765" s="1207"/>
      <c r="WQW765" s="1207"/>
      <c r="WQX765" s="1207"/>
      <c r="WQY765" s="1207"/>
      <c r="WQZ765" s="1207"/>
      <c r="WRA765" s="1207"/>
      <c r="WRB765" s="1207"/>
      <c r="WRC765" s="1207"/>
      <c r="WRD765" s="1207"/>
      <c r="WRE765" s="1207"/>
      <c r="WRF765" s="1207"/>
      <c r="WRG765" s="1207"/>
      <c r="WRH765" s="1207"/>
      <c r="WRI765" s="1207"/>
      <c r="WRJ765" s="1207"/>
      <c r="WRK765" s="1207"/>
      <c r="WRL765" s="1207"/>
      <c r="WRM765" s="1207"/>
      <c r="WRN765" s="1207"/>
      <c r="WRO765" s="1207"/>
      <c r="WRP765" s="1207"/>
      <c r="WRQ765" s="1207"/>
      <c r="WRR765" s="1207"/>
      <c r="WRS765" s="1207"/>
      <c r="WRT765" s="1207"/>
      <c r="WRU765" s="1207"/>
      <c r="WRV765" s="1207"/>
      <c r="WRW765" s="1207"/>
      <c r="WRX765" s="1207"/>
      <c r="WRY765" s="1207"/>
      <c r="WRZ765" s="1207"/>
      <c r="WSA765" s="1207"/>
      <c r="WSB765" s="1207"/>
      <c r="WSC765" s="1207"/>
      <c r="WSD765" s="1207"/>
      <c r="WSE765" s="1207"/>
      <c r="WSF765" s="1207"/>
      <c r="WSG765" s="1207"/>
      <c r="WSH765" s="1207"/>
      <c r="WSI765" s="1207"/>
      <c r="WSJ765" s="1207"/>
      <c r="WSK765" s="1207"/>
      <c r="WSL765" s="1207"/>
      <c r="WSM765" s="1207"/>
      <c r="WSN765" s="1207"/>
      <c r="WSO765" s="1207"/>
      <c r="WSP765" s="1207"/>
      <c r="WSQ765" s="1207"/>
      <c r="WSR765" s="1207"/>
      <c r="WSS765" s="1207"/>
      <c r="WST765" s="1207"/>
      <c r="WSU765" s="1207"/>
      <c r="WSV765" s="1207"/>
      <c r="WSW765" s="1207"/>
      <c r="WSX765" s="1207"/>
      <c r="WSY765" s="1207"/>
      <c r="WSZ765" s="1207"/>
      <c r="WTA765" s="1207"/>
      <c r="WTB765" s="1207"/>
      <c r="WTC765" s="1207"/>
      <c r="WTD765" s="1207"/>
      <c r="WTE765" s="1207"/>
      <c r="WTF765" s="1207"/>
      <c r="WTG765" s="1207"/>
      <c r="WTH765" s="1207"/>
      <c r="WTI765" s="1207"/>
      <c r="WTJ765" s="1207"/>
      <c r="WTK765" s="1207"/>
      <c r="WTL765" s="1207"/>
      <c r="WTM765" s="1207"/>
      <c r="WTN765" s="1207"/>
      <c r="WTO765" s="1207"/>
      <c r="WTP765" s="1207"/>
      <c r="WTQ765" s="1207"/>
      <c r="WTR765" s="1207"/>
      <c r="WTS765" s="1207"/>
      <c r="WTT765" s="1207"/>
      <c r="WTU765" s="1207"/>
      <c r="WTV765" s="1207"/>
      <c r="WTW765" s="1207"/>
      <c r="WTX765" s="1207"/>
      <c r="WTY765" s="1207"/>
      <c r="WTZ765" s="1207"/>
      <c r="WUA765" s="1207"/>
      <c r="WUB765" s="1207"/>
      <c r="WUC765" s="1207"/>
      <c r="WUD765" s="1207"/>
      <c r="WUE765" s="1207"/>
      <c r="WUF765" s="1207"/>
      <c r="WUG765" s="1207"/>
      <c r="WUH765" s="1207"/>
      <c r="WUI765" s="1207"/>
      <c r="WUJ765" s="1207"/>
      <c r="WUK765" s="1207"/>
      <c r="WUL765" s="1207"/>
      <c r="WUM765" s="1207"/>
      <c r="WUN765" s="1207"/>
      <c r="WUO765" s="1207"/>
      <c r="WUP765" s="1207"/>
      <c r="WUQ765" s="1207"/>
      <c r="WUR765" s="1207"/>
      <c r="WUS765" s="1207"/>
      <c r="WUT765" s="1207"/>
      <c r="WUU765" s="1207"/>
      <c r="WUV765" s="1207"/>
      <c r="WUW765" s="1207"/>
      <c r="WUX765" s="1207"/>
      <c r="WUY765" s="1207"/>
      <c r="WUZ765" s="1207"/>
      <c r="WVA765" s="1207"/>
      <c r="WVB765" s="1207"/>
      <c r="WVC765" s="1207"/>
      <c r="WVD765" s="1207"/>
      <c r="WVE765" s="1207"/>
      <c r="WVF765" s="1207"/>
      <c r="WVG765" s="1207"/>
      <c r="WVH765" s="1207"/>
      <c r="WVI765" s="1207"/>
      <c r="WVJ765" s="1207"/>
      <c r="WVK765" s="1207"/>
      <c r="WVL765" s="1207"/>
      <c r="WVM765" s="1207"/>
      <c r="WVN765" s="1207"/>
      <c r="WVO765" s="1207"/>
      <c r="WVP765" s="1207"/>
      <c r="WVQ765" s="1207"/>
      <c r="WVR765" s="1207"/>
      <c r="WVS765" s="1207"/>
      <c r="WVT765" s="1207"/>
      <c r="WVU765" s="1207"/>
      <c r="WVV765" s="1207"/>
      <c r="WVW765" s="1207"/>
      <c r="WVX765" s="1207"/>
      <c r="WVY765" s="1207"/>
      <c r="WVZ765" s="1207"/>
      <c r="WWA765" s="1207"/>
      <c r="WWB765" s="1207"/>
      <c r="WWC765" s="1207"/>
      <c r="WWD765" s="1207"/>
      <c r="WWE765" s="1207"/>
      <c r="WWF765" s="1207"/>
      <c r="WWG765" s="1207"/>
      <c r="WWH765" s="1207"/>
      <c r="WWI765" s="1207"/>
      <c r="WWJ765" s="1207"/>
      <c r="WWK765" s="1207"/>
      <c r="WWL765" s="1207"/>
      <c r="WWM765" s="1207"/>
      <c r="WWN765" s="1207"/>
      <c r="WWO765" s="1207"/>
      <c r="WWP765" s="1207"/>
      <c r="WWQ765" s="1207"/>
      <c r="WWR765" s="1207"/>
      <c r="WWS765" s="1207"/>
      <c r="WWT765" s="1207"/>
      <c r="WWU765" s="1207"/>
      <c r="WWV765" s="1207"/>
      <c r="WWW765" s="1207"/>
      <c r="WWX765" s="1207"/>
      <c r="WWY765" s="1207"/>
      <c r="WWZ765" s="1207"/>
      <c r="WXA765" s="1207"/>
      <c r="WXB765" s="1207"/>
      <c r="WXC765" s="1207"/>
      <c r="WXD765" s="1207"/>
      <c r="WXE765" s="1207"/>
      <c r="WXF765" s="1207"/>
      <c r="WXG765" s="1207"/>
      <c r="WXH765" s="1207"/>
      <c r="WXI765" s="1207"/>
      <c r="WXJ765" s="1207"/>
      <c r="WXK765" s="1207"/>
      <c r="WXL765" s="1207"/>
      <c r="WXM765" s="1207"/>
      <c r="WXN765" s="1207"/>
      <c r="WXO765" s="1207"/>
      <c r="WXP765" s="1207"/>
      <c r="WXQ765" s="1207"/>
      <c r="WXR765" s="1207"/>
      <c r="WXS765" s="1207"/>
      <c r="WXT765" s="1207"/>
      <c r="WXU765" s="1207"/>
      <c r="WXV765" s="1207"/>
      <c r="WXW765" s="1207"/>
      <c r="WXX765" s="1207"/>
      <c r="WXY765" s="1207"/>
      <c r="WXZ765" s="1207"/>
      <c r="WYA765" s="1207"/>
      <c r="WYB765" s="1207"/>
      <c r="WYC765" s="1207"/>
      <c r="WYD765" s="1207"/>
      <c r="WYE765" s="1207"/>
      <c r="WYF765" s="1207"/>
      <c r="WYG765" s="1207"/>
      <c r="WYH765" s="1207"/>
      <c r="WYI765" s="1207"/>
      <c r="WYJ765" s="1207"/>
      <c r="WYK765" s="1207"/>
      <c r="WYL765" s="1207"/>
      <c r="WYM765" s="1207"/>
      <c r="WYN765" s="1207"/>
      <c r="WYO765" s="1207"/>
      <c r="WYP765" s="1207"/>
      <c r="WYQ765" s="1207"/>
      <c r="WYR765" s="1207"/>
      <c r="WYS765" s="1207"/>
      <c r="WYT765" s="1207"/>
      <c r="WYU765" s="1207"/>
      <c r="WYV765" s="1207"/>
      <c r="WYW765" s="1207"/>
      <c r="WYX765" s="1207"/>
      <c r="WYY765" s="1207"/>
      <c r="WYZ765" s="1207"/>
      <c r="WZA765" s="1207"/>
      <c r="WZB765" s="1207"/>
      <c r="WZC765" s="1207"/>
      <c r="WZD765" s="1207"/>
      <c r="WZE765" s="1207"/>
      <c r="WZF765" s="1207"/>
      <c r="WZG765" s="1207"/>
      <c r="WZH765" s="1207"/>
      <c r="WZI765" s="1207"/>
      <c r="WZJ765" s="1207"/>
      <c r="WZK765" s="1207"/>
      <c r="WZL765" s="1207"/>
      <c r="WZM765" s="1207"/>
      <c r="WZN765" s="1207"/>
      <c r="WZO765" s="1207"/>
      <c r="WZP765" s="1207"/>
      <c r="WZQ765" s="1207"/>
      <c r="WZR765" s="1207"/>
      <c r="WZS765" s="1207"/>
      <c r="WZT765" s="1207"/>
      <c r="WZU765" s="1207"/>
      <c r="WZV765" s="1207"/>
      <c r="WZW765" s="1207"/>
      <c r="WZX765" s="1207"/>
      <c r="WZY765" s="1207"/>
      <c r="WZZ765" s="1207"/>
      <c r="XAA765" s="1207"/>
      <c r="XAB765" s="1207"/>
      <c r="XAC765" s="1207"/>
      <c r="XAD765" s="1207"/>
      <c r="XAE765" s="1207"/>
      <c r="XAF765" s="1207"/>
      <c r="XAG765" s="1207"/>
      <c r="XAH765" s="1207"/>
      <c r="XAI765" s="1207"/>
      <c r="XAJ765" s="1207"/>
      <c r="XAK765" s="1207"/>
      <c r="XAL765" s="1207"/>
      <c r="XAM765" s="1207"/>
      <c r="XAN765" s="1207"/>
      <c r="XAO765" s="1207"/>
      <c r="XAP765" s="1207"/>
      <c r="XAQ765" s="1207"/>
      <c r="XAR765" s="1207"/>
      <c r="XAS765" s="1207"/>
      <c r="XAT765" s="1207"/>
      <c r="XAU765" s="1207"/>
      <c r="XAV765" s="1207"/>
      <c r="XAW765" s="1207"/>
      <c r="XAX765" s="1207"/>
      <c r="XAY765" s="1207"/>
      <c r="XAZ765" s="1207"/>
      <c r="XBA765" s="1207"/>
      <c r="XBB765" s="1207"/>
      <c r="XBC765" s="1207"/>
      <c r="XBD765" s="1207"/>
      <c r="XBE765" s="1207"/>
      <c r="XBF765" s="1207"/>
      <c r="XBG765" s="1207"/>
      <c r="XBH765" s="1207"/>
      <c r="XBI765" s="1207"/>
      <c r="XBJ765" s="1207"/>
      <c r="XBK765" s="1207"/>
      <c r="XBL765" s="1207"/>
      <c r="XBM765" s="1207"/>
      <c r="XBN765" s="1207"/>
      <c r="XBO765" s="1207"/>
      <c r="XBP765" s="1207"/>
      <c r="XBQ765" s="1207"/>
      <c r="XBR765" s="1207"/>
      <c r="XBS765" s="1207"/>
      <c r="XBT765" s="1207"/>
      <c r="XBU765" s="1207"/>
      <c r="XBV765" s="1207"/>
      <c r="XBW765" s="1207"/>
      <c r="XBX765" s="1207"/>
      <c r="XBY765" s="1207"/>
      <c r="XBZ765" s="1207"/>
      <c r="XCA765" s="1207"/>
      <c r="XCB765" s="1207"/>
      <c r="XCC765" s="1207"/>
      <c r="XCD765" s="1207"/>
      <c r="XCE765" s="1207"/>
      <c r="XCF765" s="1207"/>
      <c r="XCG765" s="1207"/>
      <c r="XCH765" s="1207"/>
      <c r="XCI765" s="1207"/>
      <c r="XCJ765" s="1207"/>
      <c r="XCK765" s="1207"/>
      <c r="XCL765" s="1207"/>
      <c r="XCM765" s="1207"/>
      <c r="XCN765" s="1207"/>
      <c r="XCO765" s="1207"/>
      <c r="XCP765" s="1207"/>
      <c r="XCQ765" s="1207"/>
      <c r="XCR765" s="1207"/>
      <c r="XCS765" s="1207"/>
      <c r="XCT765" s="1207"/>
      <c r="XCU765" s="1207"/>
      <c r="XCV765" s="1207"/>
      <c r="XCW765" s="1207"/>
      <c r="XCX765" s="1207"/>
      <c r="XCY765" s="1207"/>
      <c r="XCZ765" s="1207"/>
      <c r="XDA765" s="1207"/>
      <c r="XDB765" s="1207"/>
      <c r="XDC765" s="1207"/>
      <c r="XDD765" s="1207"/>
      <c r="XDE765" s="1207"/>
      <c r="XDF765" s="1207"/>
      <c r="XDG765" s="1207"/>
      <c r="XDH765" s="1207"/>
      <c r="XDI765" s="1207"/>
      <c r="XDJ765" s="1207"/>
      <c r="XDK765" s="1207"/>
      <c r="XDL765" s="1207"/>
      <c r="XDM765" s="1207"/>
      <c r="XDN765" s="1207"/>
      <c r="XDO765" s="1207"/>
      <c r="XDP765" s="1207"/>
      <c r="XDQ765" s="1207"/>
      <c r="XDR765" s="1207"/>
      <c r="XDS765" s="1207"/>
      <c r="XDT765" s="1207"/>
      <c r="XDU765" s="1207"/>
      <c r="XDV765" s="1355"/>
      <c r="XDW765" s="1172"/>
      <c r="XDX765" s="1356"/>
      <c r="XDY765" s="1173"/>
      <c r="XDZ765" s="1202"/>
      <c r="XEA765" s="1378"/>
      <c r="XEB765" s="1377"/>
      <c r="XEC765" s="1377"/>
      <c r="XED765" s="1176"/>
      <c r="XEE765" s="1176"/>
      <c r="XEF765" s="1177"/>
      <c r="XEG765" s="1178"/>
      <c r="XEH765" s="1179"/>
      <c r="XEI765" s="1189"/>
      <c r="XEJ765" s="1174"/>
      <c r="XEK765" s="1207"/>
    </row>
    <row r="766" spans="1:16365" s="1317" customFormat="1" ht="45" hidden="1" customHeight="1" x14ac:dyDescent="0.3">
      <c r="A766" s="1355">
        <v>2022810</v>
      </c>
      <c r="B766" s="1172">
        <v>7637</v>
      </c>
      <c r="C766" s="1356" t="s">
        <v>643</v>
      </c>
      <c r="D766" s="1190" t="s">
        <v>671</v>
      </c>
      <c r="E766" s="1174">
        <v>80111600</v>
      </c>
      <c r="F766" s="1174" t="s">
        <v>1394</v>
      </c>
      <c r="G766" s="1380">
        <v>44788</v>
      </c>
      <c r="H766" s="1380">
        <v>44819</v>
      </c>
      <c r="I766" s="1176">
        <v>3</v>
      </c>
      <c r="J766" s="1176" t="s">
        <v>673</v>
      </c>
      <c r="K766" s="1177" t="s">
        <v>674</v>
      </c>
      <c r="L766" s="1178" t="s">
        <v>675</v>
      </c>
      <c r="M766" s="1179">
        <v>18000000</v>
      </c>
      <c r="N766" s="1189" t="s">
        <v>676</v>
      </c>
      <c r="O766" s="1174" t="s">
        <v>677</v>
      </c>
      <c r="P766" s="1163" t="s">
        <v>757</v>
      </c>
      <c r="Q766" s="1207"/>
      <c r="R766" s="1357"/>
      <c r="S766" s="1357"/>
      <c r="T766" s="1357">
        <f>+Tabla16[[#This Row],[CDPS A 31 JULIO 2022]]-Tabla16[[#This Row],[CDP]]</f>
        <v>0</v>
      </c>
      <c r="U766" s="1357"/>
      <c r="V766" s="1357"/>
      <c r="W766" s="1357"/>
    </row>
    <row r="767" spans="1:16365" s="1317" customFormat="1" ht="45" hidden="1" customHeight="1" x14ac:dyDescent="0.3">
      <c r="A767" s="1355">
        <v>2022811</v>
      </c>
      <c r="B767" s="1172">
        <v>7658</v>
      </c>
      <c r="C767" s="1356" t="s">
        <v>679</v>
      </c>
      <c r="D767" s="1190" t="s">
        <v>698</v>
      </c>
      <c r="E767" s="1174" t="s">
        <v>1395</v>
      </c>
      <c r="F767" s="1189" t="s">
        <v>1396</v>
      </c>
      <c r="G767" s="1380">
        <v>44788</v>
      </c>
      <c r="H767" s="1380">
        <v>44803</v>
      </c>
      <c r="I767" s="1176">
        <v>1</v>
      </c>
      <c r="J767" s="1176" t="s">
        <v>97</v>
      </c>
      <c r="K767" s="1177" t="s">
        <v>674</v>
      </c>
      <c r="L767" s="1178" t="s">
        <v>1105</v>
      </c>
      <c r="M767" s="1179">
        <v>6183142</v>
      </c>
      <c r="N767" s="1376" t="s">
        <v>779</v>
      </c>
      <c r="O767" s="1174" t="s">
        <v>771</v>
      </c>
      <c r="P767" s="1163" t="s">
        <v>678</v>
      </c>
      <c r="Q767" s="1207"/>
      <c r="R767" s="1357"/>
      <c r="S767" s="1357"/>
      <c r="T767" s="1357">
        <f>+Tabla16[[#This Row],[CDPS A 31 JULIO 2022]]-Tabla16[[#This Row],[CDP]]</f>
        <v>0</v>
      </c>
      <c r="U767" s="1357"/>
      <c r="V767" s="1357"/>
      <c r="W767" s="1357"/>
    </row>
    <row r="768" spans="1:16365" s="1317" customFormat="1" ht="45" hidden="1" customHeight="1" x14ac:dyDescent="0.3">
      <c r="A768" s="1355">
        <v>2022812</v>
      </c>
      <c r="B768" s="1172">
        <v>7658</v>
      </c>
      <c r="C768" s="1356" t="s">
        <v>679</v>
      </c>
      <c r="D768" s="1190" t="s">
        <v>698</v>
      </c>
      <c r="E768" s="1174" t="s">
        <v>1395</v>
      </c>
      <c r="F768" s="1189" t="s">
        <v>1397</v>
      </c>
      <c r="G768" s="1380">
        <v>44789</v>
      </c>
      <c r="H768" s="1380">
        <v>44804</v>
      </c>
      <c r="I768" s="1176">
        <v>1</v>
      </c>
      <c r="J768" s="1176" t="s">
        <v>97</v>
      </c>
      <c r="K768" s="1177" t="s">
        <v>674</v>
      </c>
      <c r="L768" s="1178" t="s">
        <v>675</v>
      </c>
      <c r="M768" s="1179">
        <v>151933</v>
      </c>
      <c r="N768" s="1376" t="s">
        <v>779</v>
      </c>
      <c r="O768" s="1174" t="s">
        <v>771</v>
      </c>
      <c r="P768" s="1163" t="s">
        <v>678</v>
      </c>
      <c r="Q768" s="1207"/>
      <c r="R768" s="1357"/>
      <c r="S768" s="1357"/>
      <c r="T768" s="1357">
        <f>+Tabla16[[#This Row],[CDPS A 31 JULIO 2022]]-Tabla16[[#This Row],[CDP]]</f>
        <v>0</v>
      </c>
      <c r="U768" s="1357"/>
      <c r="V768" s="1357"/>
      <c r="W768" s="1357"/>
    </row>
    <row r="769" spans="1:23" s="1317" customFormat="1" ht="45" hidden="1" customHeight="1" x14ac:dyDescent="0.3">
      <c r="A769" s="1355">
        <v>2022813</v>
      </c>
      <c r="B769" s="1172">
        <v>7658</v>
      </c>
      <c r="C769" s="1356" t="s">
        <v>679</v>
      </c>
      <c r="D769" s="1190" t="s">
        <v>698</v>
      </c>
      <c r="E769" s="1174" t="s">
        <v>1395</v>
      </c>
      <c r="F769" s="1189" t="s">
        <v>1398</v>
      </c>
      <c r="G769" s="1380">
        <v>44790</v>
      </c>
      <c r="H769" s="1380">
        <v>44805</v>
      </c>
      <c r="I769" s="1176">
        <v>1</v>
      </c>
      <c r="J769" s="1176" t="s">
        <v>97</v>
      </c>
      <c r="K769" s="1177" t="s">
        <v>674</v>
      </c>
      <c r="L769" s="1178" t="s">
        <v>981</v>
      </c>
      <c r="M769" s="1179">
        <v>315000</v>
      </c>
      <c r="N769" s="1376" t="s">
        <v>779</v>
      </c>
      <c r="O769" s="1174" t="s">
        <v>771</v>
      </c>
      <c r="P769" s="1163" t="s">
        <v>678</v>
      </c>
      <c r="Q769" s="1207"/>
      <c r="R769" s="1357"/>
      <c r="S769" s="1357"/>
      <c r="T769" s="1357">
        <f>+Tabla16[[#This Row],[CDPS A 31 JULIO 2022]]-Tabla16[[#This Row],[CDP]]</f>
        <v>0</v>
      </c>
      <c r="U769" s="1357"/>
      <c r="V769" s="1357"/>
      <c r="W769" s="1357"/>
    </row>
    <row r="770" spans="1:23" s="1317" customFormat="1" ht="45" hidden="1" customHeight="1" x14ac:dyDescent="0.3">
      <c r="A770" s="1355">
        <v>2022814</v>
      </c>
      <c r="B770" s="1172">
        <v>7637</v>
      </c>
      <c r="C770" s="1356" t="s">
        <v>643</v>
      </c>
      <c r="D770" s="1190" t="s">
        <v>671</v>
      </c>
      <c r="E770" s="1174">
        <v>80111600</v>
      </c>
      <c r="F770" s="1174" t="s">
        <v>1399</v>
      </c>
      <c r="G770" s="1380">
        <v>44788</v>
      </c>
      <c r="H770" s="1380">
        <v>44819</v>
      </c>
      <c r="I770" s="1176">
        <v>3</v>
      </c>
      <c r="J770" s="1176" t="s">
        <v>673</v>
      </c>
      <c r="K770" s="1177" t="s">
        <v>674</v>
      </c>
      <c r="L770" s="1178" t="s">
        <v>675</v>
      </c>
      <c r="M770" s="1179">
        <v>18600000</v>
      </c>
      <c r="N770" s="1376" t="s">
        <v>704</v>
      </c>
      <c r="O770" s="1174" t="s">
        <v>677</v>
      </c>
      <c r="P770" s="1163" t="s">
        <v>757</v>
      </c>
      <c r="Q770" s="1207"/>
      <c r="R770" s="1357"/>
      <c r="S770" s="1357"/>
      <c r="T770" s="1357">
        <f>+Tabla16[[#This Row],[CDPS A 31 JULIO 2022]]-Tabla16[[#This Row],[CDP]]</f>
        <v>0</v>
      </c>
      <c r="U770" s="1357"/>
      <c r="V770" s="1357"/>
      <c r="W770" s="1357"/>
    </row>
    <row r="771" spans="1:23" s="1317" customFormat="1" ht="45" hidden="1" customHeight="1" x14ac:dyDescent="0.3">
      <c r="A771" s="1355">
        <v>2022815</v>
      </c>
      <c r="B771" s="1172">
        <v>7637</v>
      </c>
      <c r="C771" s="1356" t="s">
        <v>643</v>
      </c>
      <c r="D771" s="1190" t="s">
        <v>671</v>
      </c>
      <c r="E771" s="1174">
        <v>80111600</v>
      </c>
      <c r="F771" s="1174" t="s">
        <v>1400</v>
      </c>
      <c r="G771" s="1380">
        <v>44788</v>
      </c>
      <c r="H771" s="1380">
        <v>44819</v>
      </c>
      <c r="I771" s="1176">
        <v>3</v>
      </c>
      <c r="J771" s="1176" t="s">
        <v>673</v>
      </c>
      <c r="K771" s="1177" t="s">
        <v>674</v>
      </c>
      <c r="L771" s="1178" t="s">
        <v>675</v>
      </c>
      <c r="M771" s="1179">
        <v>20400000</v>
      </c>
      <c r="N771" s="1376" t="s">
        <v>704</v>
      </c>
      <c r="O771" s="1174" t="s">
        <v>677</v>
      </c>
      <c r="P771" s="1163" t="s">
        <v>757</v>
      </c>
      <c r="Q771" s="1207"/>
      <c r="R771" s="1357"/>
      <c r="S771" s="1357"/>
      <c r="T771" s="1357">
        <f>+Tabla16[[#This Row],[CDPS A 31 JULIO 2022]]-Tabla16[[#This Row],[CDP]]</f>
        <v>0</v>
      </c>
      <c r="U771" s="1357"/>
      <c r="V771" s="1357"/>
      <c r="W771" s="1357"/>
    </row>
    <row r="772" spans="1:23" s="1317" customFormat="1" ht="45" hidden="1" customHeight="1" x14ac:dyDescent="0.3">
      <c r="A772" s="1355">
        <v>2022816</v>
      </c>
      <c r="B772" s="1172">
        <v>7637</v>
      </c>
      <c r="C772" s="1356" t="s">
        <v>643</v>
      </c>
      <c r="D772" s="1190" t="s">
        <v>671</v>
      </c>
      <c r="E772" s="1174">
        <v>80111600</v>
      </c>
      <c r="F772" s="1174" t="s">
        <v>1401</v>
      </c>
      <c r="G772" s="1380">
        <v>44788</v>
      </c>
      <c r="H772" s="1380">
        <v>44819</v>
      </c>
      <c r="I772" s="1176">
        <v>3</v>
      </c>
      <c r="J772" s="1176" t="s">
        <v>673</v>
      </c>
      <c r="K772" s="1177" t="s">
        <v>674</v>
      </c>
      <c r="L772" s="1178" t="s">
        <v>675</v>
      </c>
      <c r="M772" s="1179">
        <v>20400000</v>
      </c>
      <c r="N772" s="1376" t="s">
        <v>704</v>
      </c>
      <c r="O772" s="1174" t="s">
        <v>677</v>
      </c>
      <c r="P772" s="1163" t="s">
        <v>757</v>
      </c>
      <c r="Q772" s="1207"/>
      <c r="R772" s="1357"/>
      <c r="S772" s="1357"/>
      <c r="T772" s="1357">
        <f>+Tabla16[[#This Row],[CDPS A 31 JULIO 2022]]-Tabla16[[#This Row],[CDP]]</f>
        <v>0</v>
      </c>
      <c r="U772" s="1357"/>
      <c r="V772" s="1357"/>
      <c r="W772" s="1357"/>
    </row>
    <row r="773" spans="1:23" s="1317" customFormat="1" ht="45" hidden="1" customHeight="1" x14ac:dyDescent="0.3">
      <c r="A773" s="1355">
        <v>2022817</v>
      </c>
      <c r="B773" s="1172">
        <v>7637</v>
      </c>
      <c r="C773" s="1356" t="s">
        <v>643</v>
      </c>
      <c r="D773" s="1190" t="s">
        <v>671</v>
      </c>
      <c r="E773" s="1174">
        <v>80111600</v>
      </c>
      <c r="F773" s="1174" t="s">
        <v>1402</v>
      </c>
      <c r="G773" s="1380">
        <v>44788</v>
      </c>
      <c r="H773" s="1380">
        <v>44819</v>
      </c>
      <c r="I773" s="1176">
        <v>3</v>
      </c>
      <c r="J773" s="1176" t="s">
        <v>673</v>
      </c>
      <c r="K773" s="1177" t="s">
        <v>674</v>
      </c>
      <c r="L773" s="1178" t="s">
        <v>675</v>
      </c>
      <c r="M773" s="1179">
        <v>18600000</v>
      </c>
      <c r="N773" s="1376" t="s">
        <v>732</v>
      </c>
      <c r="O773" s="1174" t="s">
        <v>677</v>
      </c>
      <c r="P773" s="1163" t="s">
        <v>757</v>
      </c>
      <c r="Q773" s="1207"/>
      <c r="R773" s="1357"/>
      <c r="S773" s="1357"/>
      <c r="T773" s="1357">
        <f>+Tabla16[[#This Row],[CDPS A 31 JULIO 2022]]-Tabla16[[#This Row],[CDP]]</f>
        <v>0</v>
      </c>
      <c r="U773" s="1357"/>
      <c r="V773" s="1357"/>
      <c r="W773" s="1357"/>
    </row>
    <row r="774" spans="1:23" s="1317" customFormat="1" ht="45" hidden="1" customHeight="1" x14ac:dyDescent="0.3">
      <c r="A774" s="1355">
        <v>2022818</v>
      </c>
      <c r="B774" s="1172">
        <v>7637</v>
      </c>
      <c r="C774" s="1356" t="s">
        <v>643</v>
      </c>
      <c r="D774" s="1190" t="s">
        <v>671</v>
      </c>
      <c r="E774" s="1174">
        <v>80111600</v>
      </c>
      <c r="F774" s="1174" t="s">
        <v>1403</v>
      </c>
      <c r="G774" s="1380">
        <v>44788</v>
      </c>
      <c r="H774" s="1380">
        <v>44819</v>
      </c>
      <c r="I774" s="1176">
        <v>2</v>
      </c>
      <c r="J774" s="1176" t="s">
        <v>673</v>
      </c>
      <c r="K774" s="1177" t="s">
        <v>674</v>
      </c>
      <c r="L774" s="1178" t="s">
        <v>675</v>
      </c>
      <c r="M774" s="1179">
        <v>10350000</v>
      </c>
      <c r="N774" s="1189" t="s">
        <v>676</v>
      </c>
      <c r="O774" s="1174" t="s">
        <v>677</v>
      </c>
      <c r="P774" s="1163" t="s">
        <v>757</v>
      </c>
      <c r="Q774" s="1207"/>
      <c r="R774" s="1357"/>
      <c r="S774" s="1357"/>
      <c r="T774" s="1357">
        <f>+Tabla16[[#This Row],[CDPS A 31 JULIO 2022]]-Tabla16[[#This Row],[CDP]]</f>
        <v>0</v>
      </c>
      <c r="U774" s="1357"/>
      <c r="V774" s="1357"/>
      <c r="W774" s="1357"/>
    </row>
    <row r="775" spans="1:23" s="1317" customFormat="1" ht="45" hidden="1" customHeight="1" x14ac:dyDescent="0.3">
      <c r="A775" s="1355">
        <v>2022819</v>
      </c>
      <c r="B775" s="1172">
        <v>7637</v>
      </c>
      <c r="C775" s="1356" t="s">
        <v>643</v>
      </c>
      <c r="D775" s="1190" t="s">
        <v>671</v>
      </c>
      <c r="E775" s="1174">
        <v>80111600</v>
      </c>
      <c r="F775" s="1174" t="s">
        <v>1404</v>
      </c>
      <c r="G775" s="1380">
        <v>44788</v>
      </c>
      <c r="H775" s="1380">
        <v>44819</v>
      </c>
      <c r="I775" s="1176">
        <v>3.5</v>
      </c>
      <c r="J775" s="1176" t="s">
        <v>673</v>
      </c>
      <c r="K775" s="1177" t="s">
        <v>674</v>
      </c>
      <c r="L775" s="1178" t="s">
        <v>675</v>
      </c>
      <c r="M775" s="1179">
        <v>13500000</v>
      </c>
      <c r="N775" s="1189" t="s">
        <v>676</v>
      </c>
      <c r="O775" s="1174" t="s">
        <v>677</v>
      </c>
      <c r="P775" s="1163" t="s">
        <v>757</v>
      </c>
      <c r="Q775" s="1207"/>
      <c r="R775" s="1357"/>
      <c r="S775" s="1357"/>
      <c r="T775" s="1357">
        <f>+Tabla16[[#This Row],[CDPS A 31 JULIO 2022]]-Tabla16[[#This Row],[CDP]]</f>
        <v>0</v>
      </c>
      <c r="U775" s="1357"/>
      <c r="V775" s="1357"/>
      <c r="W775" s="1357"/>
    </row>
    <row r="776" spans="1:23" s="1317" customFormat="1" ht="45" hidden="1" customHeight="1" x14ac:dyDescent="0.3">
      <c r="A776" s="1355">
        <v>2022820</v>
      </c>
      <c r="B776" s="1172">
        <v>7637</v>
      </c>
      <c r="C776" s="1356" t="s">
        <v>643</v>
      </c>
      <c r="D776" s="1190" t="s">
        <v>671</v>
      </c>
      <c r="E776" s="1174">
        <v>80111600</v>
      </c>
      <c r="F776" s="1174" t="s">
        <v>1405</v>
      </c>
      <c r="G776" s="1380">
        <v>44788</v>
      </c>
      <c r="H776" s="1380">
        <v>44819</v>
      </c>
      <c r="I776" s="1176">
        <v>3</v>
      </c>
      <c r="J776" s="1176" t="s">
        <v>673</v>
      </c>
      <c r="K776" s="1177" t="s">
        <v>674</v>
      </c>
      <c r="L776" s="1178" t="s">
        <v>675</v>
      </c>
      <c r="M776" s="1179">
        <v>9000000</v>
      </c>
      <c r="N776" s="1376" t="s">
        <v>732</v>
      </c>
      <c r="O776" s="1174" t="s">
        <v>677</v>
      </c>
      <c r="P776" s="1163" t="s">
        <v>757</v>
      </c>
      <c r="Q776" s="1207"/>
      <c r="R776" s="1357"/>
      <c r="S776" s="1357"/>
      <c r="T776" s="1357">
        <f>+Tabla16[[#This Row],[CDPS A 31 JULIO 2022]]-Tabla16[[#This Row],[CDP]]</f>
        <v>0</v>
      </c>
      <c r="U776" s="1357"/>
      <c r="V776" s="1357"/>
      <c r="W776" s="1357"/>
    </row>
    <row r="777" spans="1:23" s="1317" customFormat="1" ht="45" hidden="1" customHeight="1" x14ac:dyDescent="0.3">
      <c r="A777" s="1355">
        <v>2022821</v>
      </c>
      <c r="B777" s="1172">
        <v>7637</v>
      </c>
      <c r="C777" s="1356" t="s">
        <v>643</v>
      </c>
      <c r="D777" s="1190" t="s">
        <v>671</v>
      </c>
      <c r="E777" s="1174">
        <v>80111600</v>
      </c>
      <c r="F777" s="1174" t="s">
        <v>1406</v>
      </c>
      <c r="G777" s="1380">
        <v>44788</v>
      </c>
      <c r="H777" s="1380">
        <v>44819</v>
      </c>
      <c r="I777" s="1176">
        <v>3</v>
      </c>
      <c r="J777" s="1176" t="s">
        <v>673</v>
      </c>
      <c r="K777" s="1177" t="s">
        <v>674</v>
      </c>
      <c r="L777" s="1178" t="s">
        <v>675</v>
      </c>
      <c r="M777" s="1179">
        <v>18600000</v>
      </c>
      <c r="N777" s="1376" t="s">
        <v>685</v>
      </c>
      <c r="O777" s="1174" t="s">
        <v>677</v>
      </c>
      <c r="P777" s="1163" t="s">
        <v>757</v>
      </c>
      <c r="Q777" s="1207"/>
      <c r="R777" s="1357"/>
      <c r="S777" s="1357"/>
      <c r="T777" s="1357">
        <f>+Tabla16[[#This Row],[CDPS A 31 JULIO 2022]]-Tabla16[[#This Row],[CDP]]</f>
        <v>0</v>
      </c>
      <c r="U777" s="1357"/>
      <c r="V777" s="1357"/>
      <c r="W777" s="1357"/>
    </row>
    <row r="778" spans="1:23" s="1317" customFormat="1" ht="45" customHeight="1" x14ac:dyDescent="0.3">
      <c r="A778" s="1398">
        <v>2022822</v>
      </c>
      <c r="B778" s="1399">
        <v>7655</v>
      </c>
      <c r="C778" s="1400" t="s">
        <v>668</v>
      </c>
      <c r="D778" s="1401" t="s">
        <v>689</v>
      </c>
      <c r="E778" s="1402" t="s">
        <v>780</v>
      </c>
      <c r="F778" s="1402" t="s">
        <v>1372</v>
      </c>
      <c r="G778" s="1404">
        <v>44805</v>
      </c>
      <c r="H778" s="1404">
        <v>44805</v>
      </c>
      <c r="I778" s="1405">
        <v>4</v>
      </c>
      <c r="J778" s="1405" t="s">
        <v>673</v>
      </c>
      <c r="K778" s="1406" t="s">
        <v>674</v>
      </c>
      <c r="L778" s="1407" t="s">
        <v>675</v>
      </c>
      <c r="M778" s="1408">
        <v>22000000</v>
      </c>
      <c r="N778" s="1409" t="s">
        <v>783</v>
      </c>
      <c r="O778" s="1402" t="s">
        <v>778</v>
      </c>
      <c r="P778" s="1411" t="s">
        <v>678</v>
      </c>
      <c r="R778" s="1352"/>
      <c r="S778" s="1352"/>
      <c r="T778" s="1352"/>
      <c r="U778" s="1352"/>
      <c r="V778" s="1352"/>
      <c r="W778" s="1352"/>
    </row>
    <row r="779" spans="1:23" s="1317" customFormat="1" ht="45" customHeight="1" x14ac:dyDescent="0.3">
      <c r="A779" s="1398">
        <v>2022823</v>
      </c>
      <c r="B779" s="1399">
        <v>7637</v>
      </c>
      <c r="C779" s="1400" t="s">
        <v>643</v>
      </c>
      <c r="D779" s="1401" t="s">
        <v>671</v>
      </c>
      <c r="E779" s="1402">
        <v>80111600</v>
      </c>
      <c r="F779" s="1402" t="s">
        <v>4681</v>
      </c>
      <c r="G779" s="1404">
        <v>44805</v>
      </c>
      <c r="H779" s="1404">
        <v>44819</v>
      </c>
      <c r="I779" s="1405">
        <v>3</v>
      </c>
      <c r="J779" s="1405" t="s">
        <v>673</v>
      </c>
      <c r="K779" s="1406" t="s">
        <v>674</v>
      </c>
      <c r="L779" s="1407" t="s">
        <v>675</v>
      </c>
      <c r="M779" s="1408">
        <v>12000000</v>
      </c>
      <c r="N779" s="1409" t="s">
        <v>732</v>
      </c>
      <c r="O779" s="1402" t="s">
        <v>1416</v>
      </c>
      <c r="P779" s="1411" t="s">
        <v>678</v>
      </c>
      <c r="R779" s="1352"/>
      <c r="S779" s="1352"/>
      <c r="T779" s="1352">
        <f>+Tabla16[[#This Row],[CDPS A 31 JULIO 2022]]-Tabla16[[#This Row],[CDP]]</f>
        <v>0</v>
      </c>
      <c r="U779" s="1352"/>
      <c r="V779" s="1352"/>
      <c r="W779" s="1352"/>
    </row>
    <row r="780" spans="1:23" s="1317" customFormat="1" ht="45" customHeight="1" x14ac:dyDescent="0.3">
      <c r="A780" s="1398">
        <v>2022824</v>
      </c>
      <c r="B780" s="1399">
        <v>7658</v>
      </c>
      <c r="C780" s="1400" t="s">
        <v>679</v>
      </c>
      <c r="D780" s="1401" t="s">
        <v>692</v>
      </c>
      <c r="E780" s="1402">
        <v>80111600</v>
      </c>
      <c r="F780" s="1402" t="s">
        <v>1087</v>
      </c>
      <c r="G780" s="1404">
        <v>44819</v>
      </c>
      <c r="H780" s="1404">
        <v>44819</v>
      </c>
      <c r="I780" s="1405">
        <v>4</v>
      </c>
      <c r="J780" s="1405" t="s">
        <v>673</v>
      </c>
      <c r="K780" s="1406" t="s">
        <v>674</v>
      </c>
      <c r="L780" s="1407" t="s">
        <v>675</v>
      </c>
      <c r="M780" s="1408">
        <v>11000000</v>
      </c>
      <c r="N780" s="1409" t="s">
        <v>768</v>
      </c>
      <c r="O780" s="1402" t="s">
        <v>767</v>
      </c>
      <c r="P780" s="1411" t="s">
        <v>678</v>
      </c>
      <c r="R780" s="1352"/>
      <c r="S780" s="1352"/>
      <c r="T780" s="1352">
        <f>+Tabla16[[#This Row],[CDPS A 31 JULIO 2022]]-Tabla16[[#This Row],[CDP]]</f>
        <v>0</v>
      </c>
      <c r="U780" s="1352"/>
      <c r="V780" s="1352"/>
      <c r="W780" s="1352"/>
    </row>
    <row r="781" spans="1:23" s="1317" customFormat="1" ht="45" customHeight="1" x14ac:dyDescent="0.3">
      <c r="A781" s="1398">
        <v>2022825</v>
      </c>
      <c r="B781" s="1399">
        <v>7658</v>
      </c>
      <c r="C781" s="1400" t="s">
        <v>679</v>
      </c>
      <c r="D781" s="1401" t="s">
        <v>692</v>
      </c>
      <c r="E781" s="1402">
        <v>80111600</v>
      </c>
      <c r="F781" s="1402" t="s">
        <v>1085</v>
      </c>
      <c r="G781" s="1404">
        <v>44819</v>
      </c>
      <c r="H781" s="1404">
        <v>44819</v>
      </c>
      <c r="I781" s="1405">
        <v>4</v>
      </c>
      <c r="J781" s="1405" t="s">
        <v>673</v>
      </c>
      <c r="K781" s="1406" t="s">
        <v>674</v>
      </c>
      <c r="L781" s="1407" t="s">
        <v>675</v>
      </c>
      <c r="M781" s="1408">
        <v>9800000</v>
      </c>
      <c r="N781" s="1409" t="s">
        <v>768</v>
      </c>
      <c r="O781" s="1402" t="s">
        <v>767</v>
      </c>
      <c r="P781" s="1411" t="s">
        <v>678</v>
      </c>
      <c r="R781" s="1352"/>
      <c r="S781" s="1352"/>
      <c r="T781" s="1352">
        <f>+Tabla16[[#This Row],[CDPS A 31 JULIO 2022]]-Tabla16[[#This Row],[CDP]]</f>
        <v>0</v>
      </c>
      <c r="U781" s="1352"/>
      <c r="V781" s="1352"/>
      <c r="W781" s="1352"/>
    </row>
    <row r="782" spans="1:23" s="1317" customFormat="1" ht="45" customHeight="1" x14ac:dyDescent="0.3">
      <c r="A782" s="1398">
        <v>2022826</v>
      </c>
      <c r="B782" s="1399">
        <v>7658</v>
      </c>
      <c r="C782" s="1400" t="s">
        <v>679</v>
      </c>
      <c r="D782" s="1401" t="s">
        <v>692</v>
      </c>
      <c r="E782" s="1402" t="s">
        <v>1061</v>
      </c>
      <c r="F782" s="1402" t="s">
        <v>4683</v>
      </c>
      <c r="G782" s="1404">
        <v>44713</v>
      </c>
      <c r="H782" s="1404">
        <v>44803</v>
      </c>
      <c r="I782" s="1405">
        <v>4</v>
      </c>
      <c r="J782" s="1405" t="s">
        <v>687</v>
      </c>
      <c r="K782" s="1406" t="s">
        <v>770</v>
      </c>
      <c r="L782" s="1407" t="s">
        <v>4684</v>
      </c>
      <c r="M782" s="1408">
        <v>241130733</v>
      </c>
      <c r="N782" s="1409" t="s">
        <v>768</v>
      </c>
      <c r="O782" s="1402" t="s">
        <v>767</v>
      </c>
      <c r="P782" s="1411" t="s">
        <v>678</v>
      </c>
      <c r="R782" s="1352"/>
      <c r="S782" s="1352"/>
      <c r="T782" s="1352">
        <f>+Tabla16[[#This Row],[CDPS A 31 JULIO 2022]]-Tabla16[[#This Row],[CDP]]</f>
        <v>0</v>
      </c>
      <c r="U782" s="1352"/>
      <c r="V782" s="1352"/>
      <c r="W782" s="1352"/>
    </row>
    <row r="783" spans="1:23" s="1317" customFormat="1" ht="45" customHeight="1" x14ac:dyDescent="0.3">
      <c r="A783" s="1398">
        <v>2022827</v>
      </c>
      <c r="B783" s="1399">
        <v>7658</v>
      </c>
      <c r="C783" s="1400" t="s">
        <v>679</v>
      </c>
      <c r="D783" s="1401" t="s">
        <v>692</v>
      </c>
      <c r="E783" s="1402">
        <v>10111306</v>
      </c>
      <c r="F783" s="1402" t="s">
        <v>4685</v>
      </c>
      <c r="G783" s="1404">
        <v>44805</v>
      </c>
      <c r="H783" s="1404">
        <v>44849</v>
      </c>
      <c r="I783" s="1405">
        <v>2</v>
      </c>
      <c r="J783" s="1405" t="s">
        <v>699</v>
      </c>
      <c r="K783" s="1406" t="s">
        <v>770</v>
      </c>
      <c r="L783" s="1407" t="s">
        <v>4684</v>
      </c>
      <c r="M783" s="1408">
        <v>30000000</v>
      </c>
      <c r="N783" s="1409" t="s">
        <v>768</v>
      </c>
      <c r="O783" s="1402" t="s">
        <v>767</v>
      </c>
      <c r="P783" s="1411" t="s">
        <v>678</v>
      </c>
      <c r="R783" s="1352"/>
      <c r="S783" s="1352"/>
      <c r="T783" s="1352">
        <f>+Tabla16[[#This Row],[CDPS A 31 JULIO 2022]]-Tabla16[[#This Row],[CDP]]</f>
        <v>0</v>
      </c>
      <c r="U783" s="1352"/>
      <c r="V783" s="1352"/>
      <c r="W783" s="1352"/>
    </row>
    <row r="784" spans="1:23" s="1317" customFormat="1" ht="45" customHeight="1" x14ac:dyDescent="0.3">
      <c r="A784" s="1398">
        <v>2022828</v>
      </c>
      <c r="B784" s="1399">
        <v>7658</v>
      </c>
      <c r="C784" s="1400" t="s">
        <v>679</v>
      </c>
      <c r="D784" s="1401" t="s">
        <v>692</v>
      </c>
      <c r="E784" s="1402">
        <v>77102002</v>
      </c>
      <c r="F784" s="1402" t="s">
        <v>4686</v>
      </c>
      <c r="G784" s="1404">
        <v>44819</v>
      </c>
      <c r="H784" s="1404">
        <v>44849</v>
      </c>
      <c r="I784" s="1405">
        <v>2</v>
      </c>
      <c r="J784" s="1405" t="s">
        <v>699</v>
      </c>
      <c r="K784" s="1406" t="s">
        <v>674</v>
      </c>
      <c r="L784" s="1407" t="s">
        <v>675</v>
      </c>
      <c r="M784" s="1408">
        <v>20000000</v>
      </c>
      <c r="N784" s="1409" t="s">
        <v>768</v>
      </c>
      <c r="O784" s="1402" t="s">
        <v>767</v>
      </c>
      <c r="P784" s="1411" t="s">
        <v>678</v>
      </c>
      <c r="R784" s="1352"/>
      <c r="S784" s="1352"/>
      <c r="T784" s="1352">
        <f>+Tabla16[[#This Row],[CDPS A 31 JULIO 2022]]-Tabla16[[#This Row],[CDP]]</f>
        <v>0</v>
      </c>
      <c r="U784" s="1352"/>
      <c r="V784" s="1352"/>
      <c r="W784" s="1352"/>
    </row>
    <row r="785" spans="1:23" s="1317" customFormat="1" ht="45" customHeight="1" x14ac:dyDescent="0.3">
      <c r="A785" s="1398">
        <v>2022829</v>
      </c>
      <c r="B785" s="1399">
        <v>7637</v>
      </c>
      <c r="C785" s="1400" t="s">
        <v>643</v>
      </c>
      <c r="D785" s="1401" t="s">
        <v>671</v>
      </c>
      <c r="E785" s="1402">
        <v>80111600</v>
      </c>
      <c r="F785" s="1402" t="s">
        <v>4703</v>
      </c>
      <c r="G785" s="1404">
        <v>44805</v>
      </c>
      <c r="H785" s="1404">
        <v>44819</v>
      </c>
      <c r="I785" s="1405">
        <v>2</v>
      </c>
      <c r="J785" s="1405" t="s">
        <v>673</v>
      </c>
      <c r="K785" s="1406" t="s">
        <v>674</v>
      </c>
      <c r="L785" s="1407" t="s">
        <v>675</v>
      </c>
      <c r="M785" s="1408">
        <v>10000000</v>
      </c>
      <c r="N785" s="1409" t="s">
        <v>732</v>
      </c>
      <c r="O785" s="1402" t="s">
        <v>1416</v>
      </c>
      <c r="P785" s="1411" t="s">
        <v>678</v>
      </c>
      <c r="R785" s="1352"/>
      <c r="S785" s="1352"/>
      <c r="T785" s="1352">
        <f>+Tabla16[[#This Row],[CDPS A 31 JULIO 2022]]-Tabla16[[#This Row],[CDP]]</f>
        <v>0</v>
      </c>
      <c r="U785" s="1352"/>
      <c r="V785" s="1352"/>
      <c r="W785" s="1352"/>
    </row>
    <row r="786" spans="1:23" s="1317" customFormat="1" ht="45" customHeight="1" x14ac:dyDescent="0.3">
      <c r="A786" s="1398">
        <v>2022830</v>
      </c>
      <c r="B786" s="1399">
        <v>7655</v>
      </c>
      <c r="C786" s="1400" t="s">
        <v>668</v>
      </c>
      <c r="D786" s="1401" t="s">
        <v>695</v>
      </c>
      <c r="E786" s="1402">
        <v>80111600</v>
      </c>
      <c r="F786" s="1402" t="s">
        <v>4688</v>
      </c>
      <c r="G786" s="1404">
        <v>44817</v>
      </c>
      <c r="H786" s="1404">
        <v>44820</v>
      </c>
      <c r="I786" s="1405">
        <v>4</v>
      </c>
      <c r="J786" s="1405" t="s">
        <v>673</v>
      </c>
      <c r="K786" s="1406" t="s">
        <v>674</v>
      </c>
      <c r="L786" s="1407" t="s">
        <v>675</v>
      </c>
      <c r="M786" s="1408">
        <v>12916800</v>
      </c>
      <c r="N786" s="1409" t="s">
        <v>783</v>
      </c>
      <c r="O786" s="1402" t="s">
        <v>778</v>
      </c>
      <c r="P786" s="1411" t="s">
        <v>757</v>
      </c>
      <c r="R786" s="1352"/>
      <c r="S786" s="1352"/>
      <c r="T786" s="1352">
        <f>+Tabla16[[#This Row],[CDPS A 31 JULIO 2022]]-Tabla16[[#This Row],[CDP]]</f>
        <v>0</v>
      </c>
      <c r="U786" s="1352"/>
      <c r="V786" s="1352"/>
      <c r="W786" s="1352"/>
    </row>
    <row r="787" spans="1:23" s="1317" customFormat="1" ht="45" customHeight="1" x14ac:dyDescent="0.3">
      <c r="A787" s="1398">
        <v>2022831</v>
      </c>
      <c r="B787" s="1399">
        <v>7655</v>
      </c>
      <c r="C787" s="1400" t="s">
        <v>668</v>
      </c>
      <c r="D787" s="1401" t="s">
        <v>695</v>
      </c>
      <c r="E787" s="1402">
        <v>80111600</v>
      </c>
      <c r="F787" s="1402" t="s">
        <v>4689</v>
      </c>
      <c r="G787" s="1404">
        <v>44817</v>
      </c>
      <c r="H787" s="1404">
        <v>44820</v>
      </c>
      <c r="I787" s="1405">
        <v>3.5</v>
      </c>
      <c r="J787" s="1405" t="s">
        <v>673</v>
      </c>
      <c r="K787" s="1406" t="s">
        <v>674</v>
      </c>
      <c r="L787" s="1407" t="s">
        <v>675</v>
      </c>
      <c r="M787" s="1408">
        <v>14055300</v>
      </c>
      <c r="N787" s="1409" t="s">
        <v>783</v>
      </c>
      <c r="O787" s="1402" t="s">
        <v>778</v>
      </c>
      <c r="P787" s="1411" t="s">
        <v>757</v>
      </c>
      <c r="R787" s="1352"/>
      <c r="S787" s="1352"/>
      <c r="T787" s="1352">
        <f>+Tabla16[[#This Row],[CDPS A 31 JULIO 2022]]-Tabla16[[#This Row],[CDP]]</f>
        <v>0</v>
      </c>
      <c r="U787" s="1352"/>
      <c r="V787" s="1352"/>
      <c r="W787" s="1352"/>
    </row>
    <row r="788" spans="1:23" s="1317" customFormat="1" ht="45" customHeight="1" x14ac:dyDescent="0.3">
      <c r="A788" s="1398">
        <v>2022832</v>
      </c>
      <c r="B788" s="1399">
        <v>7655</v>
      </c>
      <c r="C788" s="1400" t="s">
        <v>668</v>
      </c>
      <c r="D788" s="1401" t="s">
        <v>695</v>
      </c>
      <c r="E788" s="1402">
        <v>80111600</v>
      </c>
      <c r="F788" s="1402" t="s">
        <v>4690</v>
      </c>
      <c r="G788" s="1404">
        <v>44817</v>
      </c>
      <c r="H788" s="1404">
        <v>44820</v>
      </c>
      <c r="I788" s="1405">
        <v>4</v>
      </c>
      <c r="J788" s="1405" t="s">
        <v>673</v>
      </c>
      <c r="K788" s="1406" t="s">
        <v>674</v>
      </c>
      <c r="L788" s="1407" t="s">
        <v>675</v>
      </c>
      <c r="M788" s="1408">
        <v>20010000</v>
      </c>
      <c r="N788" s="1409" t="s">
        <v>783</v>
      </c>
      <c r="O788" s="1402" t="s">
        <v>778</v>
      </c>
      <c r="P788" s="1411" t="s">
        <v>757</v>
      </c>
      <c r="R788" s="1352"/>
      <c r="S788" s="1352"/>
      <c r="T788" s="1352">
        <f>+Tabla16[[#This Row],[CDPS A 31 JULIO 2022]]-Tabla16[[#This Row],[CDP]]</f>
        <v>0</v>
      </c>
      <c r="U788" s="1352"/>
      <c r="V788" s="1352"/>
      <c r="W788" s="1352"/>
    </row>
    <row r="789" spans="1:23" s="1317" customFormat="1" ht="45" customHeight="1" x14ac:dyDescent="0.3">
      <c r="A789" s="1398">
        <v>2022833</v>
      </c>
      <c r="B789" s="1399">
        <v>7655</v>
      </c>
      <c r="C789" s="1400" t="s">
        <v>668</v>
      </c>
      <c r="D789" s="1401" t="s">
        <v>695</v>
      </c>
      <c r="E789" s="1402">
        <v>80111600</v>
      </c>
      <c r="F789" s="1402" t="s">
        <v>4691</v>
      </c>
      <c r="G789" s="1404">
        <v>44819</v>
      </c>
      <c r="H789" s="1404">
        <v>44823</v>
      </c>
      <c r="I789" s="1405">
        <v>3</v>
      </c>
      <c r="J789" s="1405" t="s">
        <v>673</v>
      </c>
      <c r="K789" s="1406" t="s">
        <v>674</v>
      </c>
      <c r="L789" s="1407" t="s">
        <v>675</v>
      </c>
      <c r="M789" s="1408">
        <v>15007500</v>
      </c>
      <c r="N789" s="1409" t="s">
        <v>783</v>
      </c>
      <c r="O789" s="1402" t="s">
        <v>778</v>
      </c>
      <c r="P789" s="1411" t="s">
        <v>757</v>
      </c>
      <c r="R789" s="1352"/>
      <c r="S789" s="1352"/>
      <c r="T789" s="1352">
        <f>+Tabla16[[#This Row],[CDPS A 31 JULIO 2022]]-Tabla16[[#This Row],[CDP]]</f>
        <v>0</v>
      </c>
      <c r="U789" s="1352"/>
      <c r="V789" s="1352"/>
      <c r="W789" s="1352"/>
    </row>
    <row r="790" spans="1:23" s="1317" customFormat="1" ht="45" customHeight="1" x14ac:dyDescent="0.3">
      <c r="A790" s="1398">
        <v>2022834</v>
      </c>
      <c r="B790" s="1399">
        <v>7655</v>
      </c>
      <c r="C790" s="1400" t="s">
        <v>668</v>
      </c>
      <c r="D790" s="1401" t="s">
        <v>695</v>
      </c>
      <c r="E790" s="1402">
        <v>80111600</v>
      </c>
      <c r="F790" s="1402" t="s">
        <v>4692</v>
      </c>
      <c r="G790" s="1404">
        <v>44824</v>
      </c>
      <c r="H790" s="1404">
        <v>44827</v>
      </c>
      <c r="I790" s="1405">
        <v>3</v>
      </c>
      <c r="J790" s="1405" t="s">
        <v>673</v>
      </c>
      <c r="K790" s="1406" t="s">
        <v>674</v>
      </c>
      <c r="L790" s="1407" t="s">
        <v>675</v>
      </c>
      <c r="M790" s="1408">
        <v>15750633</v>
      </c>
      <c r="N790" s="1409" t="s">
        <v>783</v>
      </c>
      <c r="O790" s="1402" t="s">
        <v>778</v>
      </c>
      <c r="P790" s="1411" t="s">
        <v>757</v>
      </c>
      <c r="R790" s="1352"/>
      <c r="S790" s="1352"/>
      <c r="T790" s="1352">
        <f>+Tabla16[[#This Row],[CDPS A 31 JULIO 2022]]-Tabla16[[#This Row],[CDP]]</f>
        <v>0</v>
      </c>
      <c r="U790" s="1352"/>
      <c r="V790" s="1352"/>
      <c r="W790" s="1352"/>
    </row>
    <row r="791" spans="1:23" s="1317" customFormat="1" ht="45" customHeight="1" x14ac:dyDescent="0.3">
      <c r="A791" s="1398">
        <v>2022835</v>
      </c>
      <c r="B791" s="1399">
        <v>7655</v>
      </c>
      <c r="C791" s="1400" t="s">
        <v>668</v>
      </c>
      <c r="D791" s="1401" t="s">
        <v>695</v>
      </c>
      <c r="E791" s="1402">
        <v>80111600</v>
      </c>
      <c r="F791" s="1402" t="s">
        <v>4693</v>
      </c>
      <c r="G791" s="1404">
        <v>44824</v>
      </c>
      <c r="H791" s="1404">
        <v>44827</v>
      </c>
      <c r="I791" s="1405">
        <v>3.5</v>
      </c>
      <c r="J791" s="1405" t="s">
        <v>673</v>
      </c>
      <c r="K791" s="1406" t="s">
        <v>674</v>
      </c>
      <c r="L791" s="1407" t="s">
        <v>675</v>
      </c>
      <c r="M791" s="1408">
        <v>14055300</v>
      </c>
      <c r="N791" s="1409" t="s">
        <v>783</v>
      </c>
      <c r="O791" s="1402" t="s">
        <v>778</v>
      </c>
      <c r="P791" s="1411" t="s">
        <v>757</v>
      </c>
      <c r="R791" s="1352"/>
      <c r="S791" s="1352"/>
      <c r="T791" s="1352">
        <f>+Tabla16[[#This Row],[CDPS A 31 JULIO 2022]]-Tabla16[[#This Row],[CDP]]</f>
        <v>0</v>
      </c>
      <c r="U791" s="1352"/>
      <c r="V791" s="1352"/>
      <c r="W791" s="1352"/>
    </row>
    <row r="792" spans="1:23" s="1317" customFormat="1" ht="45" customHeight="1" x14ac:dyDescent="0.3">
      <c r="A792" s="1398">
        <v>2022836</v>
      </c>
      <c r="B792" s="1399">
        <v>7655</v>
      </c>
      <c r="C792" s="1400" t="s">
        <v>668</v>
      </c>
      <c r="D792" s="1401" t="s">
        <v>695</v>
      </c>
      <c r="E792" s="1402">
        <v>80111600</v>
      </c>
      <c r="F792" s="1402" t="s">
        <v>4694</v>
      </c>
      <c r="G792" s="1404">
        <v>44826</v>
      </c>
      <c r="H792" s="1404">
        <v>44829</v>
      </c>
      <c r="I792" s="1405">
        <v>2</v>
      </c>
      <c r="J792" s="1405" t="s">
        <v>673</v>
      </c>
      <c r="K792" s="1406" t="s">
        <v>674</v>
      </c>
      <c r="L792" s="1407" t="s">
        <v>675</v>
      </c>
      <c r="M792" s="1408">
        <v>7700000</v>
      </c>
      <c r="N792" s="1409" t="s">
        <v>783</v>
      </c>
      <c r="O792" s="1402" t="s">
        <v>778</v>
      </c>
      <c r="P792" s="1411" t="s">
        <v>757</v>
      </c>
      <c r="R792" s="1352"/>
      <c r="S792" s="1352"/>
      <c r="T792" s="1352">
        <f>+Tabla16[[#This Row],[CDPS A 31 JULIO 2022]]-Tabla16[[#This Row],[CDP]]</f>
        <v>0</v>
      </c>
      <c r="U792" s="1352"/>
      <c r="V792" s="1352"/>
      <c r="W792" s="1352"/>
    </row>
    <row r="793" spans="1:23" s="1317" customFormat="1" ht="45" customHeight="1" x14ac:dyDescent="0.3">
      <c r="A793" s="1398">
        <v>2022837</v>
      </c>
      <c r="B793" s="1399">
        <v>7655</v>
      </c>
      <c r="C793" s="1400" t="s">
        <v>668</v>
      </c>
      <c r="D793" s="1401" t="s">
        <v>695</v>
      </c>
      <c r="E793" s="1402">
        <v>80111600</v>
      </c>
      <c r="F793" s="1402" t="s">
        <v>4695</v>
      </c>
      <c r="G793" s="1404">
        <v>44831</v>
      </c>
      <c r="H793" s="1404">
        <v>44834</v>
      </c>
      <c r="I793" s="1405">
        <v>2.5</v>
      </c>
      <c r="J793" s="1405" t="s">
        <v>673</v>
      </c>
      <c r="K793" s="1406" t="s">
        <v>674</v>
      </c>
      <c r="L793" s="1407" t="s">
        <v>675</v>
      </c>
      <c r="M793" s="1408">
        <v>10867500</v>
      </c>
      <c r="N793" s="1409" t="s">
        <v>783</v>
      </c>
      <c r="O793" s="1402" t="s">
        <v>778</v>
      </c>
      <c r="P793" s="1411" t="s">
        <v>757</v>
      </c>
      <c r="R793" s="1352"/>
      <c r="S793" s="1352"/>
      <c r="T793" s="1352">
        <f>+Tabla16[[#This Row],[CDPS A 31 JULIO 2022]]-Tabla16[[#This Row],[CDP]]</f>
        <v>0</v>
      </c>
      <c r="U793" s="1352"/>
      <c r="V793" s="1352"/>
      <c r="W793" s="1352"/>
    </row>
    <row r="794" spans="1:23" s="1317" customFormat="1" ht="45" customHeight="1" x14ac:dyDescent="0.3">
      <c r="A794" s="1398">
        <v>2022838</v>
      </c>
      <c r="B794" s="1399">
        <v>7655</v>
      </c>
      <c r="C794" s="1400" t="s">
        <v>668</v>
      </c>
      <c r="D794" s="1401" t="s">
        <v>695</v>
      </c>
      <c r="E794" s="1402">
        <v>80111600</v>
      </c>
      <c r="F794" s="1402" t="s">
        <v>855</v>
      </c>
      <c r="G794" s="1404">
        <v>44814</v>
      </c>
      <c r="H794" s="1404">
        <v>44821</v>
      </c>
      <c r="I794" s="1405">
        <v>1.5</v>
      </c>
      <c r="J794" s="1405" t="s">
        <v>673</v>
      </c>
      <c r="K794" s="1406" t="s">
        <v>674</v>
      </c>
      <c r="L794" s="1407" t="s">
        <v>675</v>
      </c>
      <c r="M794" s="1408">
        <v>6520500</v>
      </c>
      <c r="N794" s="1409" t="s">
        <v>783</v>
      </c>
      <c r="O794" s="1402" t="s">
        <v>778</v>
      </c>
      <c r="P794" s="1411" t="s">
        <v>678</v>
      </c>
      <c r="R794" s="1352"/>
      <c r="S794" s="1352"/>
      <c r="T794" s="1352">
        <f>+Tabla16[[#This Row],[CDPS A 31 JULIO 2022]]-Tabla16[[#This Row],[CDP]]</f>
        <v>0</v>
      </c>
      <c r="U794" s="1352"/>
      <c r="V794" s="1352"/>
      <c r="W794" s="1352"/>
    </row>
    <row r="795" spans="1:23" s="1317" customFormat="1" ht="45" customHeight="1" x14ac:dyDescent="0.3">
      <c r="A795" s="1398">
        <v>2022839</v>
      </c>
      <c r="B795" s="1399">
        <v>7655</v>
      </c>
      <c r="C795" s="1400" t="s">
        <v>668</v>
      </c>
      <c r="D795" s="1401" t="s">
        <v>695</v>
      </c>
      <c r="E795" s="1402">
        <v>80111600</v>
      </c>
      <c r="F795" s="1402" t="s">
        <v>857</v>
      </c>
      <c r="G795" s="1404">
        <v>44814</v>
      </c>
      <c r="H795" s="1404">
        <v>44821</v>
      </c>
      <c r="I795" s="1405">
        <v>3.5</v>
      </c>
      <c r="J795" s="1405" t="s">
        <v>673</v>
      </c>
      <c r="K795" s="1406" t="s">
        <v>674</v>
      </c>
      <c r="L795" s="1407" t="s">
        <v>675</v>
      </c>
      <c r="M795" s="1408">
        <v>17850000</v>
      </c>
      <c r="N795" s="1409" t="s">
        <v>783</v>
      </c>
      <c r="O795" s="1402" t="s">
        <v>778</v>
      </c>
      <c r="P795" s="1411" t="s">
        <v>678</v>
      </c>
      <c r="R795" s="1352"/>
      <c r="S795" s="1352"/>
      <c r="T795" s="1352">
        <f>+Tabla16[[#This Row],[CDPS A 31 JULIO 2022]]-Tabla16[[#This Row],[CDP]]</f>
        <v>0</v>
      </c>
      <c r="U795" s="1352"/>
      <c r="V795" s="1352"/>
      <c r="W795" s="1352"/>
    </row>
    <row r="796" spans="1:23" s="1317" customFormat="1" ht="45" customHeight="1" x14ac:dyDescent="0.3">
      <c r="A796" s="1398">
        <v>2022840</v>
      </c>
      <c r="B796" s="1399">
        <v>7655</v>
      </c>
      <c r="C796" s="1400" t="s">
        <v>668</v>
      </c>
      <c r="D796" s="1401" t="s">
        <v>695</v>
      </c>
      <c r="E796" s="1402">
        <v>80111600</v>
      </c>
      <c r="F796" s="1402" t="s">
        <v>860</v>
      </c>
      <c r="G796" s="1404">
        <v>44814</v>
      </c>
      <c r="H796" s="1404">
        <v>44821</v>
      </c>
      <c r="I796" s="1405">
        <v>3</v>
      </c>
      <c r="J796" s="1405" t="s">
        <v>673</v>
      </c>
      <c r="K796" s="1406" t="s">
        <v>674</v>
      </c>
      <c r="L796" s="1407" t="s">
        <v>675</v>
      </c>
      <c r="M796" s="1408">
        <v>16509700</v>
      </c>
      <c r="N796" s="1409" t="s">
        <v>783</v>
      </c>
      <c r="O796" s="1402" t="s">
        <v>778</v>
      </c>
      <c r="P796" s="1411" t="s">
        <v>678</v>
      </c>
      <c r="R796" s="1352"/>
      <c r="S796" s="1352"/>
      <c r="T796" s="1352">
        <f>+Tabla16[[#This Row],[CDPS A 31 JULIO 2022]]-Tabla16[[#This Row],[CDP]]</f>
        <v>0</v>
      </c>
      <c r="U796" s="1352"/>
      <c r="V796" s="1352"/>
      <c r="W796" s="1352"/>
    </row>
    <row r="797" spans="1:23" s="1317" customFormat="1" ht="45" customHeight="1" x14ac:dyDescent="0.3">
      <c r="A797" s="1398">
        <v>2022841</v>
      </c>
      <c r="B797" s="1399">
        <v>7655</v>
      </c>
      <c r="C797" s="1400" t="s">
        <v>668</v>
      </c>
      <c r="D797" s="1401" t="s">
        <v>695</v>
      </c>
      <c r="E797" s="1402">
        <v>80111600</v>
      </c>
      <c r="F797" s="1402" t="s">
        <v>4696</v>
      </c>
      <c r="G797" s="1404">
        <v>44814</v>
      </c>
      <c r="H797" s="1404">
        <v>44821</v>
      </c>
      <c r="I797" s="1405">
        <v>4</v>
      </c>
      <c r="J797" s="1405" t="s">
        <v>673</v>
      </c>
      <c r="K797" s="1406" t="s">
        <v>674</v>
      </c>
      <c r="L797" s="1407" t="s">
        <v>675</v>
      </c>
      <c r="M797" s="1408">
        <v>13400000</v>
      </c>
      <c r="N797" s="1409" t="s">
        <v>783</v>
      </c>
      <c r="O797" s="1402" t="s">
        <v>778</v>
      </c>
      <c r="P797" s="1411" t="s">
        <v>678</v>
      </c>
      <c r="R797" s="1352"/>
      <c r="S797" s="1352"/>
      <c r="T797" s="1352">
        <f>+Tabla16[[#This Row],[CDPS A 31 JULIO 2022]]-Tabla16[[#This Row],[CDP]]</f>
        <v>0</v>
      </c>
      <c r="U797" s="1352"/>
      <c r="V797" s="1352"/>
      <c r="W797" s="1352"/>
    </row>
    <row r="798" spans="1:23" s="1317" customFormat="1" ht="45" customHeight="1" x14ac:dyDescent="0.3">
      <c r="A798" s="1398">
        <v>2022842</v>
      </c>
      <c r="B798" s="1399">
        <v>7658</v>
      </c>
      <c r="C798" s="1400" t="s">
        <v>679</v>
      </c>
      <c r="D798" s="1401" t="s">
        <v>695</v>
      </c>
      <c r="E798" s="1402">
        <v>80111600</v>
      </c>
      <c r="F798" s="1402" t="s">
        <v>4697</v>
      </c>
      <c r="G798" s="1404">
        <v>44822</v>
      </c>
      <c r="H798" s="1404">
        <v>44825</v>
      </c>
      <c r="I798" s="1405">
        <v>3</v>
      </c>
      <c r="J798" s="1405" t="s">
        <v>673</v>
      </c>
      <c r="K798" s="1406" t="s">
        <v>674</v>
      </c>
      <c r="L798" s="1407" t="s">
        <v>675</v>
      </c>
      <c r="M798" s="1408">
        <v>7350000</v>
      </c>
      <c r="N798" s="1409" t="s">
        <v>765</v>
      </c>
      <c r="O798" s="1402" t="s">
        <v>764</v>
      </c>
      <c r="P798" s="1411" t="s">
        <v>757</v>
      </c>
      <c r="R798" s="1352"/>
      <c r="S798" s="1352"/>
      <c r="T798" s="1352">
        <f>+Tabla16[[#This Row],[CDPS A 31 JULIO 2022]]-Tabla16[[#This Row],[CDP]]</f>
        <v>0</v>
      </c>
      <c r="U798" s="1352"/>
      <c r="V798" s="1352"/>
      <c r="W798" s="1352"/>
    </row>
    <row r="799" spans="1:23" s="1317" customFormat="1" ht="45" customHeight="1" x14ac:dyDescent="0.3">
      <c r="A799" s="1398">
        <v>2022843</v>
      </c>
      <c r="B799" s="1399">
        <v>7658</v>
      </c>
      <c r="C799" s="1400" t="s">
        <v>679</v>
      </c>
      <c r="D799" s="1401" t="s">
        <v>695</v>
      </c>
      <c r="E799" s="1402">
        <v>80111600</v>
      </c>
      <c r="F799" s="1402" t="s">
        <v>4698</v>
      </c>
      <c r="G799" s="1404">
        <v>44824</v>
      </c>
      <c r="H799" s="1404">
        <v>44827</v>
      </c>
      <c r="I799" s="1405">
        <v>4</v>
      </c>
      <c r="J799" s="1405" t="s">
        <v>673</v>
      </c>
      <c r="K799" s="1406" t="s">
        <v>674</v>
      </c>
      <c r="L799" s="1407" t="s">
        <v>675</v>
      </c>
      <c r="M799" s="1408">
        <v>15939000</v>
      </c>
      <c r="N799" s="1409" t="s">
        <v>765</v>
      </c>
      <c r="O799" s="1402" t="s">
        <v>764</v>
      </c>
      <c r="P799" s="1411" t="s">
        <v>757</v>
      </c>
      <c r="R799" s="1352"/>
      <c r="S799" s="1352"/>
      <c r="T799" s="1352">
        <f>+Tabla16[[#This Row],[CDPS A 31 JULIO 2022]]-Tabla16[[#This Row],[CDP]]</f>
        <v>0</v>
      </c>
      <c r="U799" s="1352"/>
      <c r="V799" s="1352"/>
      <c r="W799" s="1352"/>
    </row>
    <row r="800" spans="1:23" s="1317" customFormat="1" ht="45" customHeight="1" x14ac:dyDescent="0.3">
      <c r="A800" s="1398">
        <v>2022844</v>
      </c>
      <c r="B800" s="1399">
        <v>7658</v>
      </c>
      <c r="C800" s="1400" t="s">
        <v>679</v>
      </c>
      <c r="D800" s="1401" t="s">
        <v>695</v>
      </c>
      <c r="E800" s="1402">
        <v>80111600</v>
      </c>
      <c r="F800" s="1402" t="s">
        <v>4699</v>
      </c>
      <c r="G800" s="1404">
        <v>44814</v>
      </c>
      <c r="H800" s="1404">
        <v>44821</v>
      </c>
      <c r="I800" s="1405">
        <v>6</v>
      </c>
      <c r="J800" s="1405" t="s">
        <v>673</v>
      </c>
      <c r="K800" s="1406" t="s">
        <v>674</v>
      </c>
      <c r="L800" s="1407" t="s">
        <v>675</v>
      </c>
      <c r="M800" s="1408">
        <v>16500000</v>
      </c>
      <c r="N800" s="1409" t="s">
        <v>765</v>
      </c>
      <c r="O800" s="1402" t="s">
        <v>764</v>
      </c>
      <c r="P800" s="1411" t="s">
        <v>678</v>
      </c>
      <c r="R800" s="1352"/>
      <c r="S800" s="1352"/>
      <c r="T800" s="1352">
        <f>+Tabla16[[#This Row],[CDPS A 31 JULIO 2022]]-Tabla16[[#This Row],[CDP]]</f>
        <v>0</v>
      </c>
      <c r="U800" s="1352"/>
      <c r="V800" s="1352"/>
      <c r="W800" s="1352"/>
    </row>
    <row r="801" spans="1:23" s="1317" customFormat="1" ht="45" customHeight="1" x14ac:dyDescent="0.3">
      <c r="A801" s="1398">
        <v>2022845</v>
      </c>
      <c r="B801" s="1399">
        <v>7655</v>
      </c>
      <c r="C801" s="1400" t="s">
        <v>668</v>
      </c>
      <c r="D801" s="1401" t="s">
        <v>689</v>
      </c>
      <c r="E801" s="1402" t="s">
        <v>780</v>
      </c>
      <c r="F801" s="1402" t="s">
        <v>4704</v>
      </c>
      <c r="G801" s="1404">
        <v>44805</v>
      </c>
      <c r="H801" s="1404">
        <v>44814</v>
      </c>
      <c r="I801" s="1405">
        <v>4</v>
      </c>
      <c r="J801" s="1405" t="s">
        <v>673</v>
      </c>
      <c r="K801" s="1406" t="s">
        <v>674</v>
      </c>
      <c r="L801" s="1407" t="s">
        <v>675</v>
      </c>
      <c r="M801" s="1408">
        <v>36000000</v>
      </c>
      <c r="N801" s="1409" t="s">
        <v>783</v>
      </c>
      <c r="O801" s="1402" t="s">
        <v>778</v>
      </c>
      <c r="P801" s="1410" t="s">
        <v>678</v>
      </c>
      <c r="R801" s="1352"/>
      <c r="S801" s="1352"/>
      <c r="T801" s="1352">
        <f>+Tabla16[[#This Row],[CDPS A 31 JULIO 2022]]-Tabla16[[#This Row],[CDP]]</f>
        <v>0</v>
      </c>
      <c r="U801" s="1352"/>
      <c r="V801" s="1352"/>
      <c r="W801" s="1352"/>
    </row>
    <row r="802" spans="1:23" s="1317" customFormat="1" ht="45" hidden="1" customHeight="1" x14ac:dyDescent="0.3">
      <c r="A802" s="1322"/>
      <c r="B802" s="1339"/>
      <c r="C802" s="1345"/>
      <c r="D802" s="1334"/>
      <c r="E802" s="1335"/>
      <c r="F802" s="1335"/>
      <c r="G802" s="1327"/>
      <c r="H802" s="1327"/>
      <c r="I802" s="1323"/>
      <c r="J802" s="1323"/>
      <c r="K802" s="1324"/>
      <c r="L802" s="1325"/>
      <c r="M802" s="1336"/>
      <c r="N802" s="1338"/>
      <c r="O802" s="1335"/>
      <c r="P802" s="1316"/>
      <c r="R802" s="1352"/>
      <c r="S802" s="1352"/>
      <c r="T802" s="1352">
        <f>+Tabla16[[#This Row],[CDPS A 31 JULIO 2022]]-Tabla16[[#This Row],[CDP]]</f>
        <v>0</v>
      </c>
      <c r="U802" s="1352"/>
      <c r="V802" s="1352"/>
      <c r="W802" s="1352"/>
    </row>
    <row r="803" spans="1:23" s="1317" customFormat="1" ht="45" hidden="1" customHeight="1" x14ac:dyDescent="0.3">
      <c r="A803" s="1322"/>
      <c r="B803" s="1339"/>
      <c r="C803" s="1345"/>
      <c r="D803" s="1334"/>
      <c r="E803" s="1335"/>
      <c r="F803" s="1335"/>
      <c r="G803" s="1327"/>
      <c r="H803" s="1327"/>
      <c r="I803" s="1323"/>
      <c r="J803" s="1323"/>
      <c r="K803" s="1324"/>
      <c r="L803" s="1325"/>
      <c r="M803" s="1336"/>
      <c r="N803" s="1338"/>
      <c r="O803" s="1335"/>
      <c r="P803" s="1316"/>
      <c r="R803" s="1352"/>
      <c r="S803" s="1352"/>
      <c r="T803" s="1352">
        <f>+Tabla16[[#This Row],[CDPS A 31 JULIO 2022]]-Tabla16[[#This Row],[CDP]]</f>
        <v>0</v>
      </c>
      <c r="U803" s="1352"/>
      <c r="V803" s="1352"/>
      <c r="W803" s="1352"/>
    </row>
    <row r="804" spans="1:23" s="1317" customFormat="1" ht="45" hidden="1" customHeight="1" x14ac:dyDescent="0.3">
      <c r="A804" s="1322"/>
      <c r="B804" s="1339"/>
      <c r="C804" s="1345"/>
      <c r="D804" s="1334"/>
      <c r="E804" s="1335"/>
      <c r="F804" s="1335"/>
      <c r="G804" s="1327"/>
      <c r="H804" s="1327"/>
      <c r="I804" s="1323"/>
      <c r="J804" s="1323"/>
      <c r="K804" s="1324"/>
      <c r="L804" s="1325"/>
      <c r="M804" s="1336"/>
      <c r="N804" s="1338"/>
      <c r="O804" s="1335"/>
      <c r="P804" s="1316"/>
      <c r="R804" s="1352"/>
      <c r="S804" s="1352"/>
      <c r="T804" s="1352">
        <f>+Tabla16[[#This Row],[CDPS A 31 JULIO 2022]]-Tabla16[[#This Row],[CDP]]</f>
        <v>0</v>
      </c>
      <c r="U804" s="1352"/>
      <c r="V804" s="1352"/>
      <c r="W804" s="1352"/>
    </row>
    <row r="805" spans="1:23" s="1317" customFormat="1" ht="45" hidden="1" customHeight="1" x14ac:dyDescent="0.3">
      <c r="A805" s="1322"/>
      <c r="B805" s="1339"/>
      <c r="C805" s="1345"/>
      <c r="D805" s="1334"/>
      <c r="E805" s="1335"/>
      <c r="F805" s="1335"/>
      <c r="G805" s="1327"/>
      <c r="H805" s="1327"/>
      <c r="I805" s="1323"/>
      <c r="J805" s="1323"/>
      <c r="K805" s="1324"/>
      <c r="L805" s="1325"/>
      <c r="M805" s="1336"/>
      <c r="N805" s="1338"/>
      <c r="O805" s="1335"/>
      <c r="P805" s="1316"/>
      <c r="R805" s="1352"/>
      <c r="S805" s="1352"/>
      <c r="T805" s="1352">
        <f>+Tabla16[[#This Row],[CDPS A 31 JULIO 2022]]-Tabla16[[#This Row],[CDP]]</f>
        <v>0</v>
      </c>
      <c r="U805" s="1352"/>
      <c r="V805" s="1352"/>
      <c r="W805" s="1352"/>
    </row>
    <row r="806" spans="1:23" s="1317" customFormat="1" ht="45" hidden="1" customHeight="1" x14ac:dyDescent="0.3">
      <c r="A806" s="1322"/>
      <c r="B806" s="1339"/>
      <c r="C806" s="1345"/>
      <c r="D806" s="1334"/>
      <c r="E806" s="1335"/>
      <c r="F806" s="1335"/>
      <c r="G806" s="1327"/>
      <c r="H806" s="1327"/>
      <c r="I806" s="1323"/>
      <c r="J806" s="1323"/>
      <c r="K806" s="1324"/>
      <c r="L806" s="1325"/>
      <c r="M806" s="1336"/>
      <c r="N806" s="1338"/>
      <c r="O806" s="1335"/>
      <c r="P806" s="1316"/>
      <c r="R806" s="1352"/>
      <c r="S806" s="1352"/>
      <c r="T806" s="1352">
        <f>+Tabla16[[#This Row],[CDPS A 31 JULIO 2022]]-Tabla16[[#This Row],[CDP]]</f>
        <v>0</v>
      </c>
      <c r="U806" s="1352"/>
      <c r="V806" s="1352"/>
      <c r="W806" s="1352"/>
    </row>
    <row r="807" spans="1:23" s="1317" customFormat="1" ht="45" hidden="1" customHeight="1" x14ac:dyDescent="0.3">
      <c r="A807" s="1322"/>
      <c r="B807" s="1339"/>
      <c r="C807" s="1345"/>
      <c r="D807" s="1334"/>
      <c r="E807" s="1335"/>
      <c r="F807" s="1335"/>
      <c r="G807" s="1327"/>
      <c r="H807" s="1327"/>
      <c r="I807" s="1323"/>
      <c r="J807" s="1323"/>
      <c r="K807" s="1324"/>
      <c r="L807" s="1325"/>
      <c r="M807" s="1336"/>
      <c r="N807" s="1338"/>
      <c r="O807" s="1335"/>
      <c r="P807" s="1316"/>
      <c r="R807" s="1352"/>
      <c r="S807" s="1352"/>
      <c r="T807" s="1352">
        <f>+Tabla16[[#This Row],[CDPS A 31 JULIO 2022]]-Tabla16[[#This Row],[CDP]]</f>
        <v>0</v>
      </c>
      <c r="U807" s="1352"/>
      <c r="V807" s="1352"/>
      <c r="W807" s="1352"/>
    </row>
    <row r="808" spans="1:23" s="1317" customFormat="1" ht="45" hidden="1" customHeight="1" x14ac:dyDescent="0.3">
      <c r="A808" s="1322"/>
      <c r="B808" s="1339"/>
      <c r="C808" s="1345"/>
      <c r="D808" s="1334"/>
      <c r="E808" s="1335"/>
      <c r="F808" s="1335"/>
      <c r="G808" s="1327"/>
      <c r="H808" s="1327"/>
      <c r="I808" s="1323"/>
      <c r="J808" s="1323"/>
      <c r="K808" s="1324"/>
      <c r="L808" s="1325"/>
      <c r="M808" s="1336"/>
      <c r="N808" s="1338"/>
      <c r="O808" s="1335"/>
      <c r="P808" s="1316"/>
      <c r="R808" s="1352"/>
      <c r="S808" s="1352"/>
      <c r="T808" s="1352">
        <f>+Tabla16[[#This Row],[CDPS A 31 JULIO 2022]]-Tabla16[[#This Row],[CDP]]</f>
        <v>0</v>
      </c>
      <c r="U808" s="1352"/>
      <c r="V808" s="1352"/>
      <c r="W808" s="1352"/>
    </row>
    <row r="809" spans="1:23" s="1317" customFormat="1" ht="45" hidden="1" customHeight="1" x14ac:dyDescent="0.3">
      <c r="A809" s="1322"/>
      <c r="B809" s="1339"/>
      <c r="C809" s="1345"/>
      <c r="D809" s="1334"/>
      <c r="E809" s="1335"/>
      <c r="F809" s="1335"/>
      <c r="G809" s="1327"/>
      <c r="H809" s="1327"/>
      <c r="I809" s="1323"/>
      <c r="J809" s="1323"/>
      <c r="K809" s="1324"/>
      <c r="L809" s="1325"/>
      <c r="M809" s="1336"/>
      <c r="N809" s="1338"/>
      <c r="O809" s="1335"/>
      <c r="P809" s="1316"/>
      <c r="R809" s="1352"/>
      <c r="S809" s="1352"/>
      <c r="T809" s="1352">
        <f>+Tabla16[[#This Row],[CDPS A 31 JULIO 2022]]-Tabla16[[#This Row],[CDP]]</f>
        <v>0</v>
      </c>
      <c r="U809" s="1352"/>
      <c r="V809" s="1352"/>
      <c r="W809" s="1352"/>
    </row>
    <row r="810" spans="1:23" s="1317" customFormat="1" ht="45" hidden="1" customHeight="1" x14ac:dyDescent="0.3">
      <c r="A810" s="1322"/>
      <c r="B810" s="1339"/>
      <c r="C810" s="1345"/>
      <c r="D810" s="1334"/>
      <c r="E810" s="1335"/>
      <c r="F810" s="1335"/>
      <c r="G810" s="1327"/>
      <c r="H810" s="1327"/>
      <c r="I810" s="1323"/>
      <c r="J810" s="1323"/>
      <c r="K810" s="1324"/>
      <c r="L810" s="1325"/>
      <c r="M810" s="1336"/>
      <c r="N810" s="1338"/>
      <c r="O810" s="1335"/>
      <c r="P810" s="1316"/>
      <c r="R810" s="1352"/>
      <c r="S810" s="1352"/>
      <c r="T810" s="1352">
        <f>+Tabla16[[#This Row],[CDPS A 31 JULIO 2022]]-Tabla16[[#This Row],[CDP]]</f>
        <v>0</v>
      </c>
      <c r="U810" s="1352"/>
      <c r="V810" s="1352"/>
      <c r="W810" s="1352"/>
    </row>
    <row r="811" spans="1:23" s="1317" customFormat="1" ht="45" hidden="1" customHeight="1" x14ac:dyDescent="0.3">
      <c r="A811" s="1322"/>
      <c r="B811" s="1339"/>
      <c r="C811" s="1345"/>
      <c r="D811" s="1334"/>
      <c r="E811" s="1335"/>
      <c r="F811" s="1335"/>
      <c r="G811" s="1327"/>
      <c r="H811" s="1327"/>
      <c r="I811" s="1323"/>
      <c r="J811" s="1323"/>
      <c r="K811" s="1324"/>
      <c r="L811" s="1325"/>
      <c r="M811" s="1336"/>
      <c r="N811" s="1338"/>
      <c r="O811" s="1335"/>
      <c r="P811" s="1316"/>
      <c r="R811" s="1352"/>
      <c r="S811" s="1352"/>
      <c r="T811" s="1352">
        <f>+Tabla16[[#This Row],[CDPS A 31 JULIO 2022]]-Tabla16[[#This Row],[CDP]]</f>
        <v>0</v>
      </c>
      <c r="U811" s="1352"/>
      <c r="V811" s="1352"/>
      <c r="W811" s="1352"/>
    </row>
    <row r="812" spans="1:23" s="1317" customFormat="1" ht="45" hidden="1" customHeight="1" x14ac:dyDescent="0.3">
      <c r="A812" s="1322"/>
      <c r="B812" s="1339"/>
      <c r="C812" s="1345"/>
      <c r="D812" s="1334"/>
      <c r="E812" s="1335"/>
      <c r="F812" s="1335"/>
      <c r="G812" s="1327"/>
      <c r="H812" s="1327"/>
      <c r="I812" s="1323"/>
      <c r="J812" s="1323"/>
      <c r="K812" s="1324"/>
      <c r="L812" s="1325"/>
      <c r="M812" s="1336"/>
      <c r="N812" s="1338"/>
      <c r="O812" s="1335"/>
      <c r="P812" s="1316"/>
      <c r="R812" s="1352"/>
      <c r="S812" s="1352"/>
      <c r="T812" s="1352">
        <f>+Tabla16[[#This Row],[CDPS A 31 JULIO 2022]]-Tabla16[[#This Row],[CDP]]</f>
        <v>0</v>
      </c>
      <c r="U812" s="1352"/>
      <c r="V812" s="1352"/>
      <c r="W812" s="1352"/>
    </row>
    <row r="813" spans="1:23" s="1317" customFormat="1" ht="45" hidden="1" customHeight="1" x14ac:dyDescent="0.3">
      <c r="A813" s="1322"/>
      <c r="B813" s="1339"/>
      <c r="C813" s="1345"/>
      <c r="D813" s="1334"/>
      <c r="E813" s="1335"/>
      <c r="F813" s="1335"/>
      <c r="G813" s="1327"/>
      <c r="H813" s="1327"/>
      <c r="I813" s="1323"/>
      <c r="J813" s="1323"/>
      <c r="K813" s="1324"/>
      <c r="L813" s="1325"/>
      <c r="M813" s="1336"/>
      <c r="N813" s="1338"/>
      <c r="O813" s="1335"/>
      <c r="P813" s="1316"/>
      <c r="R813" s="1352"/>
      <c r="S813" s="1352"/>
      <c r="T813" s="1352">
        <f>+Tabla16[[#This Row],[CDPS A 31 JULIO 2022]]-Tabla16[[#This Row],[CDP]]</f>
        <v>0</v>
      </c>
      <c r="U813" s="1352"/>
      <c r="V813" s="1352"/>
      <c r="W813" s="1352"/>
    </row>
    <row r="814" spans="1:23" s="1317" customFormat="1" ht="45" hidden="1" customHeight="1" x14ac:dyDescent="0.3">
      <c r="A814" s="1322"/>
      <c r="B814" s="1339"/>
      <c r="C814" s="1345"/>
      <c r="D814" s="1334"/>
      <c r="E814" s="1335"/>
      <c r="F814" s="1335"/>
      <c r="G814" s="1327"/>
      <c r="H814" s="1327"/>
      <c r="I814" s="1323"/>
      <c r="J814" s="1323"/>
      <c r="K814" s="1324"/>
      <c r="L814" s="1325"/>
      <c r="M814" s="1336"/>
      <c r="N814" s="1338"/>
      <c r="O814" s="1335"/>
      <c r="P814" s="1316"/>
      <c r="R814" s="1352"/>
      <c r="S814" s="1352"/>
      <c r="T814" s="1352">
        <f>+Tabla16[[#This Row],[CDPS A 31 JULIO 2022]]-Tabla16[[#This Row],[CDP]]</f>
        <v>0</v>
      </c>
      <c r="U814" s="1352"/>
      <c r="V814" s="1352"/>
      <c r="W814" s="1352"/>
    </row>
    <row r="815" spans="1:23" s="1317" customFormat="1" ht="45" hidden="1" customHeight="1" x14ac:dyDescent="0.3">
      <c r="A815" s="1322"/>
      <c r="B815" s="1339"/>
      <c r="C815" s="1345"/>
      <c r="D815" s="1334"/>
      <c r="E815" s="1335"/>
      <c r="F815" s="1335"/>
      <c r="G815" s="1327"/>
      <c r="H815" s="1327"/>
      <c r="I815" s="1323"/>
      <c r="J815" s="1323"/>
      <c r="K815" s="1324"/>
      <c r="L815" s="1325"/>
      <c r="M815" s="1336"/>
      <c r="N815" s="1338"/>
      <c r="O815" s="1335"/>
      <c r="P815" s="1316"/>
      <c r="R815" s="1352"/>
      <c r="S815" s="1352"/>
      <c r="T815" s="1352">
        <f>+Tabla16[[#This Row],[CDPS A 31 JULIO 2022]]-Tabla16[[#This Row],[CDP]]</f>
        <v>0</v>
      </c>
      <c r="U815" s="1352"/>
      <c r="V815" s="1352"/>
      <c r="W815" s="1352"/>
    </row>
    <row r="816" spans="1:23" s="1317" customFormat="1" ht="45" hidden="1" customHeight="1" x14ac:dyDescent="0.3">
      <c r="A816" s="1322"/>
      <c r="B816" s="1339"/>
      <c r="C816" s="1345"/>
      <c r="D816" s="1334"/>
      <c r="E816" s="1335"/>
      <c r="F816" s="1335"/>
      <c r="G816" s="1327"/>
      <c r="H816" s="1327"/>
      <c r="I816" s="1323"/>
      <c r="J816" s="1323"/>
      <c r="K816" s="1324"/>
      <c r="L816" s="1325"/>
      <c r="M816" s="1336"/>
      <c r="N816" s="1338"/>
      <c r="O816" s="1335"/>
      <c r="P816" s="1316"/>
      <c r="R816" s="1352"/>
      <c r="S816" s="1352"/>
      <c r="T816" s="1352">
        <f>+Tabla16[[#This Row],[CDPS A 31 JULIO 2022]]-Tabla16[[#This Row],[CDP]]</f>
        <v>0</v>
      </c>
      <c r="U816" s="1352"/>
      <c r="V816" s="1352"/>
      <c r="W816" s="1352"/>
    </row>
    <row r="817" spans="1:23" s="1317" customFormat="1" ht="45" hidden="1" customHeight="1" x14ac:dyDescent="0.3">
      <c r="A817" s="1322"/>
      <c r="B817" s="1339"/>
      <c r="C817" s="1345"/>
      <c r="D817" s="1334"/>
      <c r="E817" s="1335"/>
      <c r="F817" s="1335"/>
      <c r="G817" s="1327"/>
      <c r="H817" s="1327"/>
      <c r="I817" s="1323"/>
      <c r="J817" s="1323"/>
      <c r="K817" s="1324"/>
      <c r="L817" s="1325"/>
      <c r="M817" s="1336"/>
      <c r="N817" s="1338"/>
      <c r="O817" s="1335"/>
      <c r="P817" s="1316"/>
      <c r="R817" s="1352"/>
      <c r="S817" s="1352"/>
      <c r="T817" s="1352">
        <f>+Tabla16[[#This Row],[CDPS A 31 JULIO 2022]]-Tabla16[[#This Row],[CDP]]</f>
        <v>0</v>
      </c>
      <c r="U817" s="1352"/>
      <c r="V817" s="1352"/>
      <c r="W817" s="1352"/>
    </row>
    <row r="818" spans="1:23" s="1317" customFormat="1" ht="45" hidden="1" customHeight="1" x14ac:dyDescent="0.3">
      <c r="A818" s="1322"/>
      <c r="B818" s="1339"/>
      <c r="C818" s="1345"/>
      <c r="D818" s="1334"/>
      <c r="E818" s="1335"/>
      <c r="F818" s="1335"/>
      <c r="G818" s="1327"/>
      <c r="H818" s="1327"/>
      <c r="I818" s="1323"/>
      <c r="J818" s="1323"/>
      <c r="K818" s="1324"/>
      <c r="L818" s="1325"/>
      <c r="M818" s="1336"/>
      <c r="N818" s="1338"/>
      <c r="O818" s="1335"/>
      <c r="P818" s="1316"/>
      <c r="R818" s="1352"/>
      <c r="S818" s="1352"/>
      <c r="T818" s="1352">
        <f>+Tabla16[[#This Row],[CDPS A 31 JULIO 2022]]-Tabla16[[#This Row],[CDP]]</f>
        <v>0</v>
      </c>
      <c r="U818" s="1352"/>
      <c r="V818" s="1352"/>
      <c r="W818" s="1352"/>
    </row>
    <row r="819" spans="1:23" s="1317" customFormat="1" ht="45" hidden="1" customHeight="1" x14ac:dyDescent="0.3">
      <c r="A819" s="1322"/>
      <c r="B819" s="1339"/>
      <c r="C819" s="1345"/>
      <c r="D819" s="1334"/>
      <c r="E819" s="1335"/>
      <c r="F819" s="1335"/>
      <c r="G819" s="1327"/>
      <c r="H819" s="1327"/>
      <c r="I819" s="1323"/>
      <c r="J819" s="1323"/>
      <c r="K819" s="1324"/>
      <c r="L819" s="1325"/>
      <c r="M819" s="1336"/>
      <c r="N819" s="1338"/>
      <c r="O819" s="1335"/>
      <c r="P819" s="1316"/>
      <c r="R819" s="1352"/>
      <c r="S819" s="1352"/>
      <c r="T819" s="1352">
        <f>+Tabla16[[#This Row],[CDPS A 31 JULIO 2022]]-Tabla16[[#This Row],[CDP]]</f>
        <v>0</v>
      </c>
      <c r="U819" s="1352"/>
      <c r="V819" s="1352"/>
      <c r="W819" s="1352"/>
    </row>
    <row r="820" spans="1:23" s="1317" customFormat="1" ht="45" hidden="1" customHeight="1" x14ac:dyDescent="0.3">
      <c r="A820" s="1322"/>
      <c r="B820" s="1339"/>
      <c r="C820" s="1345"/>
      <c r="D820" s="1334"/>
      <c r="E820" s="1335"/>
      <c r="F820" s="1335"/>
      <c r="G820" s="1327"/>
      <c r="H820" s="1327"/>
      <c r="I820" s="1323"/>
      <c r="J820" s="1323"/>
      <c r="K820" s="1324"/>
      <c r="L820" s="1325"/>
      <c r="M820" s="1336"/>
      <c r="N820" s="1338"/>
      <c r="O820" s="1335"/>
      <c r="P820" s="1316"/>
      <c r="R820" s="1352"/>
      <c r="S820" s="1352"/>
      <c r="T820" s="1352">
        <f>+Tabla16[[#This Row],[CDPS A 31 JULIO 2022]]-Tabla16[[#This Row],[CDP]]</f>
        <v>0</v>
      </c>
      <c r="U820" s="1352"/>
      <c r="V820" s="1352"/>
      <c r="W820" s="1352"/>
    </row>
    <row r="821" spans="1:23" s="1317" customFormat="1" ht="45" hidden="1" customHeight="1" x14ac:dyDescent="0.3">
      <c r="A821" s="1322"/>
      <c r="B821" s="1339"/>
      <c r="C821" s="1345"/>
      <c r="D821" s="1334"/>
      <c r="E821" s="1335"/>
      <c r="F821" s="1335"/>
      <c r="G821" s="1327"/>
      <c r="H821" s="1327"/>
      <c r="I821" s="1323"/>
      <c r="J821" s="1323"/>
      <c r="K821" s="1324"/>
      <c r="L821" s="1325"/>
      <c r="M821" s="1336"/>
      <c r="N821" s="1338"/>
      <c r="O821" s="1335"/>
      <c r="P821" s="1316"/>
      <c r="R821" s="1352"/>
      <c r="S821" s="1352"/>
      <c r="T821" s="1352">
        <f>+Tabla16[[#This Row],[CDPS A 31 JULIO 2022]]-Tabla16[[#This Row],[CDP]]</f>
        <v>0</v>
      </c>
      <c r="U821" s="1352"/>
      <c r="V821" s="1352"/>
      <c r="W821" s="1352"/>
    </row>
    <row r="822" spans="1:23" s="1317" customFormat="1" ht="45" hidden="1" customHeight="1" x14ac:dyDescent="0.3">
      <c r="A822" s="1322"/>
      <c r="B822" s="1339"/>
      <c r="C822" s="1345"/>
      <c r="D822" s="1334"/>
      <c r="E822" s="1335"/>
      <c r="F822" s="1335"/>
      <c r="G822" s="1327"/>
      <c r="H822" s="1327"/>
      <c r="I822" s="1323"/>
      <c r="J822" s="1323"/>
      <c r="K822" s="1324"/>
      <c r="L822" s="1325"/>
      <c r="M822" s="1336"/>
      <c r="N822" s="1338"/>
      <c r="O822" s="1335"/>
      <c r="P822" s="1316"/>
      <c r="R822" s="1352"/>
      <c r="S822" s="1352"/>
      <c r="T822" s="1352">
        <f>+Tabla16[[#This Row],[CDPS A 31 JULIO 2022]]-Tabla16[[#This Row],[CDP]]</f>
        <v>0</v>
      </c>
      <c r="U822" s="1352"/>
      <c r="V822" s="1352"/>
      <c r="W822" s="1352"/>
    </row>
    <row r="823" spans="1:23" s="1317" customFormat="1" ht="45" hidden="1" customHeight="1" x14ac:dyDescent="0.3">
      <c r="A823" s="1322"/>
      <c r="B823" s="1339"/>
      <c r="C823" s="1345"/>
      <c r="D823" s="1334"/>
      <c r="E823" s="1335"/>
      <c r="F823" s="1335"/>
      <c r="G823" s="1327"/>
      <c r="H823" s="1327"/>
      <c r="I823" s="1323"/>
      <c r="J823" s="1323"/>
      <c r="K823" s="1324"/>
      <c r="L823" s="1325"/>
      <c r="M823" s="1336"/>
      <c r="N823" s="1338"/>
      <c r="O823" s="1335"/>
      <c r="P823" s="1316"/>
      <c r="R823" s="1352"/>
      <c r="S823" s="1352"/>
      <c r="T823" s="1352">
        <f>+Tabla16[[#This Row],[CDPS A 31 JULIO 2022]]-Tabla16[[#This Row],[CDP]]</f>
        <v>0</v>
      </c>
      <c r="U823" s="1352"/>
      <c r="V823" s="1352"/>
      <c r="W823" s="1352"/>
    </row>
    <row r="824" spans="1:23" s="1317" customFormat="1" ht="45" hidden="1" customHeight="1" x14ac:dyDescent="0.3">
      <c r="A824" s="1322"/>
      <c r="B824" s="1339"/>
      <c r="C824" s="1345"/>
      <c r="D824" s="1334"/>
      <c r="E824" s="1335"/>
      <c r="F824" s="1335"/>
      <c r="G824" s="1327"/>
      <c r="H824" s="1327"/>
      <c r="I824" s="1323"/>
      <c r="J824" s="1323"/>
      <c r="K824" s="1324"/>
      <c r="L824" s="1325"/>
      <c r="M824" s="1336"/>
      <c r="N824" s="1338"/>
      <c r="O824" s="1335"/>
      <c r="P824" s="1316"/>
      <c r="R824" s="1352"/>
      <c r="S824" s="1352"/>
      <c r="T824" s="1352">
        <f>+Tabla16[[#This Row],[CDPS A 31 JULIO 2022]]-Tabla16[[#This Row],[CDP]]</f>
        <v>0</v>
      </c>
      <c r="U824" s="1352"/>
      <c r="V824" s="1352"/>
      <c r="W824" s="1352"/>
    </row>
    <row r="825" spans="1:23" s="1317" customFormat="1" ht="45" hidden="1" customHeight="1" x14ac:dyDescent="0.3">
      <c r="A825" s="1322"/>
      <c r="B825" s="1339"/>
      <c r="C825" s="1345"/>
      <c r="D825" s="1334"/>
      <c r="E825" s="1335"/>
      <c r="F825" s="1335"/>
      <c r="G825" s="1327"/>
      <c r="H825" s="1327"/>
      <c r="I825" s="1323"/>
      <c r="J825" s="1323"/>
      <c r="K825" s="1324"/>
      <c r="L825" s="1325"/>
      <c r="M825" s="1336"/>
      <c r="N825" s="1338"/>
      <c r="O825" s="1335"/>
      <c r="P825" s="1316"/>
      <c r="R825" s="1352"/>
      <c r="S825" s="1352"/>
      <c r="T825" s="1352">
        <f>+Tabla16[[#This Row],[CDPS A 31 JULIO 2022]]-Tabla16[[#This Row],[CDP]]</f>
        <v>0</v>
      </c>
      <c r="U825" s="1352"/>
      <c r="V825" s="1352"/>
      <c r="W825" s="1352"/>
    </row>
    <row r="826" spans="1:23" s="1317" customFormat="1" ht="45" hidden="1" customHeight="1" x14ac:dyDescent="0.3">
      <c r="A826" s="1322"/>
      <c r="B826" s="1339"/>
      <c r="C826" s="1345"/>
      <c r="D826" s="1334"/>
      <c r="E826" s="1335"/>
      <c r="F826" s="1335"/>
      <c r="G826" s="1327"/>
      <c r="H826" s="1327"/>
      <c r="I826" s="1323"/>
      <c r="J826" s="1323"/>
      <c r="K826" s="1324"/>
      <c r="L826" s="1325"/>
      <c r="M826" s="1336"/>
      <c r="N826" s="1338"/>
      <c r="O826" s="1335"/>
      <c r="P826" s="1316"/>
      <c r="R826" s="1352"/>
      <c r="S826" s="1352"/>
      <c r="T826" s="1352">
        <f>+Tabla16[[#This Row],[CDPS A 31 JULIO 2022]]-Tabla16[[#This Row],[CDP]]</f>
        <v>0</v>
      </c>
      <c r="U826" s="1352"/>
      <c r="V826" s="1352"/>
      <c r="W826" s="1352"/>
    </row>
    <row r="827" spans="1:23" s="1317" customFormat="1" ht="45" hidden="1" customHeight="1" x14ac:dyDescent="0.3">
      <c r="A827" s="1322"/>
      <c r="B827" s="1339"/>
      <c r="C827" s="1345"/>
      <c r="D827" s="1334"/>
      <c r="E827" s="1335"/>
      <c r="F827" s="1335"/>
      <c r="G827" s="1327"/>
      <c r="H827" s="1327"/>
      <c r="I827" s="1323"/>
      <c r="J827" s="1323"/>
      <c r="K827" s="1324"/>
      <c r="L827" s="1325"/>
      <c r="M827" s="1336"/>
      <c r="N827" s="1338"/>
      <c r="O827" s="1335"/>
      <c r="P827" s="1316"/>
      <c r="R827" s="1352"/>
      <c r="S827" s="1352"/>
      <c r="T827" s="1352">
        <f>+Tabla16[[#This Row],[CDPS A 31 JULIO 2022]]-Tabla16[[#This Row],[CDP]]</f>
        <v>0</v>
      </c>
      <c r="U827" s="1352"/>
      <c r="V827" s="1352"/>
      <c r="W827" s="1352"/>
    </row>
    <row r="828" spans="1:23" s="1317" customFormat="1" ht="45" hidden="1" customHeight="1" x14ac:dyDescent="0.3">
      <c r="A828" s="1322"/>
      <c r="B828" s="1339"/>
      <c r="C828" s="1345"/>
      <c r="D828" s="1334"/>
      <c r="E828" s="1335"/>
      <c r="F828" s="1335"/>
      <c r="G828" s="1327"/>
      <c r="H828" s="1327"/>
      <c r="I828" s="1323"/>
      <c r="J828" s="1323"/>
      <c r="K828" s="1324"/>
      <c r="L828" s="1325"/>
      <c r="M828" s="1336"/>
      <c r="N828" s="1338"/>
      <c r="O828" s="1335"/>
      <c r="P828" s="1316"/>
      <c r="R828" s="1352"/>
      <c r="S828" s="1352"/>
      <c r="T828" s="1352">
        <f>+Tabla16[[#This Row],[CDPS A 31 JULIO 2022]]-Tabla16[[#This Row],[CDP]]</f>
        <v>0</v>
      </c>
      <c r="U828" s="1352"/>
      <c r="V828" s="1352"/>
      <c r="W828" s="1352"/>
    </row>
    <row r="829" spans="1:23" s="1317" customFormat="1" ht="45" hidden="1" customHeight="1" x14ac:dyDescent="0.3">
      <c r="A829" s="1322"/>
      <c r="B829" s="1339"/>
      <c r="C829" s="1345"/>
      <c r="D829" s="1334"/>
      <c r="E829" s="1335"/>
      <c r="F829" s="1335"/>
      <c r="G829" s="1327"/>
      <c r="H829" s="1327"/>
      <c r="I829" s="1323"/>
      <c r="J829" s="1323"/>
      <c r="K829" s="1324"/>
      <c r="L829" s="1325"/>
      <c r="M829" s="1336"/>
      <c r="N829" s="1338"/>
      <c r="O829" s="1335"/>
      <c r="P829" s="1316"/>
      <c r="R829" s="1352"/>
      <c r="S829" s="1352"/>
      <c r="T829" s="1352">
        <f>+Tabla16[[#This Row],[CDPS A 31 JULIO 2022]]-Tabla16[[#This Row],[CDP]]</f>
        <v>0</v>
      </c>
      <c r="U829" s="1352"/>
      <c r="V829" s="1352"/>
      <c r="W829" s="1352"/>
    </row>
    <row r="830" spans="1:23" s="1317" customFormat="1" ht="45" hidden="1" customHeight="1" x14ac:dyDescent="0.3">
      <c r="A830" s="1322"/>
      <c r="B830" s="1339"/>
      <c r="C830" s="1345"/>
      <c r="D830" s="1334"/>
      <c r="E830" s="1335"/>
      <c r="F830" s="1335"/>
      <c r="G830" s="1327"/>
      <c r="H830" s="1327"/>
      <c r="I830" s="1323"/>
      <c r="J830" s="1323"/>
      <c r="K830" s="1324"/>
      <c r="L830" s="1325"/>
      <c r="M830" s="1336"/>
      <c r="N830" s="1338"/>
      <c r="O830" s="1335"/>
      <c r="P830" s="1316"/>
      <c r="R830" s="1352"/>
      <c r="S830" s="1352"/>
      <c r="T830" s="1352">
        <f>+Tabla16[[#This Row],[CDPS A 31 JULIO 2022]]-Tabla16[[#This Row],[CDP]]</f>
        <v>0</v>
      </c>
      <c r="U830" s="1352"/>
      <c r="V830" s="1352"/>
      <c r="W830" s="1352"/>
    </row>
    <row r="831" spans="1:23" s="1317" customFormat="1" ht="45" hidden="1" customHeight="1" x14ac:dyDescent="0.3">
      <c r="A831" s="1322"/>
      <c r="B831" s="1339"/>
      <c r="C831" s="1345"/>
      <c r="D831" s="1334"/>
      <c r="E831" s="1335"/>
      <c r="F831" s="1335"/>
      <c r="G831" s="1327"/>
      <c r="H831" s="1327"/>
      <c r="I831" s="1323"/>
      <c r="J831" s="1323"/>
      <c r="K831" s="1324"/>
      <c r="L831" s="1325"/>
      <c r="M831" s="1336"/>
      <c r="N831" s="1338"/>
      <c r="O831" s="1335"/>
      <c r="P831" s="1316"/>
      <c r="R831" s="1352"/>
      <c r="S831" s="1352"/>
      <c r="T831" s="1352">
        <f>+Tabla16[[#This Row],[CDPS A 31 JULIO 2022]]-Tabla16[[#This Row],[CDP]]</f>
        <v>0</v>
      </c>
      <c r="U831" s="1352"/>
      <c r="V831" s="1352"/>
      <c r="W831" s="1352"/>
    </row>
    <row r="832" spans="1:23" s="1317" customFormat="1" ht="45" hidden="1" customHeight="1" x14ac:dyDescent="0.3">
      <c r="A832" s="1322"/>
      <c r="B832" s="1339"/>
      <c r="C832" s="1345"/>
      <c r="D832" s="1334"/>
      <c r="E832" s="1335"/>
      <c r="F832" s="1335"/>
      <c r="G832" s="1327"/>
      <c r="H832" s="1327"/>
      <c r="I832" s="1323"/>
      <c r="J832" s="1323"/>
      <c r="K832" s="1324"/>
      <c r="L832" s="1325"/>
      <c r="M832" s="1336"/>
      <c r="N832" s="1338"/>
      <c r="O832" s="1335"/>
      <c r="P832" s="1316"/>
      <c r="R832" s="1352"/>
      <c r="S832" s="1352"/>
      <c r="T832" s="1352">
        <f>+Tabla16[[#This Row],[CDPS A 31 JULIO 2022]]-Tabla16[[#This Row],[CDP]]</f>
        <v>0</v>
      </c>
      <c r="U832" s="1352"/>
      <c r="V832" s="1352"/>
      <c r="W832" s="1352"/>
    </row>
    <row r="833" spans="1:23" s="1317" customFormat="1" ht="45" hidden="1" customHeight="1" x14ac:dyDescent="0.3">
      <c r="A833" s="1322"/>
      <c r="B833" s="1339"/>
      <c r="C833" s="1345"/>
      <c r="D833" s="1334"/>
      <c r="E833" s="1335"/>
      <c r="F833" s="1335"/>
      <c r="G833" s="1327"/>
      <c r="H833" s="1327"/>
      <c r="I833" s="1323"/>
      <c r="J833" s="1323"/>
      <c r="K833" s="1324"/>
      <c r="L833" s="1325"/>
      <c r="M833" s="1336"/>
      <c r="N833" s="1338"/>
      <c r="O833" s="1335"/>
      <c r="P833" s="1316"/>
      <c r="R833" s="1352"/>
      <c r="S833" s="1352"/>
      <c r="T833" s="1352">
        <f>+Tabla16[[#This Row],[CDPS A 31 JULIO 2022]]-Tabla16[[#This Row],[CDP]]</f>
        <v>0</v>
      </c>
      <c r="U833" s="1352"/>
      <c r="V833" s="1352"/>
      <c r="W833" s="1352"/>
    </row>
    <row r="834" spans="1:23" s="1317" customFormat="1" ht="45" hidden="1" customHeight="1" x14ac:dyDescent="0.3">
      <c r="A834" s="1322"/>
      <c r="B834" s="1339"/>
      <c r="C834" s="1345"/>
      <c r="D834" s="1334"/>
      <c r="E834" s="1335"/>
      <c r="F834" s="1335"/>
      <c r="G834" s="1327"/>
      <c r="H834" s="1327"/>
      <c r="I834" s="1323"/>
      <c r="J834" s="1323"/>
      <c r="K834" s="1324"/>
      <c r="L834" s="1325"/>
      <c r="M834" s="1336"/>
      <c r="N834" s="1338"/>
      <c r="O834" s="1335"/>
      <c r="P834" s="1316"/>
      <c r="R834" s="1352"/>
      <c r="S834" s="1352"/>
      <c r="T834" s="1352">
        <f>+Tabla16[[#This Row],[CDPS A 31 JULIO 2022]]-Tabla16[[#This Row],[CDP]]</f>
        <v>0</v>
      </c>
      <c r="U834" s="1352"/>
      <c r="V834" s="1352"/>
      <c r="W834" s="1352"/>
    </row>
    <row r="835" spans="1:23" s="1317" customFormat="1" ht="45" hidden="1" customHeight="1" x14ac:dyDescent="0.3">
      <c r="A835" s="1322"/>
      <c r="B835" s="1339"/>
      <c r="C835" s="1345"/>
      <c r="D835" s="1334"/>
      <c r="E835" s="1335"/>
      <c r="F835" s="1335"/>
      <c r="G835" s="1327"/>
      <c r="H835" s="1327"/>
      <c r="I835" s="1323"/>
      <c r="J835" s="1323"/>
      <c r="K835" s="1324"/>
      <c r="L835" s="1325"/>
      <c r="M835" s="1336"/>
      <c r="N835" s="1338"/>
      <c r="O835" s="1335"/>
      <c r="P835" s="1316"/>
      <c r="R835" s="1352"/>
      <c r="S835" s="1352"/>
      <c r="T835" s="1352">
        <f>+Tabla16[[#This Row],[CDPS A 31 JULIO 2022]]-Tabla16[[#This Row],[CDP]]</f>
        <v>0</v>
      </c>
      <c r="U835" s="1352"/>
      <c r="V835" s="1352"/>
      <c r="W835" s="1352"/>
    </row>
    <row r="836" spans="1:23" s="1317" customFormat="1" ht="45" hidden="1" customHeight="1" x14ac:dyDescent="0.3">
      <c r="A836" s="1322"/>
      <c r="B836" s="1339"/>
      <c r="C836" s="1345"/>
      <c r="D836" s="1334"/>
      <c r="E836" s="1335"/>
      <c r="F836" s="1335"/>
      <c r="G836" s="1327"/>
      <c r="H836" s="1327"/>
      <c r="I836" s="1323"/>
      <c r="J836" s="1323"/>
      <c r="K836" s="1324"/>
      <c r="L836" s="1325"/>
      <c r="M836" s="1336"/>
      <c r="N836" s="1338"/>
      <c r="O836" s="1335"/>
      <c r="P836" s="1316"/>
      <c r="R836" s="1352"/>
      <c r="S836" s="1352"/>
      <c r="T836" s="1352">
        <f>+Tabla16[[#This Row],[CDPS A 31 JULIO 2022]]-Tabla16[[#This Row],[CDP]]</f>
        <v>0</v>
      </c>
      <c r="U836" s="1352"/>
      <c r="V836" s="1352"/>
      <c r="W836" s="1352"/>
    </row>
    <row r="837" spans="1:23" s="1317" customFormat="1" ht="45" hidden="1" customHeight="1" x14ac:dyDescent="0.3">
      <c r="A837" s="1322"/>
      <c r="B837" s="1339"/>
      <c r="C837" s="1345"/>
      <c r="D837" s="1334"/>
      <c r="E837" s="1335"/>
      <c r="F837" s="1335"/>
      <c r="G837" s="1327"/>
      <c r="H837" s="1327"/>
      <c r="I837" s="1323"/>
      <c r="J837" s="1323"/>
      <c r="K837" s="1324"/>
      <c r="L837" s="1325"/>
      <c r="M837" s="1336"/>
      <c r="N837" s="1338"/>
      <c r="O837" s="1335"/>
      <c r="P837" s="1316"/>
      <c r="R837" s="1352"/>
      <c r="S837" s="1352"/>
      <c r="T837" s="1352">
        <f>+Tabla16[[#This Row],[CDPS A 31 JULIO 2022]]-Tabla16[[#This Row],[CDP]]</f>
        <v>0</v>
      </c>
      <c r="U837" s="1352"/>
      <c r="V837" s="1352"/>
      <c r="W837" s="1352"/>
    </row>
    <row r="838" spans="1:23" s="1317" customFormat="1" ht="45" hidden="1" customHeight="1" x14ac:dyDescent="0.3">
      <c r="A838" s="1322"/>
      <c r="B838" s="1339"/>
      <c r="C838" s="1345"/>
      <c r="D838" s="1334"/>
      <c r="E838" s="1335"/>
      <c r="F838" s="1335"/>
      <c r="G838" s="1327"/>
      <c r="H838" s="1327"/>
      <c r="I838" s="1323"/>
      <c r="J838" s="1323"/>
      <c r="K838" s="1324"/>
      <c r="L838" s="1325"/>
      <c r="M838" s="1336"/>
      <c r="N838" s="1338"/>
      <c r="O838" s="1335"/>
      <c r="P838" s="1316"/>
      <c r="R838" s="1352"/>
      <c r="S838" s="1352"/>
      <c r="T838" s="1352">
        <f>+Tabla16[[#This Row],[CDPS A 31 JULIO 2022]]-Tabla16[[#This Row],[CDP]]</f>
        <v>0</v>
      </c>
      <c r="U838" s="1352"/>
      <c r="V838" s="1352"/>
      <c r="W838" s="1352"/>
    </row>
    <row r="839" spans="1:23" s="1317" customFormat="1" ht="45" hidden="1" customHeight="1" x14ac:dyDescent="0.3">
      <c r="A839" s="1322"/>
      <c r="B839" s="1339"/>
      <c r="C839" s="1345"/>
      <c r="D839" s="1334"/>
      <c r="E839" s="1335"/>
      <c r="F839" s="1335"/>
      <c r="G839" s="1327"/>
      <c r="H839" s="1327"/>
      <c r="I839" s="1323"/>
      <c r="J839" s="1323"/>
      <c r="K839" s="1324"/>
      <c r="L839" s="1325"/>
      <c r="M839" s="1336"/>
      <c r="N839" s="1338"/>
      <c r="O839" s="1335"/>
      <c r="P839" s="1316"/>
      <c r="R839" s="1352"/>
      <c r="S839" s="1352"/>
      <c r="T839" s="1352">
        <f>+Tabla16[[#This Row],[CDPS A 31 JULIO 2022]]-Tabla16[[#This Row],[CDP]]</f>
        <v>0</v>
      </c>
      <c r="U839" s="1352"/>
      <c r="V839" s="1352"/>
      <c r="W839" s="1352"/>
    </row>
    <row r="840" spans="1:23" s="1317" customFormat="1" ht="45" hidden="1" customHeight="1" x14ac:dyDescent="0.3">
      <c r="A840" s="1322"/>
      <c r="B840" s="1339"/>
      <c r="C840" s="1345"/>
      <c r="D840" s="1334"/>
      <c r="E840" s="1335"/>
      <c r="F840" s="1335"/>
      <c r="G840" s="1327"/>
      <c r="H840" s="1327"/>
      <c r="I840" s="1323"/>
      <c r="J840" s="1323"/>
      <c r="K840" s="1324"/>
      <c r="L840" s="1325"/>
      <c r="M840" s="1336"/>
      <c r="N840" s="1338"/>
      <c r="O840" s="1335"/>
      <c r="P840" s="1316"/>
      <c r="R840" s="1352"/>
      <c r="S840" s="1352"/>
      <c r="T840" s="1352">
        <f>+Tabla16[[#This Row],[CDPS A 31 JULIO 2022]]-Tabla16[[#This Row],[CDP]]</f>
        <v>0</v>
      </c>
      <c r="U840" s="1352"/>
      <c r="V840" s="1352"/>
      <c r="W840" s="1352"/>
    </row>
    <row r="841" spans="1:23" s="1317" customFormat="1" ht="45" hidden="1" customHeight="1" x14ac:dyDescent="0.3">
      <c r="A841" s="1322"/>
      <c r="B841" s="1339"/>
      <c r="C841" s="1345"/>
      <c r="D841" s="1334"/>
      <c r="E841" s="1335"/>
      <c r="F841" s="1335"/>
      <c r="G841" s="1327"/>
      <c r="H841" s="1327"/>
      <c r="I841" s="1323"/>
      <c r="J841" s="1323"/>
      <c r="K841" s="1324"/>
      <c r="L841" s="1325"/>
      <c r="M841" s="1336"/>
      <c r="N841" s="1338"/>
      <c r="O841" s="1335"/>
      <c r="P841" s="1316"/>
      <c r="R841" s="1352"/>
      <c r="S841" s="1352"/>
      <c r="T841" s="1352">
        <f>+Tabla16[[#This Row],[CDPS A 31 JULIO 2022]]-Tabla16[[#This Row],[CDP]]</f>
        <v>0</v>
      </c>
      <c r="U841" s="1352"/>
      <c r="V841" s="1352"/>
      <c r="W841" s="1352"/>
    </row>
    <row r="842" spans="1:23" s="1317" customFormat="1" ht="45" hidden="1" customHeight="1" x14ac:dyDescent="0.3">
      <c r="A842" s="1322"/>
      <c r="B842" s="1339"/>
      <c r="C842" s="1345"/>
      <c r="D842" s="1334"/>
      <c r="E842" s="1335"/>
      <c r="F842" s="1335"/>
      <c r="G842" s="1327"/>
      <c r="H842" s="1327"/>
      <c r="I842" s="1323"/>
      <c r="J842" s="1323"/>
      <c r="K842" s="1324"/>
      <c r="L842" s="1325"/>
      <c r="M842" s="1336"/>
      <c r="N842" s="1338"/>
      <c r="O842" s="1335"/>
      <c r="P842" s="1316"/>
      <c r="R842" s="1352"/>
      <c r="S842" s="1352"/>
      <c r="T842" s="1352">
        <f>+Tabla16[[#This Row],[CDPS A 31 JULIO 2022]]-Tabla16[[#This Row],[CDP]]</f>
        <v>0</v>
      </c>
      <c r="U842" s="1352"/>
      <c r="V842" s="1352"/>
      <c r="W842" s="1352"/>
    </row>
    <row r="843" spans="1:23" s="1317" customFormat="1" ht="45" hidden="1" customHeight="1" x14ac:dyDescent="0.3">
      <c r="A843" s="1322"/>
      <c r="B843" s="1339"/>
      <c r="C843" s="1345"/>
      <c r="D843" s="1334"/>
      <c r="E843" s="1335"/>
      <c r="F843" s="1335"/>
      <c r="G843" s="1327"/>
      <c r="H843" s="1327"/>
      <c r="I843" s="1323"/>
      <c r="J843" s="1323"/>
      <c r="K843" s="1324"/>
      <c r="L843" s="1325"/>
      <c r="M843" s="1336"/>
      <c r="N843" s="1338"/>
      <c r="O843" s="1335"/>
      <c r="P843" s="1316"/>
      <c r="R843" s="1352"/>
      <c r="S843" s="1352"/>
      <c r="T843" s="1352">
        <f>+Tabla16[[#This Row],[CDPS A 31 JULIO 2022]]-Tabla16[[#This Row],[CDP]]</f>
        <v>0</v>
      </c>
      <c r="U843" s="1352"/>
      <c r="V843" s="1352"/>
      <c r="W843" s="1352"/>
    </row>
    <row r="844" spans="1:23" s="1317" customFormat="1" ht="45" hidden="1" customHeight="1" x14ac:dyDescent="0.3">
      <c r="A844" s="1322"/>
      <c r="B844" s="1339"/>
      <c r="C844" s="1345"/>
      <c r="D844" s="1334"/>
      <c r="E844" s="1335"/>
      <c r="F844" s="1335"/>
      <c r="G844" s="1327"/>
      <c r="H844" s="1327"/>
      <c r="I844" s="1323"/>
      <c r="J844" s="1323"/>
      <c r="K844" s="1324"/>
      <c r="L844" s="1325"/>
      <c r="M844" s="1336"/>
      <c r="N844" s="1338"/>
      <c r="O844" s="1335"/>
      <c r="P844" s="1316"/>
      <c r="R844" s="1352"/>
      <c r="S844" s="1352"/>
      <c r="T844" s="1352">
        <f>+Tabla16[[#This Row],[CDPS A 31 JULIO 2022]]-Tabla16[[#This Row],[CDP]]</f>
        <v>0</v>
      </c>
      <c r="U844" s="1352"/>
      <c r="V844" s="1352"/>
      <c r="W844" s="1352"/>
    </row>
    <row r="845" spans="1:23" s="1317" customFormat="1" ht="45" hidden="1" customHeight="1" x14ac:dyDescent="0.3">
      <c r="A845" s="1322"/>
      <c r="B845" s="1339"/>
      <c r="C845" s="1345"/>
      <c r="D845" s="1334"/>
      <c r="E845" s="1335"/>
      <c r="F845" s="1335"/>
      <c r="G845" s="1327"/>
      <c r="H845" s="1327"/>
      <c r="I845" s="1323"/>
      <c r="J845" s="1323"/>
      <c r="K845" s="1324"/>
      <c r="L845" s="1325"/>
      <c r="M845" s="1336"/>
      <c r="N845" s="1338"/>
      <c r="O845" s="1335"/>
      <c r="P845" s="1316"/>
      <c r="R845" s="1352"/>
      <c r="S845" s="1352"/>
      <c r="T845" s="1352">
        <f>+Tabla16[[#This Row],[CDPS A 31 JULIO 2022]]-Tabla16[[#This Row],[CDP]]</f>
        <v>0</v>
      </c>
      <c r="U845" s="1352"/>
      <c r="V845" s="1352"/>
      <c r="W845" s="1352"/>
    </row>
    <row r="846" spans="1:23" s="1317" customFormat="1" ht="45" hidden="1" customHeight="1" x14ac:dyDescent="0.3">
      <c r="A846" s="1322"/>
      <c r="B846" s="1339"/>
      <c r="C846" s="1345"/>
      <c r="D846" s="1334"/>
      <c r="E846" s="1335"/>
      <c r="F846" s="1335"/>
      <c r="G846" s="1327"/>
      <c r="H846" s="1327"/>
      <c r="I846" s="1323"/>
      <c r="J846" s="1323"/>
      <c r="K846" s="1324"/>
      <c r="L846" s="1325"/>
      <c r="M846" s="1336"/>
      <c r="N846" s="1338"/>
      <c r="O846" s="1335"/>
      <c r="P846" s="1316"/>
      <c r="R846" s="1352"/>
      <c r="S846" s="1352"/>
      <c r="T846" s="1352">
        <f>+Tabla16[[#This Row],[CDPS A 31 JULIO 2022]]-Tabla16[[#This Row],[CDP]]</f>
        <v>0</v>
      </c>
      <c r="U846" s="1352"/>
      <c r="V846" s="1352"/>
      <c r="W846" s="1352"/>
    </row>
    <row r="847" spans="1:23" s="1317" customFormat="1" ht="45" hidden="1" customHeight="1" x14ac:dyDescent="0.3">
      <c r="A847" s="1322"/>
      <c r="B847" s="1339"/>
      <c r="C847" s="1345"/>
      <c r="D847" s="1334"/>
      <c r="E847" s="1335"/>
      <c r="F847" s="1335"/>
      <c r="G847" s="1327"/>
      <c r="H847" s="1327"/>
      <c r="I847" s="1323"/>
      <c r="J847" s="1323"/>
      <c r="K847" s="1324"/>
      <c r="L847" s="1325"/>
      <c r="M847" s="1336"/>
      <c r="N847" s="1338"/>
      <c r="O847" s="1335"/>
      <c r="P847" s="1316"/>
      <c r="R847" s="1352"/>
      <c r="S847" s="1352"/>
      <c r="T847" s="1352">
        <f>+Tabla16[[#This Row],[CDPS A 31 JULIO 2022]]-Tabla16[[#This Row],[CDP]]</f>
        <v>0</v>
      </c>
      <c r="U847" s="1352"/>
      <c r="V847" s="1352"/>
      <c r="W847" s="1352"/>
    </row>
    <row r="848" spans="1:23" s="1317" customFormat="1" ht="45" hidden="1" customHeight="1" x14ac:dyDescent="0.3">
      <c r="A848" s="1322"/>
      <c r="B848" s="1339"/>
      <c r="C848" s="1345"/>
      <c r="D848" s="1334"/>
      <c r="E848" s="1335"/>
      <c r="F848" s="1335"/>
      <c r="G848" s="1327"/>
      <c r="H848" s="1327"/>
      <c r="I848" s="1323"/>
      <c r="J848" s="1323"/>
      <c r="K848" s="1324"/>
      <c r="L848" s="1325"/>
      <c r="M848" s="1336"/>
      <c r="N848" s="1338"/>
      <c r="O848" s="1335"/>
      <c r="P848" s="1316"/>
      <c r="R848" s="1352"/>
      <c r="S848" s="1352"/>
      <c r="T848" s="1352">
        <f>+Tabla16[[#This Row],[CDPS A 31 JULIO 2022]]-Tabla16[[#This Row],[CDP]]</f>
        <v>0</v>
      </c>
      <c r="U848" s="1352"/>
      <c r="V848" s="1352"/>
      <c r="W848" s="1352"/>
    </row>
    <row r="849" spans="1:23" s="1317" customFormat="1" ht="45" hidden="1" customHeight="1" x14ac:dyDescent="0.3">
      <c r="A849" s="1322"/>
      <c r="B849" s="1339"/>
      <c r="C849" s="1345"/>
      <c r="D849" s="1334"/>
      <c r="E849" s="1335"/>
      <c r="F849" s="1335"/>
      <c r="G849" s="1327"/>
      <c r="H849" s="1327"/>
      <c r="I849" s="1323"/>
      <c r="J849" s="1323"/>
      <c r="K849" s="1324"/>
      <c r="L849" s="1325"/>
      <c r="M849" s="1336"/>
      <c r="N849" s="1338"/>
      <c r="O849" s="1335"/>
      <c r="P849" s="1316"/>
      <c r="R849" s="1352"/>
      <c r="S849" s="1352"/>
      <c r="T849" s="1352">
        <f>+Tabla16[[#This Row],[CDPS A 31 JULIO 2022]]-Tabla16[[#This Row],[CDP]]</f>
        <v>0</v>
      </c>
      <c r="U849" s="1352"/>
      <c r="V849" s="1352"/>
      <c r="W849" s="1352"/>
    </row>
    <row r="850" spans="1:23" s="1317" customFormat="1" ht="45" hidden="1" customHeight="1" x14ac:dyDescent="0.3">
      <c r="A850" s="1322"/>
      <c r="B850" s="1339"/>
      <c r="C850" s="1345"/>
      <c r="D850" s="1334"/>
      <c r="E850" s="1335"/>
      <c r="F850" s="1335"/>
      <c r="G850" s="1327"/>
      <c r="H850" s="1327"/>
      <c r="I850" s="1323"/>
      <c r="J850" s="1323"/>
      <c r="K850" s="1324"/>
      <c r="L850" s="1325"/>
      <c r="M850" s="1336"/>
      <c r="N850" s="1338"/>
      <c r="O850" s="1335"/>
      <c r="P850" s="1316"/>
      <c r="R850" s="1352"/>
      <c r="S850" s="1352"/>
      <c r="T850" s="1352">
        <f>+Tabla16[[#This Row],[CDPS A 31 JULIO 2022]]-Tabla16[[#This Row],[CDP]]</f>
        <v>0</v>
      </c>
      <c r="U850" s="1352"/>
      <c r="V850" s="1352"/>
      <c r="W850" s="1352"/>
    </row>
    <row r="851" spans="1:23" s="1317" customFormat="1" ht="45" hidden="1" customHeight="1" x14ac:dyDescent="0.3">
      <c r="A851" s="1322"/>
      <c r="B851" s="1339"/>
      <c r="C851" s="1345"/>
      <c r="D851" s="1334"/>
      <c r="E851" s="1335"/>
      <c r="F851" s="1335"/>
      <c r="G851" s="1327"/>
      <c r="H851" s="1327"/>
      <c r="I851" s="1323"/>
      <c r="J851" s="1323"/>
      <c r="K851" s="1324"/>
      <c r="L851" s="1325"/>
      <c r="M851" s="1336"/>
      <c r="N851" s="1338"/>
      <c r="O851" s="1335"/>
      <c r="P851" s="1316"/>
      <c r="R851" s="1352"/>
      <c r="S851" s="1352"/>
      <c r="T851" s="1352">
        <f>+Tabla16[[#This Row],[CDPS A 31 JULIO 2022]]-Tabla16[[#This Row],[CDP]]</f>
        <v>0</v>
      </c>
      <c r="U851" s="1352"/>
      <c r="V851" s="1352"/>
      <c r="W851" s="1352"/>
    </row>
    <row r="852" spans="1:23" s="1317" customFormat="1" ht="45" hidden="1" customHeight="1" x14ac:dyDescent="0.3">
      <c r="A852" s="1322"/>
      <c r="B852" s="1339"/>
      <c r="C852" s="1345"/>
      <c r="D852" s="1334"/>
      <c r="E852" s="1335"/>
      <c r="F852" s="1335"/>
      <c r="G852" s="1327"/>
      <c r="H852" s="1327"/>
      <c r="I852" s="1323"/>
      <c r="J852" s="1323"/>
      <c r="K852" s="1324"/>
      <c r="L852" s="1325"/>
      <c r="M852" s="1336"/>
      <c r="N852" s="1338"/>
      <c r="O852" s="1335"/>
      <c r="P852" s="1316"/>
      <c r="R852" s="1352"/>
      <c r="S852" s="1352"/>
      <c r="T852" s="1352">
        <f>+Tabla16[[#This Row],[CDPS A 31 JULIO 2022]]-Tabla16[[#This Row],[CDP]]</f>
        <v>0</v>
      </c>
      <c r="U852" s="1352"/>
      <c r="V852" s="1352"/>
      <c r="W852" s="1352"/>
    </row>
    <row r="853" spans="1:23" s="1317" customFormat="1" ht="45" hidden="1" customHeight="1" x14ac:dyDescent="0.3">
      <c r="A853" s="1322"/>
      <c r="B853" s="1339"/>
      <c r="C853" s="1345"/>
      <c r="D853" s="1334"/>
      <c r="E853" s="1335"/>
      <c r="F853" s="1335"/>
      <c r="G853" s="1327"/>
      <c r="H853" s="1327"/>
      <c r="I853" s="1323"/>
      <c r="J853" s="1323"/>
      <c r="K853" s="1324"/>
      <c r="L853" s="1325"/>
      <c r="M853" s="1336"/>
      <c r="N853" s="1338"/>
      <c r="O853" s="1335"/>
      <c r="P853" s="1316"/>
      <c r="R853" s="1352"/>
      <c r="S853" s="1352"/>
      <c r="T853" s="1352">
        <f>+Tabla16[[#This Row],[CDPS A 31 JULIO 2022]]-Tabla16[[#This Row],[CDP]]</f>
        <v>0</v>
      </c>
      <c r="U853" s="1352"/>
      <c r="V853" s="1352"/>
      <c r="W853" s="1352"/>
    </row>
    <row r="854" spans="1:23" s="1317" customFormat="1" ht="45" hidden="1" customHeight="1" x14ac:dyDescent="0.3">
      <c r="A854" s="1322"/>
      <c r="B854" s="1339"/>
      <c r="C854" s="1345"/>
      <c r="D854" s="1334"/>
      <c r="E854" s="1335"/>
      <c r="F854" s="1335"/>
      <c r="G854" s="1327"/>
      <c r="H854" s="1327"/>
      <c r="I854" s="1323"/>
      <c r="J854" s="1323"/>
      <c r="K854" s="1324"/>
      <c r="L854" s="1325"/>
      <c r="M854" s="1336"/>
      <c r="N854" s="1338"/>
      <c r="O854" s="1335"/>
      <c r="P854" s="1316"/>
      <c r="R854" s="1352"/>
      <c r="S854" s="1352"/>
      <c r="T854" s="1352">
        <f>+Tabla16[[#This Row],[CDPS A 31 JULIO 2022]]-Tabla16[[#This Row],[CDP]]</f>
        <v>0</v>
      </c>
      <c r="U854" s="1352"/>
      <c r="V854" s="1352"/>
      <c r="W854" s="1352"/>
    </row>
    <row r="855" spans="1:23" s="1317" customFormat="1" ht="45" hidden="1" customHeight="1" x14ac:dyDescent="0.3">
      <c r="A855" s="1322"/>
      <c r="B855" s="1339"/>
      <c r="C855" s="1345"/>
      <c r="D855" s="1334"/>
      <c r="E855" s="1335"/>
      <c r="F855" s="1335"/>
      <c r="G855" s="1327"/>
      <c r="H855" s="1327"/>
      <c r="I855" s="1323"/>
      <c r="J855" s="1323"/>
      <c r="K855" s="1324"/>
      <c r="L855" s="1325"/>
      <c r="M855" s="1336"/>
      <c r="N855" s="1338"/>
      <c r="O855" s="1335"/>
      <c r="P855" s="1316"/>
      <c r="R855" s="1352"/>
      <c r="S855" s="1352"/>
      <c r="T855" s="1352">
        <f>+Tabla16[[#This Row],[CDPS A 31 JULIO 2022]]-Tabla16[[#This Row],[CDP]]</f>
        <v>0</v>
      </c>
      <c r="U855" s="1352"/>
      <c r="V855" s="1352"/>
      <c r="W855" s="1352"/>
    </row>
    <row r="856" spans="1:23" s="1317" customFormat="1" ht="45" hidden="1" customHeight="1" x14ac:dyDescent="0.3">
      <c r="A856" s="1322"/>
      <c r="B856" s="1339"/>
      <c r="C856" s="1345"/>
      <c r="D856" s="1334"/>
      <c r="E856" s="1335"/>
      <c r="F856" s="1335"/>
      <c r="G856" s="1327"/>
      <c r="H856" s="1327"/>
      <c r="I856" s="1323"/>
      <c r="J856" s="1323"/>
      <c r="K856" s="1324"/>
      <c r="L856" s="1325"/>
      <c r="M856" s="1336"/>
      <c r="N856" s="1338"/>
      <c r="O856" s="1335"/>
      <c r="P856" s="1316"/>
      <c r="R856" s="1352"/>
      <c r="S856" s="1352"/>
      <c r="T856" s="1352">
        <f>+Tabla16[[#This Row],[CDPS A 31 JULIO 2022]]-Tabla16[[#This Row],[CDP]]</f>
        <v>0</v>
      </c>
      <c r="U856" s="1352"/>
      <c r="V856" s="1352"/>
      <c r="W856" s="1352"/>
    </row>
    <row r="857" spans="1:23" s="1317" customFormat="1" ht="45" hidden="1" customHeight="1" x14ac:dyDescent="0.3">
      <c r="A857" s="1322"/>
      <c r="B857" s="1339"/>
      <c r="C857" s="1345"/>
      <c r="D857" s="1334"/>
      <c r="E857" s="1335"/>
      <c r="F857" s="1335"/>
      <c r="G857" s="1327"/>
      <c r="H857" s="1327"/>
      <c r="I857" s="1323"/>
      <c r="J857" s="1323"/>
      <c r="K857" s="1324"/>
      <c r="L857" s="1325"/>
      <c r="M857" s="1336"/>
      <c r="N857" s="1338"/>
      <c r="O857" s="1335"/>
      <c r="P857" s="1316"/>
      <c r="R857" s="1352"/>
      <c r="S857" s="1352"/>
      <c r="T857" s="1352">
        <f>+Tabla16[[#This Row],[CDPS A 31 JULIO 2022]]-Tabla16[[#This Row],[CDP]]</f>
        <v>0</v>
      </c>
      <c r="U857" s="1352"/>
      <c r="V857" s="1352"/>
      <c r="W857" s="1352"/>
    </row>
    <row r="858" spans="1:23" s="1317" customFormat="1" ht="45" hidden="1" customHeight="1" x14ac:dyDescent="0.3">
      <c r="A858" s="1322"/>
      <c r="B858" s="1339"/>
      <c r="C858" s="1345"/>
      <c r="D858" s="1334"/>
      <c r="E858" s="1335"/>
      <c r="F858" s="1335"/>
      <c r="G858" s="1327"/>
      <c r="H858" s="1327"/>
      <c r="I858" s="1323"/>
      <c r="J858" s="1323"/>
      <c r="K858" s="1324"/>
      <c r="L858" s="1325"/>
      <c r="M858" s="1336"/>
      <c r="N858" s="1338"/>
      <c r="O858" s="1335"/>
      <c r="P858" s="1316"/>
      <c r="R858" s="1352"/>
      <c r="S858" s="1352"/>
      <c r="T858" s="1352">
        <f>+Tabla16[[#This Row],[CDPS A 31 JULIO 2022]]-Tabla16[[#This Row],[CDP]]</f>
        <v>0</v>
      </c>
      <c r="U858" s="1352"/>
      <c r="V858" s="1352"/>
      <c r="W858" s="1352"/>
    </row>
    <row r="859" spans="1:23" s="1317" customFormat="1" ht="45" hidden="1" customHeight="1" x14ac:dyDescent="0.3">
      <c r="A859" s="1322"/>
      <c r="B859" s="1339"/>
      <c r="C859" s="1345"/>
      <c r="D859" s="1334"/>
      <c r="E859" s="1335"/>
      <c r="F859" s="1335"/>
      <c r="G859" s="1327"/>
      <c r="H859" s="1327"/>
      <c r="I859" s="1323"/>
      <c r="J859" s="1323"/>
      <c r="K859" s="1324"/>
      <c r="L859" s="1325"/>
      <c r="M859" s="1336"/>
      <c r="N859" s="1338"/>
      <c r="O859" s="1335"/>
      <c r="P859" s="1316"/>
      <c r="R859" s="1352"/>
      <c r="S859" s="1352"/>
      <c r="T859" s="1352">
        <f>+Tabla16[[#This Row],[CDPS A 31 JULIO 2022]]-Tabla16[[#This Row],[CDP]]</f>
        <v>0</v>
      </c>
      <c r="U859" s="1352"/>
      <c r="V859" s="1352"/>
      <c r="W859" s="1352"/>
    </row>
    <row r="860" spans="1:23" s="1317" customFormat="1" ht="45" hidden="1" customHeight="1" x14ac:dyDescent="0.3">
      <c r="A860" s="1322"/>
      <c r="B860" s="1339"/>
      <c r="C860" s="1345"/>
      <c r="D860" s="1334"/>
      <c r="E860" s="1335"/>
      <c r="F860" s="1335"/>
      <c r="G860" s="1327"/>
      <c r="H860" s="1327"/>
      <c r="I860" s="1323"/>
      <c r="J860" s="1323"/>
      <c r="K860" s="1324"/>
      <c r="L860" s="1325"/>
      <c r="M860" s="1336"/>
      <c r="N860" s="1338"/>
      <c r="O860" s="1335"/>
      <c r="P860" s="1316"/>
      <c r="R860" s="1352"/>
      <c r="S860" s="1352"/>
      <c r="T860" s="1352">
        <f>+Tabla16[[#This Row],[CDPS A 31 JULIO 2022]]-Tabla16[[#This Row],[CDP]]</f>
        <v>0</v>
      </c>
      <c r="U860" s="1352"/>
      <c r="V860" s="1352"/>
      <c r="W860" s="1352"/>
    </row>
    <row r="861" spans="1:23" s="1317" customFormat="1" ht="45" hidden="1" customHeight="1" x14ac:dyDescent="0.3">
      <c r="A861" s="1322"/>
      <c r="B861" s="1339"/>
      <c r="C861" s="1345"/>
      <c r="D861" s="1334"/>
      <c r="E861" s="1335"/>
      <c r="F861" s="1335"/>
      <c r="G861" s="1327"/>
      <c r="H861" s="1327"/>
      <c r="I861" s="1323"/>
      <c r="J861" s="1323"/>
      <c r="K861" s="1324"/>
      <c r="L861" s="1325"/>
      <c r="M861" s="1336"/>
      <c r="N861" s="1338"/>
      <c r="O861" s="1335"/>
      <c r="P861" s="1316"/>
      <c r="R861" s="1352"/>
      <c r="S861" s="1352"/>
      <c r="T861" s="1352">
        <f>+Tabla16[[#This Row],[CDPS A 31 JULIO 2022]]-Tabla16[[#This Row],[CDP]]</f>
        <v>0</v>
      </c>
      <c r="U861" s="1352"/>
      <c r="V861" s="1352"/>
      <c r="W861" s="1352"/>
    </row>
    <row r="862" spans="1:23" s="1317" customFormat="1" ht="45" hidden="1" customHeight="1" x14ac:dyDescent="0.3">
      <c r="A862" s="1322"/>
      <c r="B862" s="1339"/>
      <c r="C862" s="1345"/>
      <c r="D862" s="1334"/>
      <c r="E862" s="1335"/>
      <c r="F862" s="1335"/>
      <c r="G862" s="1327"/>
      <c r="H862" s="1327"/>
      <c r="I862" s="1323"/>
      <c r="J862" s="1323"/>
      <c r="K862" s="1324"/>
      <c r="L862" s="1325"/>
      <c r="M862" s="1336"/>
      <c r="N862" s="1338"/>
      <c r="O862" s="1335"/>
      <c r="P862" s="1316"/>
      <c r="R862" s="1352"/>
      <c r="S862" s="1352"/>
      <c r="T862" s="1352">
        <f>+Tabla16[[#This Row],[CDPS A 31 JULIO 2022]]-Tabla16[[#This Row],[CDP]]</f>
        <v>0</v>
      </c>
      <c r="U862" s="1352"/>
      <c r="V862" s="1352"/>
      <c r="W862" s="1352"/>
    </row>
    <row r="863" spans="1:23" s="1317" customFormat="1" ht="45" hidden="1" customHeight="1" x14ac:dyDescent="0.3">
      <c r="A863" s="1322"/>
      <c r="B863" s="1339"/>
      <c r="C863" s="1345"/>
      <c r="D863" s="1334"/>
      <c r="E863" s="1335"/>
      <c r="F863" s="1335"/>
      <c r="G863" s="1327"/>
      <c r="H863" s="1327"/>
      <c r="I863" s="1323"/>
      <c r="J863" s="1323"/>
      <c r="K863" s="1324"/>
      <c r="L863" s="1325"/>
      <c r="M863" s="1336"/>
      <c r="N863" s="1338"/>
      <c r="O863" s="1335"/>
      <c r="P863" s="1316"/>
      <c r="R863" s="1352"/>
      <c r="S863" s="1352"/>
      <c r="T863" s="1352">
        <f>+Tabla16[[#This Row],[CDPS A 31 JULIO 2022]]-Tabla16[[#This Row],[CDP]]</f>
        <v>0</v>
      </c>
      <c r="U863" s="1352"/>
      <c r="V863" s="1352"/>
      <c r="W863" s="1352"/>
    </row>
    <row r="864" spans="1:23" s="1317" customFormat="1" ht="45" hidden="1" customHeight="1" x14ac:dyDescent="0.3">
      <c r="A864" s="1322"/>
      <c r="B864" s="1339"/>
      <c r="C864" s="1345"/>
      <c r="D864" s="1334"/>
      <c r="E864" s="1335"/>
      <c r="F864" s="1335"/>
      <c r="G864" s="1327"/>
      <c r="H864" s="1327"/>
      <c r="I864" s="1323"/>
      <c r="J864" s="1323"/>
      <c r="K864" s="1324"/>
      <c r="L864" s="1325"/>
      <c r="M864" s="1336"/>
      <c r="N864" s="1338"/>
      <c r="O864" s="1335"/>
      <c r="P864" s="1316"/>
      <c r="R864" s="1352"/>
      <c r="S864" s="1352"/>
      <c r="T864" s="1352">
        <f>+Tabla16[[#This Row],[CDPS A 31 JULIO 2022]]-Tabla16[[#This Row],[CDP]]</f>
        <v>0</v>
      </c>
      <c r="U864" s="1352"/>
      <c r="V864" s="1352"/>
      <c r="W864" s="1352"/>
    </row>
    <row r="865" spans="1:23" s="1317" customFormat="1" ht="45" hidden="1" customHeight="1" x14ac:dyDescent="0.3">
      <c r="A865" s="1322"/>
      <c r="B865" s="1339"/>
      <c r="C865" s="1345"/>
      <c r="D865" s="1334"/>
      <c r="E865" s="1335"/>
      <c r="F865" s="1335"/>
      <c r="G865" s="1327"/>
      <c r="H865" s="1327"/>
      <c r="I865" s="1323"/>
      <c r="J865" s="1323"/>
      <c r="K865" s="1324"/>
      <c r="L865" s="1325"/>
      <c r="M865" s="1336"/>
      <c r="N865" s="1338"/>
      <c r="O865" s="1335"/>
      <c r="P865" s="1316"/>
      <c r="R865" s="1352"/>
      <c r="S865" s="1352"/>
      <c r="T865" s="1352">
        <f>+Tabla16[[#This Row],[CDPS A 31 JULIO 2022]]-Tabla16[[#This Row],[CDP]]</f>
        <v>0</v>
      </c>
      <c r="U865" s="1352"/>
      <c r="V865" s="1352"/>
      <c r="W865" s="1352"/>
    </row>
    <row r="866" spans="1:23" s="1317" customFormat="1" ht="45" hidden="1" customHeight="1" x14ac:dyDescent="0.3">
      <c r="A866" s="1322"/>
      <c r="B866" s="1339"/>
      <c r="C866" s="1345"/>
      <c r="D866" s="1334"/>
      <c r="E866" s="1335"/>
      <c r="F866" s="1335"/>
      <c r="G866" s="1327"/>
      <c r="H866" s="1327"/>
      <c r="I866" s="1323"/>
      <c r="J866" s="1323"/>
      <c r="K866" s="1324"/>
      <c r="L866" s="1325"/>
      <c r="M866" s="1336"/>
      <c r="N866" s="1338"/>
      <c r="O866" s="1335"/>
      <c r="P866" s="1316"/>
      <c r="R866" s="1352"/>
      <c r="S866" s="1352"/>
      <c r="T866" s="1352">
        <f>+Tabla16[[#This Row],[CDPS A 31 JULIO 2022]]-Tabla16[[#This Row],[CDP]]</f>
        <v>0</v>
      </c>
      <c r="U866" s="1352"/>
      <c r="V866" s="1352"/>
      <c r="W866" s="1352"/>
    </row>
    <row r="867" spans="1:23" s="1317" customFormat="1" ht="45" hidden="1" customHeight="1" x14ac:dyDescent="0.3">
      <c r="A867" s="1322"/>
      <c r="B867" s="1339"/>
      <c r="C867" s="1345"/>
      <c r="D867" s="1334"/>
      <c r="E867" s="1335"/>
      <c r="F867" s="1335"/>
      <c r="G867" s="1327"/>
      <c r="H867" s="1327"/>
      <c r="I867" s="1323"/>
      <c r="J867" s="1323"/>
      <c r="K867" s="1324"/>
      <c r="L867" s="1325"/>
      <c r="M867" s="1336"/>
      <c r="N867" s="1338"/>
      <c r="O867" s="1335"/>
      <c r="P867" s="1316"/>
      <c r="R867" s="1352"/>
      <c r="S867" s="1352"/>
      <c r="T867" s="1352">
        <f>+Tabla16[[#This Row],[CDPS A 31 JULIO 2022]]-Tabla16[[#This Row],[CDP]]</f>
        <v>0</v>
      </c>
      <c r="U867" s="1352"/>
      <c r="V867" s="1352"/>
      <c r="W867" s="1352"/>
    </row>
    <row r="868" spans="1:23" s="1317" customFormat="1" ht="45" hidden="1" customHeight="1" x14ac:dyDescent="0.3">
      <c r="A868" s="1322"/>
      <c r="B868" s="1339"/>
      <c r="C868" s="1345"/>
      <c r="D868" s="1334"/>
      <c r="E868" s="1335"/>
      <c r="F868" s="1335"/>
      <c r="G868" s="1327"/>
      <c r="H868" s="1327"/>
      <c r="I868" s="1323"/>
      <c r="J868" s="1323"/>
      <c r="K868" s="1324"/>
      <c r="L868" s="1325"/>
      <c r="M868" s="1336"/>
      <c r="N868" s="1338"/>
      <c r="O868" s="1335"/>
      <c r="P868" s="1316"/>
      <c r="R868" s="1352"/>
      <c r="S868" s="1352"/>
      <c r="T868" s="1352">
        <f>+Tabla16[[#This Row],[CDPS A 31 JULIO 2022]]-Tabla16[[#This Row],[CDP]]</f>
        <v>0</v>
      </c>
      <c r="U868" s="1352"/>
      <c r="V868" s="1352"/>
      <c r="W868" s="1352"/>
    </row>
    <row r="869" spans="1:23" s="1317" customFormat="1" ht="45" hidden="1" customHeight="1" x14ac:dyDescent="0.3">
      <c r="A869" s="1322"/>
      <c r="B869" s="1339"/>
      <c r="C869" s="1345"/>
      <c r="D869" s="1334"/>
      <c r="E869" s="1335"/>
      <c r="F869" s="1335"/>
      <c r="G869" s="1327"/>
      <c r="H869" s="1327"/>
      <c r="I869" s="1323"/>
      <c r="J869" s="1323"/>
      <c r="K869" s="1324"/>
      <c r="L869" s="1325"/>
      <c r="M869" s="1336"/>
      <c r="N869" s="1338"/>
      <c r="O869" s="1335"/>
      <c r="P869" s="1316"/>
      <c r="R869" s="1352"/>
      <c r="S869" s="1352"/>
      <c r="T869" s="1352">
        <f>+Tabla16[[#This Row],[CDPS A 31 JULIO 2022]]-Tabla16[[#This Row],[CDP]]</f>
        <v>0</v>
      </c>
      <c r="U869" s="1352"/>
      <c r="V869" s="1352"/>
      <c r="W869" s="1352"/>
    </row>
    <row r="870" spans="1:23" s="1317" customFormat="1" ht="45" hidden="1" customHeight="1" x14ac:dyDescent="0.3">
      <c r="A870" s="1322"/>
      <c r="B870" s="1339"/>
      <c r="C870" s="1345"/>
      <c r="D870" s="1334"/>
      <c r="E870" s="1335"/>
      <c r="F870" s="1335"/>
      <c r="G870" s="1327"/>
      <c r="H870" s="1327"/>
      <c r="I870" s="1323"/>
      <c r="J870" s="1323"/>
      <c r="K870" s="1324"/>
      <c r="L870" s="1325"/>
      <c r="M870" s="1336"/>
      <c r="N870" s="1338"/>
      <c r="O870" s="1335"/>
      <c r="P870" s="1316"/>
      <c r="R870" s="1352"/>
      <c r="S870" s="1352"/>
      <c r="T870" s="1352">
        <f>+Tabla16[[#This Row],[CDPS A 31 JULIO 2022]]-Tabla16[[#This Row],[CDP]]</f>
        <v>0</v>
      </c>
      <c r="U870" s="1352"/>
      <c r="V870" s="1352"/>
      <c r="W870" s="1352"/>
    </row>
    <row r="871" spans="1:23" s="1317" customFormat="1" ht="45" hidden="1" customHeight="1" x14ac:dyDescent="0.3">
      <c r="A871" s="1322"/>
      <c r="B871" s="1339"/>
      <c r="C871" s="1345"/>
      <c r="D871" s="1334"/>
      <c r="E871" s="1335"/>
      <c r="F871" s="1335"/>
      <c r="G871" s="1327"/>
      <c r="H871" s="1327"/>
      <c r="I871" s="1323"/>
      <c r="J871" s="1323"/>
      <c r="K871" s="1324"/>
      <c r="L871" s="1325"/>
      <c r="M871" s="1336"/>
      <c r="N871" s="1338"/>
      <c r="O871" s="1335"/>
      <c r="P871" s="1316"/>
      <c r="R871" s="1352"/>
      <c r="S871" s="1352"/>
      <c r="T871" s="1352">
        <f>+Tabla16[[#This Row],[CDPS A 31 JULIO 2022]]-Tabla16[[#This Row],[CDP]]</f>
        <v>0</v>
      </c>
      <c r="U871" s="1352"/>
      <c r="V871" s="1352"/>
      <c r="W871" s="1352"/>
    </row>
    <row r="872" spans="1:23" s="1317" customFormat="1" ht="45" hidden="1" customHeight="1" x14ac:dyDescent="0.3">
      <c r="A872" s="1322"/>
      <c r="B872" s="1339"/>
      <c r="C872" s="1345"/>
      <c r="D872" s="1334"/>
      <c r="E872" s="1335"/>
      <c r="F872" s="1335"/>
      <c r="G872" s="1327"/>
      <c r="H872" s="1327"/>
      <c r="I872" s="1323"/>
      <c r="J872" s="1323"/>
      <c r="K872" s="1324"/>
      <c r="L872" s="1325"/>
      <c r="M872" s="1336"/>
      <c r="N872" s="1338"/>
      <c r="O872" s="1335"/>
      <c r="P872" s="1316"/>
      <c r="R872" s="1352"/>
      <c r="S872" s="1352"/>
      <c r="T872" s="1352">
        <f>+Tabla16[[#This Row],[CDPS A 31 JULIO 2022]]-Tabla16[[#This Row],[CDP]]</f>
        <v>0</v>
      </c>
      <c r="U872" s="1352"/>
      <c r="V872" s="1352"/>
      <c r="W872" s="1352"/>
    </row>
    <row r="873" spans="1:23" s="1317" customFormat="1" ht="45" hidden="1" customHeight="1" x14ac:dyDescent="0.3">
      <c r="A873" s="1322"/>
      <c r="B873" s="1339"/>
      <c r="C873" s="1345"/>
      <c r="D873" s="1334"/>
      <c r="E873" s="1335"/>
      <c r="F873" s="1335"/>
      <c r="G873" s="1327"/>
      <c r="H873" s="1327"/>
      <c r="I873" s="1323"/>
      <c r="J873" s="1323"/>
      <c r="K873" s="1324"/>
      <c r="L873" s="1325"/>
      <c r="M873" s="1336"/>
      <c r="N873" s="1338"/>
      <c r="O873" s="1335"/>
      <c r="P873" s="1316"/>
      <c r="R873" s="1352"/>
      <c r="S873" s="1352"/>
      <c r="T873" s="1352">
        <f>+Tabla16[[#This Row],[CDPS A 31 JULIO 2022]]-Tabla16[[#This Row],[CDP]]</f>
        <v>0</v>
      </c>
      <c r="U873" s="1352"/>
      <c r="V873" s="1352"/>
      <c r="W873" s="1352"/>
    </row>
    <row r="874" spans="1:23" s="1317" customFormat="1" ht="45" hidden="1" customHeight="1" x14ac:dyDescent="0.3">
      <c r="A874" s="1322"/>
      <c r="B874" s="1339"/>
      <c r="C874" s="1345"/>
      <c r="D874" s="1334"/>
      <c r="E874" s="1335"/>
      <c r="F874" s="1335"/>
      <c r="G874" s="1327"/>
      <c r="H874" s="1327"/>
      <c r="I874" s="1323"/>
      <c r="J874" s="1323"/>
      <c r="K874" s="1324"/>
      <c r="L874" s="1325"/>
      <c r="M874" s="1336"/>
      <c r="N874" s="1338"/>
      <c r="O874" s="1335"/>
      <c r="P874" s="1316"/>
      <c r="R874" s="1352"/>
      <c r="S874" s="1352"/>
      <c r="T874" s="1352">
        <f>+Tabla16[[#This Row],[CDPS A 31 JULIO 2022]]-Tabla16[[#This Row],[CDP]]</f>
        <v>0</v>
      </c>
      <c r="U874" s="1352"/>
      <c r="V874" s="1352"/>
      <c r="W874" s="1352"/>
    </row>
    <row r="875" spans="1:23" s="1317" customFormat="1" ht="45" hidden="1" customHeight="1" x14ac:dyDescent="0.3">
      <c r="A875" s="1322"/>
      <c r="B875" s="1339"/>
      <c r="C875" s="1345"/>
      <c r="D875" s="1334"/>
      <c r="E875" s="1335"/>
      <c r="F875" s="1335"/>
      <c r="G875" s="1327"/>
      <c r="H875" s="1327"/>
      <c r="I875" s="1323"/>
      <c r="J875" s="1323"/>
      <c r="K875" s="1324"/>
      <c r="L875" s="1325"/>
      <c r="M875" s="1336"/>
      <c r="N875" s="1338"/>
      <c r="O875" s="1335"/>
      <c r="P875" s="1316"/>
      <c r="R875" s="1352"/>
      <c r="S875" s="1352"/>
      <c r="T875" s="1352">
        <f>+Tabla16[[#This Row],[CDPS A 31 JULIO 2022]]-Tabla16[[#This Row],[CDP]]</f>
        <v>0</v>
      </c>
      <c r="U875" s="1352"/>
      <c r="V875" s="1352"/>
      <c r="W875" s="1352"/>
    </row>
    <row r="876" spans="1:23" s="1317" customFormat="1" ht="45" hidden="1" customHeight="1" x14ac:dyDescent="0.3">
      <c r="A876" s="1322"/>
      <c r="B876" s="1339"/>
      <c r="C876" s="1345"/>
      <c r="D876" s="1334"/>
      <c r="E876" s="1335"/>
      <c r="F876" s="1335"/>
      <c r="G876" s="1327"/>
      <c r="H876" s="1327"/>
      <c r="I876" s="1323"/>
      <c r="J876" s="1323"/>
      <c r="K876" s="1324"/>
      <c r="L876" s="1325"/>
      <c r="M876" s="1336"/>
      <c r="N876" s="1338"/>
      <c r="O876" s="1335"/>
      <c r="P876" s="1316"/>
      <c r="R876" s="1352"/>
      <c r="S876" s="1352"/>
      <c r="T876" s="1352">
        <f>+Tabla16[[#This Row],[CDPS A 31 JULIO 2022]]-Tabla16[[#This Row],[CDP]]</f>
        <v>0</v>
      </c>
      <c r="U876" s="1352"/>
      <c r="V876" s="1352"/>
      <c r="W876" s="1352"/>
    </row>
    <row r="877" spans="1:23" s="1317" customFormat="1" ht="45" hidden="1" customHeight="1" x14ac:dyDescent="0.3">
      <c r="A877" s="1322"/>
      <c r="B877" s="1339"/>
      <c r="C877" s="1345"/>
      <c r="D877" s="1334"/>
      <c r="E877" s="1335"/>
      <c r="F877" s="1335"/>
      <c r="G877" s="1327"/>
      <c r="H877" s="1327"/>
      <c r="I877" s="1323"/>
      <c r="J877" s="1323"/>
      <c r="K877" s="1324"/>
      <c r="L877" s="1325"/>
      <c r="M877" s="1336"/>
      <c r="N877" s="1338"/>
      <c r="O877" s="1335"/>
      <c r="P877" s="1316"/>
      <c r="R877" s="1352"/>
      <c r="S877" s="1352"/>
      <c r="T877" s="1352">
        <f>+Tabla16[[#This Row],[CDPS A 31 JULIO 2022]]-Tabla16[[#This Row],[CDP]]</f>
        <v>0</v>
      </c>
      <c r="U877" s="1352"/>
      <c r="V877" s="1352"/>
      <c r="W877" s="1352"/>
    </row>
    <row r="878" spans="1:23" s="1317" customFormat="1" ht="45" hidden="1" customHeight="1" x14ac:dyDescent="0.3">
      <c r="A878" s="1322"/>
      <c r="B878" s="1339"/>
      <c r="C878" s="1345"/>
      <c r="D878" s="1334"/>
      <c r="E878" s="1335"/>
      <c r="F878" s="1335"/>
      <c r="G878" s="1327"/>
      <c r="H878" s="1327"/>
      <c r="I878" s="1323"/>
      <c r="J878" s="1323"/>
      <c r="K878" s="1324"/>
      <c r="L878" s="1325"/>
      <c r="M878" s="1336"/>
      <c r="N878" s="1338"/>
      <c r="O878" s="1335"/>
      <c r="P878" s="1316"/>
      <c r="R878" s="1352"/>
      <c r="S878" s="1352"/>
      <c r="T878" s="1352">
        <f>+Tabla16[[#This Row],[CDPS A 31 JULIO 2022]]-Tabla16[[#This Row],[CDP]]</f>
        <v>0</v>
      </c>
      <c r="U878" s="1352"/>
      <c r="V878" s="1352"/>
      <c r="W878" s="1352"/>
    </row>
    <row r="879" spans="1:23" s="1317" customFormat="1" ht="45" hidden="1" customHeight="1" x14ac:dyDescent="0.3">
      <c r="A879" s="1322"/>
      <c r="B879" s="1339"/>
      <c r="C879" s="1345"/>
      <c r="D879" s="1334"/>
      <c r="E879" s="1335"/>
      <c r="F879" s="1335"/>
      <c r="G879" s="1327"/>
      <c r="H879" s="1327"/>
      <c r="I879" s="1323"/>
      <c r="J879" s="1323"/>
      <c r="K879" s="1324"/>
      <c r="L879" s="1325"/>
      <c r="M879" s="1336"/>
      <c r="N879" s="1338"/>
      <c r="O879" s="1335"/>
      <c r="P879" s="1316"/>
      <c r="R879" s="1352"/>
      <c r="S879" s="1352"/>
      <c r="T879" s="1352">
        <f>+Tabla16[[#This Row],[CDPS A 31 JULIO 2022]]-Tabla16[[#This Row],[CDP]]</f>
        <v>0</v>
      </c>
      <c r="U879" s="1352"/>
      <c r="V879" s="1352"/>
      <c r="W879" s="1352"/>
    </row>
    <row r="880" spans="1:23" s="1317" customFormat="1" ht="45" hidden="1" customHeight="1" x14ac:dyDescent="0.3">
      <c r="A880" s="1322"/>
      <c r="B880" s="1339"/>
      <c r="C880" s="1345"/>
      <c r="D880" s="1334"/>
      <c r="E880" s="1335"/>
      <c r="F880" s="1335"/>
      <c r="G880" s="1327"/>
      <c r="H880" s="1327"/>
      <c r="I880" s="1323"/>
      <c r="J880" s="1323"/>
      <c r="K880" s="1324"/>
      <c r="L880" s="1325"/>
      <c r="M880" s="1336"/>
      <c r="N880" s="1338"/>
      <c r="O880" s="1335"/>
      <c r="P880" s="1316"/>
      <c r="R880" s="1352"/>
      <c r="S880" s="1352"/>
      <c r="T880" s="1352">
        <f>+Tabla16[[#This Row],[CDPS A 31 JULIO 2022]]-Tabla16[[#This Row],[CDP]]</f>
        <v>0</v>
      </c>
      <c r="U880" s="1352"/>
      <c r="V880" s="1352"/>
      <c r="W880" s="1352"/>
    </row>
    <row r="881" spans="1:23" s="1317" customFormat="1" ht="45" hidden="1" customHeight="1" x14ac:dyDescent="0.3">
      <c r="A881" s="1322"/>
      <c r="B881" s="1339"/>
      <c r="C881" s="1345"/>
      <c r="D881" s="1334"/>
      <c r="E881" s="1335"/>
      <c r="F881" s="1335"/>
      <c r="G881" s="1327"/>
      <c r="H881" s="1327"/>
      <c r="I881" s="1323"/>
      <c r="J881" s="1323"/>
      <c r="K881" s="1324"/>
      <c r="L881" s="1325"/>
      <c r="M881" s="1336"/>
      <c r="N881" s="1338"/>
      <c r="O881" s="1335"/>
      <c r="P881" s="1316"/>
      <c r="R881" s="1352"/>
      <c r="S881" s="1352"/>
      <c r="T881" s="1352">
        <f>+Tabla16[[#This Row],[CDPS A 31 JULIO 2022]]-Tabla16[[#This Row],[CDP]]</f>
        <v>0</v>
      </c>
      <c r="U881" s="1352"/>
      <c r="V881" s="1352"/>
      <c r="W881" s="1352"/>
    </row>
    <row r="882" spans="1:23" s="1317" customFormat="1" ht="45" hidden="1" customHeight="1" x14ac:dyDescent="0.3">
      <c r="A882" s="1322"/>
      <c r="B882" s="1339"/>
      <c r="C882" s="1345"/>
      <c r="D882" s="1334"/>
      <c r="E882" s="1335"/>
      <c r="F882" s="1335"/>
      <c r="G882" s="1327"/>
      <c r="H882" s="1327"/>
      <c r="I882" s="1323"/>
      <c r="J882" s="1323"/>
      <c r="K882" s="1324"/>
      <c r="L882" s="1325"/>
      <c r="M882" s="1336"/>
      <c r="N882" s="1338"/>
      <c r="O882" s="1335"/>
      <c r="P882" s="1316"/>
      <c r="R882" s="1352"/>
      <c r="S882" s="1352"/>
      <c r="T882" s="1352">
        <f>+Tabla16[[#This Row],[CDPS A 31 JULIO 2022]]-Tabla16[[#This Row],[CDP]]</f>
        <v>0</v>
      </c>
      <c r="U882" s="1352"/>
      <c r="V882" s="1352"/>
      <c r="W882" s="1352"/>
    </row>
    <row r="883" spans="1:23" s="1317" customFormat="1" ht="45" hidden="1" customHeight="1" x14ac:dyDescent="0.3">
      <c r="A883" s="1322"/>
      <c r="B883" s="1339"/>
      <c r="C883" s="1345"/>
      <c r="D883" s="1334"/>
      <c r="E883" s="1335"/>
      <c r="F883" s="1335"/>
      <c r="G883" s="1327"/>
      <c r="H883" s="1327"/>
      <c r="I883" s="1323"/>
      <c r="J883" s="1323"/>
      <c r="K883" s="1324"/>
      <c r="L883" s="1325"/>
      <c r="M883" s="1336"/>
      <c r="N883" s="1338"/>
      <c r="O883" s="1335"/>
      <c r="P883" s="1316"/>
      <c r="R883" s="1352"/>
      <c r="S883" s="1352"/>
      <c r="T883" s="1352">
        <f>+Tabla16[[#This Row],[CDPS A 31 JULIO 2022]]-Tabla16[[#This Row],[CDP]]</f>
        <v>0</v>
      </c>
      <c r="U883" s="1352"/>
      <c r="V883" s="1352"/>
      <c r="W883" s="1352"/>
    </row>
    <row r="884" spans="1:23" s="1317" customFormat="1" ht="45" hidden="1" customHeight="1" x14ac:dyDescent="0.3">
      <c r="A884" s="1322"/>
      <c r="B884" s="1339"/>
      <c r="C884" s="1345"/>
      <c r="D884" s="1334"/>
      <c r="E884" s="1335"/>
      <c r="F884" s="1335"/>
      <c r="G884" s="1327"/>
      <c r="H884" s="1327"/>
      <c r="I884" s="1323"/>
      <c r="J884" s="1323"/>
      <c r="K884" s="1324"/>
      <c r="L884" s="1325"/>
      <c r="M884" s="1336"/>
      <c r="N884" s="1338"/>
      <c r="O884" s="1335"/>
      <c r="P884" s="1316"/>
      <c r="R884" s="1352"/>
      <c r="S884" s="1352"/>
      <c r="T884" s="1352">
        <f>+Tabla16[[#This Row],[CDPS A 31 JULIO 2022]]-Tabla16[[#This Row],[CDP]]</f>
        <v>0</v>
      </c>
      <c r="U884" s="1352"/>
      <c r="V884" s="1352"/>
      <c r="W884" s="1352"/>
    </row>
    <row r="885" spans="1:23" s="1317" customFormat="1" ht="45" hidden="1" customHeight="1" x14ac:dyDescent="0.3">
      <c r="A885" s="1322"/>
      <c r="B885" s="1339"/>
      <c r="C885" s="1345"/>
      <c r="D885" s="1334"/>
      <c r="E885" s="1335"/>
      <c r="F885" s="1335"/>
      <c r="G885" s="1327"/>
      <c r="H885" s="1327"/>
      <c r="I885" s="1323"/>
      <c r="J885" s="1323"/>
      <c r="K885" s="1324"/>
      <c r="L885" s="1325"/>
      <c r="M885" s="1336"/>
      <c r="N885" s="1338"/>
      <c r="O885" s="1335"/>
      <c r="P885" s="1316"/>
      <c r="R885" s="1352"/>
      <c r="S885" s="1352"/>
      <c r="T885" s="1352">
        <f>+Tabla16[[#This Row],[CDPS A 31 JULIO 2022]]-Tabla16[[#This Row],[CDP]]</f>
        <v>0</v>
      </c>
      <c r="U885" s="1352"/>
      <c r="V885" s="1352"/>
      <c r="W885" s="1352"/>
    </row>
    <row r="886" spans="1:23" s="1317" customFormat="1" ht="45" hidden="1" customHeight="1" x14ac:dyDescent="0.3">
      <c r="A886" s="1322"/>
      <c r="B886" s="1339"/>
      <c r="C886" s="1345"/>
      <c r="D886" s="1334"/>
      <c r="E886" s="1335"/>
      <c r="F886" s="1335"/>
      <c r="G886" s="1327"/>
      <c r="H886" s="1327"/>
      <c r="I886" s="1323"/>
      <c r="J886" s="1323"/>
      <c r="K886" s="1324"/>
      <c r="L886" s="1325"/>
      <c r="M886" s="1336"/>
      <c r="N886" s="1338"/>
      <c r="O886" s="1335"/>
      <c r="P886" s="1316"/>
      <c r="R886" s="1352"/>
      <c r="S886" s="1352"/>
      <c r="T886" s="1352">
        <f>+Tabla16[[#This Row],[CDPS A 31 JULIO 2022]]-Tabla16[[#This Row],[CDP]]</f>
        <v>0</v>
      </c>
      <c r="U886" s="1352"/>
      <c r="V886" s="1352"/>
      <c r="W886" s="1352"/>
    </row>
    <row r="887" spans="1:23" s="1317" customFormat="1" ht="45" hidden="1" customHeight="1" x14ac:dyDescent="0.3">
      <c r="A887" s="1322"/>
      <c r="B887" s="1339"/>
      <c r="C887" s="1345"/>
      <c r="D887" s="1334"/>
      <c r="E887" s="1335"/>
      <c r="F887" s="1335"/>
      <c r="G887" s="1327"/>
      <c r="H887" s="1327"/>
      <c r="I887" s="1323"/>
      <c r="J887" s="1323"/>
      <c r="K887" s="1324"/>
      <c r="L887" s="1325"/>
      <c r="M887" s="1336"/>
      <c r="N887" s="1338"/>
      <c r="O887" s="1335"/>
      <c r="P887" s="1316"/>
      <c r="R887" s="1352"/>
      <c r="S887" s="1352"/>
      <c r="T887" s="1352">
        <f>+Tabla16[[#This Row],[CDPS A 31 JULIO 2022]]-Tabla16[[#This Row],[CDP]]</f>
        <v>0</v>
      </c>
      <c r="U887" s="1352"/>
      <c r="V887" s="1352"/>
      <c r="W887" s="1352"/>
    </row>
    <row r="888" spans="1:23" s="1317" customFormat="1" ht="45" hidden="1" customHeight="1" x14ac:dyDescent="0.3">
      <c r="A888" s="1322"/>
      <c r="B888" s="1339"/>
      <c r="C888" s="1345"/>
      <c r="D888" s="1334"/>
      <c r="E888" s="1335"/>
      <c r="F888" s="1335"/>
      <c r="G888" s="1327"/>
      <c r="H888" s="1327"/>
      <c r="I888" s="1323"/>
      <c r="J888" s="1323"/>
      <c r="K888" s="1324"/>
      <c r="L888" s="1325"/>
      <c r="M888" s="1336"/>
      <c r="N888" s="1338"/>
      <c r="O888" s="1335"/>
      <c r="P888" s="1316"/>
      <c r="R888" s="1352"/>
      <c r="S888" s="1352"/>
      <c r="T888" s="1352">
        <f>+Tabla16[[#This Row],[CDPS A 31 JULIO 2022]]-Tabla16[[#This Row],[CDP]]</f>
        <v>0</v>
      </c>
      <c r="U888" s="1352"/>
      <c r="V888" s="1352"/>
      <c r="W888" s="1352"/>
    </row>
    <row r="889" spans="1:23" s="1317" customFormat="1" ht="45" hidden="1" customHeight="1" x14ac:dyDescent="0.3">
      <c r="A889" s="1322"/>
      <c r="B889" s="1339"/>
      <c r="C889" s="1345"/>
      <c r="D889" s="1334"/>
      <c r="E889" s="1335"/>
      <c r="F889" s="1335"/>
      <c r="G889" s="1327"/>
      <c r="H889" s="1327"/>
      <c r="I889" s="1323"/>
      <c r="J889" s="1323"/>
      <c r="K889" s="1324"/>
      <c r="L889" s="1325"/>
      <c r="M889" s="1336"/>
      <c r="N889" s="1338"/>
      <c r="O889" s="1335"/>
      <c r="P889" s="1316"/>
      <c r="R889" s="1352"/>
      <c r="S889" s="1352"/>
      <c r="T889" s="1352">
        <f>+Tabla16[[#This Row],[CDPS A 31 JULIO 2022]]-Tabla16[[#This Row],[CDP]]</f>
        <v>0</v>
      </c>
      <c r="U889" s="1352"/>
      <c r="V889" s="1352"/>
      <c r="W889" s="1352"/>
    </row>
    <row r="890" spans="1:23" s="1317" customFormat="1" ht="45" hidden="1" customHeight="1" x14ac:dyDescent="0.3">
      <c r="A890" s="1322"/>
      <c r="B890" s="1339"/>
      <c r="C890" s="1345"/>
      <c r="D890" s="1334"/>
      <c r="E890" s="1335"/>
      <c r="F890" s="1335"/>
      <c r="G890" s="1327"/>
      <c r="H890" s="1327"/>
      <c r="I890" s="1323"/>
      <c r="J890" s="1323"/>
      <c r="K890" s="1324"/>
      <c r="L890" s="1325"/>
      <c r="M890" s="1336"/>
      <c r="N890" s="1338"/>
      <c r="O890" s="1335"/>
      <c r="P890" s="1316"/>
      <c r="R890" s="1352"/>
      <c r="S890" s="1352"/>
      <c r="T890" s="1352">
        <f>+Tabla16[[#This Row],[CDPS A 31 JULIO 2022]]-Tabla16[[#This Row],[CDP]]</f>
        <v>0</v>
      </c>
      <c r="U890" s="1352"/>
      <c r="V890" s="1352"/>
      <c r="W890" s="1352"/>
    </row>
    <row r="891" spans="1:23" s="1317" customFormat="1" ht="45" hidden="1" customHeight="1" x14ac:dyDescent="0.3">
      <c r="A891" s="1322"/>
      <c r="B891" s="1339"/>
      <c r="C891" s="1345"/>
      <c r="D891" s="1334"/>
      <c r="E891" s="1335"/>
      <c r="F891" s="1335"/>
      <c r="G891" s="1327"/>
      <c r="H891" s="1327"/>
      <c r="I891" s="1323"/>
      <c r="J891" s="1323"/>
      <c r="K891" s="1324"/>
      <c r="L891" s="1325"/>
      <c r="M891" s="1336"/>
      <c r="N891" s="1338"/>
      <c r="O891" s="1335"/>
      <c r="P891" s="1316"/>
      <c r="R891" s="1352"/>
      <c r="S891" s="1352"/>
      <c r="T891" s="1352">
        <f>+Tabla16[[#This Row],[CDPS A 31 JULIO 2022]]-Tabla16[[#This Row],[CDP]]</f>
        <v>0</v>
      </c>
      <c r="U891" s="1352"/>
      <c r="V891" s="1352"/>
      <c r="W891" s="1352"/>
    </row>
    <row r="892" spans="1:23" s="1317" customFormat="1" ht="45" hidden="1" customHeight="1" x14ac:dyDescent="0.3">
      <c r="A892" s="1322"/>
      <c r="B892" s="1339"/>
      <c r="C892" s="1345"/>
      <c r="D892" s="1334"/>
      <c r="E892" s="1335"/>
      <c r="F892" s="1335"/>
      <c r="G892" s="1327"/>
      <c r="H892" s="1327"/>
      <c r="I892" s="1323"/>
      <c r="J892" s="1323"/>
      <c r="K892" s="1324"/>
      <c r="L892" s="1325"/>
      <c r="M892" s="1336"/>
      <c r="N892" s="1338"/>
      <c r="O892" s="1335"/>
      <c r="P892" s="1316"/>
      <c r="R892" s="1352"/>
      <c r="S892" s="1352"/>
      <c r="T892" s="1352">
        <f>+Tabla16[[#This Row],[CDPS A 31 JULIO 2022]]-Tabla16[[#This Row],[CDP]]</f>
        <v>0</v>
      </c>
      <c r="U892" s="1352"/>
      <c r="V892" s="1352"/>
      <c r="W892" s="1352"/>
    </row>
    <row r="893" spans="1:23" s="1317" customFormat="1" ht="45" hidden="1" customHeight="1" x14ac:dyDescent="0.3">
      <c r="A893" s="1322"/>
      <c r="B893" s="1339"/>
      <c r="C893" s="1345"/>
      <c r="D893" s="1334"/>
      <c r="E893" s="1335"/>
      <c r="F893" s="1335"/>
      <c r="G893" s="1327"/>
      <c r="H893" s="1327"/>
      <c r="I893" s="1323"/>
      <c r="J893" s="1323"/>
      <c r="K893" s="1324"/>
      <c r="L893" s="1325"/>
      <c r="M893" s="1336"/>
      <c r="N893" s="1338"/>
      <c r="O893" s="1335"/>
      <c r="P893" s="1316"/>
      <c r="R893" s="1352"/>
      <c r="S893" s="1352"/>
      <c r="T893" s="1352">
        <f>+Tabla16[[#This Row],[CDPS A 31 JULIO 2022]]-Tabla16[[#This Row],[CDP]]</f>
        <v>0</v>
      </c>
      <c r="U893" s="1352"/>
      <c r="V893" s="1352"/>
      <c r="W893" s="1352"/>
    </row>
    <row r="894" spans="1:23" s="1317" customFormat="1" ht="45" hidden="1" customHeight="1" x14ac:dyDescent="0.3">
      <c r="A894" s="1322"/>
      <c r="B894" s="1339"/>
      <c r="C894" s="1345"/>
      <c r="D894" s="1334"/>
      <c r="E894" s="1335"/>
      <c r="F894" s="1335"/>
      <c r="G894" s="1327"/>
      <c r="H894" s="1327"/>
      <c r="I894" s="1323"/>
      <c r="J894" s="1323"/>
      <c r="K894" s="1324"/>
      <c r="L894" s="1325"/>
      <c r="M894" s="1336"/>
      <c r="N894" s="1338"/>
      <c r="O894" s="1335"/>
      <c r="P894" s="1316"/>
      <c r="R894" s="1352"/>
      <c r="S894" s="1352"/>
      <c r="T894" s="1352">
        <f>+Tabla16[[#This Row],[CDPS A 31 JULIO 2022]]-Tabla16[[#This Row],[CDP]]</f>
        <v>0</v>
      </c>
      <c r="U894" s="1352"/>
      <c r="V894" s="1352"/>
      <c r="W894" s="1352"/>
    </row>
    <row r="895" spans="1:23" s="1317" customFormat="1" ht="45" hidden="1" customHeight="1" x14ac:dyDescent="0.3">
      <c r="A895" s="1322"/>
      <c r="B895" s="1339"/>
      <c r="C895" s="1345"/>
      <c r="D895" s="1334"/>
      <c r="E895" s="1335"/>
      <c r="F895" s="1335"/>
      <c r="G895" s="1327"/>
      <c r="H895" s="1327"/>
      <c r="I895" s="1323"/>
      <c r="J895" s="1323"/>
      <c r="K895" s="1324"/>
      <c r="L895" s="1325"/>
      <c r="M895" s="1336"/>
      <c r="N895" s="1338"/>
      <c r="O895" s="1335"/>
      <c r="P895" s="1316"/>
      <c r="R895" s="1352"/>
      <c r="S895" s="1352"/>
      <c r="T895" s="1352">
        <f>+Tabla16[[#This Row],[CDPS A 31 JULIO 2022]]-Tabla16[[#This Row],[CDP]]</f>
        <v>0</v>
      </c>
      <c r="U895" s="1352"/>
      <c r="V895" s="1352"/>
      <c r="W895" s="1352"/>
    </row>
    <row r="896" spans="1:23" s="1317" customFormat="1" ht="45" hidden="1" customHeight="1" x14ac:dyDescent="0.3">
      <c r="A896" s="1322"/>
      <c r="B896" s="1339"/>
      <c r="C896" s="1345"/>
      <c r="D896" s="1334"/>
      <c r="E896" s="1335"/>
      <c r="F896" s="1335"/>
      <c r="G896" s="1327"/>
      <c r="H896" s="1327"/>
      <c r="I896" s="1323"/>
      <c r="J896" s="1323"/>
      <c r="K896" s="1324"/>
      <c r="L896" s="1325"/>
      <c r="M896" s="1336"/>
      <c r="N896" s="1338"/>
      <c r="O896" s="1335"/>
      <c r="P896" s="1316"/>
      <c r="R896" s="1352"/>
      <c r="S896" s="1352"/>
      <c r="T896" s="1352">
        <f>+Tabla16[[#This Row],[CDPS A 31 JULIO 2022]]-Tabla16[[#This Row],[CDP]]</f>
        <v>0</v>
      </c>
      <c r="U896" s="1352"/>
      <c r="V896" s="1352"/>
      <c r="W896" s="1352"/>
    </row>
    <row r="897" spans="1:23" s="1317" customFormat="1" ht="45" hidden="1" customHeight="1" x14ac:dyDescent="0.3">
      <c r="A897" s="1322"/>
      <c r="B897" s="1339"/>
      <c r="C897" s="1345"/>
      <c r="D897" s="1334"/>
      <c r="E897" s="1335"/>
      <c r="F897" s="1335"/>
      <c r="G897" s="1327"/>
      <c r="H897" s="1327"/>
      <c r="I897" s="1323"/>
      <c r="J897" s="1323"/>
      <c r="K897" s="1324"/>
      <c r="L897" s="1325"/>
      <c r="M897" s="1336"/>
      <c r="N897" s="1338"/>
      <c r="O897" s="1335"/>
      <c r="P897" s="1316"/>
      <c r="R897" s="1352"/>
      <c r="S897" s="1352"/>
      <c r="T897" s="1352">
        <f>+Tabla16[[#This Row],[CDPS A 31 JULIO 2022]]-Tabla16[[#This Row],[CDP]]</f>
        <v>0</v>
      </c>
      <c r="U897" s="1352"/>
      <c r="V897" s="1352"/>
      <c r="W897" s="1352"/>
    </row>
    <row r="898" spans="1:23" s="1317" customFormat="1" ht="45" hidden="1" customHeight="1" x14ac:dyDescent="0.3">
      <c r="A898" s="1322"/>
      <c r="B898" s="1339"/>
      <c r="C898" s="1345"/>
      <c r="D898" s="1334"/>
      <c r="E898" s="1335"/>
      <c r="F898" s="1335"/>
      <c r="G898" s="1327"/>
      <c r="H898" s="1327"/>
      <c r="I898" s="1323"/>
      <c r="J898" s="1323"/>
      <c r="K898" s="1324"/>
      <c r="L898" s="1325"/>
      <c r="M898" s="1336"/>
      <c r="N898" s="1338"/>
      <c r="O898" s="1335"/>
      <c r="P898" s="1316"/>
      <c r="R898" s="1352"/>
      <c r="S898" s="1352"/>
      <c r="T898" s="1352">
        <f>+Tabla16[[#This Row],[CDPS A 31 JULIO 2022]]-Tabla16[[#This Row],[CDP]]</f>
        <v>0</v>
      </c>
      <c r="U898" s="1352"/>
      <c r="V898" s="1352"/>
      <c r="W898" s="1352"/>
    </row>
    <row r="899" spans="1:23" s="1317" customFormat="1" ht="45" hidden="1" customHeight="1" x14ac:dyDescent="0.3">
      <c r="A899" s="1322"/>
      <c r="B899" s="1339"/>
      <c r="C899" s="1345"/>
      <c r="D899" s="1334"/>
      <c r="E899" s="1335"/>
      <c r="F899" s="1335"/>
      <c r="G899" s="1327"/>
      <c r="H899" s="1327"/>
      <c r="I899" s="1323"/>
      <c r="J899" s="1323"/>
      <c r="K899" s="1324"/>
      <c r="L899" s="1325"/>
      <c r="M899" s="1336"/>
      <c r="N899" s="1338"/>
      <c r="O899" s="1335"/>
      <c r="P899" s="1316"/>
      <c r="R899" s="1352"/>
      <c r="S899" s="1352"/>
      <c r="T899" s="1352">
        <f>+Tabla16[[#This Row],[CDPS A 31 JULIO 2022]]-Tabla16[[#This Row],[CDP]]</f>
        <v>0</v>
      </c>
      <c r="U899" s="1352"/>
      <c r="V899" s="1352"/>
      <c r="W899" s="1352"/>
    </row>
    <row r="900" spans="1:23" s="1317" customFormat="1" ht="45" hidden="1" customHeight="1" x14ac:dyDescent="0.3">
      <c r="A900" s="1322"/>
      <c r="B900" s="1339"/>
      <c r="C900" s="1345"/>
      <c r="D900" s="1334"/>
      <c r="E900" s="1335"/>
      <c r="F900" s="1335"/>
      <c r="G900" s="1327"/>
      <c r="H900" s="1327"/>
      <c r="I900" s="1323"/>
      <c r="J900" s="1323"/>
      <c r="K900" s="1324"/>
      <c r="L900" s="1325"/>
      <c r="M900" s="1336"/>
      <c r="N900" s="1338"/>
      <c r="O900" s="1335"/>
      <c r="P900" s="1316"/>
      <c r="R900" s="1352"/>
      <c r="S900" s="1352"/>
      <c r="T900" s="1352">
        <f>+Tabla16[[#This Row],[CDPS A 31 JULIO 2022]]-Tabla16[[#This Row],[CDP]]</f>
        <v>0</v>
      </c>
      <c r="U900" s="1352"/>
      <c r="V900" s="1352"/>
      <c r="W900" s="1352"/>
    </row>
    <row r="901" spans="1:23" s="1317" customFormat="1" ht="45" hidden="1" customHeight="1" x14ac:dyDescent="0.3">
      <c r="A901" s="1322"/>
      <c r="B901" s="1339"/>
      <c r="C901" s="1345"/>
      <c r="D901" s="1334"/>
      <c r="E901" s="1335"/>
      <c r="F901" s="1335"/>
      <c r="G901" s="1327"/>
      <c r="H901" s="1327"/>
      <c r="I901" s="1323"/>
      <c r="J901" s="1323"/>
      <c r="K901" s="1324"/>
      <c r="L901" s="1325"/>
      <c r="M901" s="1336"/>
      <c r="N901" s="1338"/>
      <c r="O901" s="1335"/>
      <c r="P901" s="1316"/>
      <c r="R901" s="1352"/>
      <c r="S901" s="1352"/>
      <c r="T901" s="1352">
        <f>+Tabla16[[#This Row],[CDPS A 31 JULIO 2022]]-Tabla16[[#This Row],[CDP]]</f>
        <v>0</v>
      </c>
      <c r="U901" s="1352"/>
      <c r="V901" s="1352"/>
      <c r="W901" s="1352"/>
    </row>
    <row r="902" spans="1:23" s="1317" customFormat="1" ht="45" hidden="1" customHeight="1" x14ac:dyDescent="0.3">
      <c r="A902" s="1322"/>
      <c r="B902" s="1339"/>
      <c r="C902" s="1345"/>
      <c r="D902" s="1334"/>
      <c r="E902" s="1335"/>
      <c r="F902" s="1335"/>
      <c r="G902" s="1327"/>
      <c r="H902" s="1327"/>
      <c r="I902" s="1323"/>
      <c r="J902" s="1323"/>
      <c r="K902" s="1324"/>
      <c r="L902" s="1325"/>
      <c r="M902" s="1336"/>
      <c r="N902" s="1338"/>
      <c r="O902" s="1335"/>
      <c r="P902" s="1316"/>
      <c r="R902" s="1352"/>
      <c r="S902" s="1352"/>
      <c r="T902" s="1352">
        <f>+Tabla16[[#This Row],[CDPS A 31 JULIO 2022]]-Tabla16[[#This Row],[CDP]]</f>
        <v>0</v>
      </c>
      <c r="U902" s="1352"/>
      <c r="V902" s="1352"/>
      <c r="W902" s="1352"/>
    </row>
    <row r="903" spans="1:23" s="1317" customFormat="1" ht="45" hidden="1" customHeight="1" x14ac:dyDescent="0.3">
      <c r="A903" s="1322"/>
      <c r="B903" s="1339"/>
      <c r="C903" s="1345"/>
      <c r="D903" s="1334"/>
      <c r="E903" s="1335"/>
      <c r="F903" s="1335"/>
      <c r="G903" s="1327"/>
      <c r="H903" s="1327"/>
      <c r="I903" s="1323"/>
      <c r="J903" s="1323"/>
      <c r="K903" s="1324"/>
      <c r="L903" s="1325"/>
      <c r="M903" s="1336"/>
      <c r="N903" s="1338"/>
      <c r="O903" s="1335"/>
      <c r="P903" s="1316"/>
      <c r="R903" s="1352"/>
      <c r="S903" s="1352"/>
      <c r="T903" s="1352">
        <f>+Tabla16[[#This Row],[CDPS A 31 JULIO 2022]]-Tabla16[[#This Row],[CDP]]</f>
        <v>0</v>
      </c>
      <c r="U903" s="1352"/>
      <c r="V903" s="1352"/>
      <c r="W903" s="1352"/>
    </row>
    <row r="904" spans="1:23" s="1317" customFormat="1" ht="45" hidden="1" customHeight="1" x14ac:dyDescent="0.3">
      <c r="A904" s="1322"/>
      <c r="B904" s="1339"/>
      <c r="C904" s="1345"/>
      <c r="D904" s="1334"/>
      <c r="E904" s="1335"/>
      <c r="F904" s="1335"/>
      <c r="G904" s="1327"/>
      <c r="H904" s="1327"/>
      <c r="I904" s="1323"/>
      <c r="J904" s="1323"/>
      <c r="K904" s="1324"/>
      <c r="L904" s="1325"/>
      <c r="M904" s="1336"/>
      <c r="N904" s="1338"/>
      <c r="O904" s="1335"/>
      <c r="P904" s="1316"/>
      <c r="R904" s="1352"/>
      <c r="S904" s="1352"/>
      <c r="T904" s="1352">
        <f>+Tabla16[[#This Row],[CDPS A 31 JULIO 2022]]-Tabla16[[#This Row],[CDP]]</f>
        <v>0</v>
      </c>
      <c r="U904" s="1352"/>
      <c r="V904" s="1352"/>
      <c r="W904" s="1352"/>
    </row>
    <row r="905" spans="1:23" s="1317" customFormat="1" ht="45" hidden="1" customHeight="1" x14ac:dyDescent="0.3">
      <c r="A905" s="1322"/>
      <c r="B905" s="1339"/>
      <c r="C905" s="1345"/>
      <c r="D905" s="1334"/>
      <c r="E905" s="1335"/>
      <c r="F905" s="1335"/>
      <c r="G905" s="1327"/>
      <c r="H905" s="1327"/>
      <c r="I905" s="1323"/>
      <c r="J905" s="1323"/>
      <c r="K905" s="1324"/>
      <c r="L905" s="1325"/>
      <c r="M905" s="1336"/>
      <c r="N905" s="1338"/>
      <c r="O905" s="1335"/>
      <c r="P905" s="1316"/>
      <c r="R905" s="1352"/>
      <c r="S905" s="1352"/>
      <c r="T905" s="1352">
        <f>+Tabla16[[#This Row],[CDPS A 31 JULIO 2022]]-Tabla16[[#This Row],[CDP]]</f>
        <v>0</v>
      </c>
      <c r="U905" s="1352"/>
      <c r="V905" s="1352"/>
      <c r="W905" s="1352"/>
    </row>
    <row r="906" spans="1:23" s="1317" customFormat="1" ht="45" hidden="1" customHeight="1" x14ac:dyDescent="0.3">
      <c r="A906" s="1322"/>
      <c r="B906" s="1339"/>
      <c r="C906" s="1345"/>
      <c r="D906" s="1334"/>
      <c r="E906" s="1335"/>
      <c r="F906" s="1335"/>
      <c r="G906" s="1327"/>
      <c r="H906" s="1327"/>
      <c r="I906" s="1323"/>
      <c r="J906" s="1323"/>
      <c r="K906" s="1324"/>
      <c r="L906" s="1325"/>
      <c r="M906" s="1336"/>
      <c r="N906" s="1338"/>
      <c r="O906" s="1335"/>
      <c r="P906" s="1316"/>
      <c r="R906" s="1352"/>
      <c r="S906" s="1352"/>
      <c r="T906" s="1352">
        <f>+Tabla16[[#This Row],[CDPS A 31 JULIO 2022]]-Tabla16[[#This Row],[CDP]]</f>
        <v>0</v>
      </c>
      <c r="U906" s="1352"/>
      <c r="V906" s="1352"/>
      <c r="W906" s="1352"/>
    </row>
    <row r="907" spans="1:23" s="1317" customFormat="1" ht="45" hidden="1" customHeight="1" x14ac:dyDescent="0.3">
      <c r="A907" s="1322"/>
      <c r="B907" s="1339"/>
      <c r="C907" s="1345"/>
      <c r="D907" s="1334"/>
      <c r="E907" s="1335"/>
      <c r="F907" s="1335"/>
      <c r="G907" s="1327"/>
      <c r="H907" s="1327"/>
      <c r="I907" s="1323"/>
      <c r="J907" s="1323"/>
      <c r="K907" s="1324"/>
      <c r="L907" s="1325"/>
      <c r="M907" s="1336"/>
      <c r="N907" s="1338"/>
      <c r="O907" s="1335"/>
      <c r="P907" s="1316"/>
      <c r="R907" s="1352"/>
      <c r="S907" s="1352"/>
      <c r="T907" s="1352">
        <f>+Tabla16[[#This Row],[CDPS A 31 JULIO 2022]]-Tabla16[[#This Row],[CDP]]</f>
        <v>0</v>
      </c>
      <c r="U907" s="1352"/>
      <c r="V907" s="1352"/>
      <c r="W907" s="1352"/>
    </row>
    <row r="908" spans="1:23" s="1317" customFormat="1" ht="45" hidden="1" customHeight="1" x14ac:dyDescent="0.3">
      <c r="A908" s="1322"/>
      <c r="B908" s="1339"/>
      <c r="C908" s="1345"/>
      <c r="D908" s="1334"/>
      <c r="E908" s="1335"/>
      <c r="F908" s="1335"/>
      <c r="G908" s="1327"/>
      <c r="H908" s="1327"/>
      <c r="I908" s="1323"/>
      <c r="J908" s="1323"/>
      <c r="K908" s="1324"/>
      <c r="L908" s="1325"/>
      <c r="M908" s="1336"/>
      <c r="N908" s="1338"/>
      <c r="O908" s="1335"/>
      <c r="P908" s="1316"/>
      <c r="R908" s="1352"/>
      <c r="S908" s="1352"/>
      <c r="T908" s="1352">
        <f>+Tabla16[[#This Row],[CDPS A 31 JULIO 2022]]-Tabla16[[#This Row],[CDP]]</f>
        <v>0</v>
      </c>
      <c r="U908" s="1352"/>
      <c r="V908" s="1352"/>
      <c r="W908" s="1352"/>
    </row>
    <row r="909" spans="1:23" s="1317" customFormat="1" ht="45" hidden="1" customHeight="1" x14ac:dyDescent="0.3">
      <c r="A909" s="1322"/>
      <c r="B909" s="1339"/>
      <c r="C909" s="1345"/>
      <c r="D909" s="1334"/>
      <c r="E909" s="1335"/>
      <c r="F909" s="1335"/>
      <c r="G909" s="1327"/>
      <c r="H909" s="1327"/>
      <c r="I909" s="1323"/>
      <c r="J909" s="1323"/>
      <c r="K909" s="1324"/>
      <c r="L909" s="1325"/>
      <c r="M909" s="1336"/>
      <c r="N909" s="1338"/>
      <c r="O909" s="1335"/>
      <c r="P909" s="1316"/>
      <c r="R909" s="1352"/>
      <c r="S909" s="1352"/>
      <c r="T909" s="1352">
        <f>+Tabla16[[#This Row],[CDPS A 31 JULIO 2022]]-Tabla16[[#This Row],[CDP]]</f>
        <v>0</v>
      </c>
      <c r="U909" s="1352"/>
      <c r="V909" s="1352"/>
      <c r="W909" s="1352"/>
    </row>
    <row r="910" spans="1:23" s="1317" customFormat="1" ht="45" hidden="1" customHeight="1" x14ac:dyDescent="0.3">
      <c r="A910" s="1322"/>
      <c r="B910" s="1339"/>
      <c r="C910" s="1345"/>
      <c r="D910" s="1334"/>
      <c r="E910" s="1335"/>
      <c r="F910" s="1335"/>
      <c r="G910" s="1327"/>
      <c r="H910" s="1327"/>
      <c r="I910" s="1323"/>
      <c r="J910" s="1323"/>
      <c r="K910" s="1324"/>
      <c r="L910" s="1325"/>
      <c r="M910" s="1336"/>
      <c r="N910" s="1338"/>
      <c r="O910" s="1335"/>
      <c r="P910" s="1316"/>
      <c r="R910" s="1352"/>
      <c r="S910" s="1352"/>
      <c r="T910" s="1352">
        <f>+Tabla16[[#This Row],[CDPS A 31 JULIO 2022]]-Tabla16[[#This Row],[CDP]]</f>
        <v>0</v>
      </c>
      <c r="U910" s="1352"/>
      <c r="V910" s="1352"/>
      <c r="W910" s="1352"/>
    </row>
    <row r="911" spans="1:23" s="1317" customFormat="1" ht="45" hidden="1" customHeight="1" x14ac:dyDescent="0.3">
      <c r="A911" s="1322"/>
      <c r="B911" s="1339"/>
      <c r="C911" s="1345"/>
      <c r="D911" s="1334"/>
      <c r="E911" s="1335"/>
      <c r="F911" s="1335"/>
      <c r="G911" s="1327"/>
      <c r="H911" s="1327"/>
      <c r="I911" s="1323"/>
      <c r="J911" s="1323"/>
      <c r="K911" s="1324"/>
      <c r="L911" s="1325"/>
      <c r="M911" s="1336"/>
      <c r="N911" s="1338"/>
      <c r="O911" s="1335"/>
      <c r="P911" s="1316"/>
      <c r="R911" s="1352"/>
      <c r="S911" s="1352"/>
      <c r="T911" s="1352">
        <f>+Tabla16[[#This Row],[CDPS A 31 JULIO 2022]]-Tabla16[[#This Row],[CDP]]</f>
        <v>0</v>
      </c>
      <c r="U911" s="1352"/>
      <c r="V911" s="1352"/>
      <c r="W911" s="1352"/>
    </row>
    <row r="912" spans="1:23" s="1317" customFormat="1" ht="45" hidden="1" customHeight="1" x14ac:dyDescent="0.3">
      <c r="A912" s="1322"/>
      <c r="B912" s="1339"/>
      <c r="C912" s="1345"/>
      <c r="D912" s="1334"/>
      <c r="E912" s="1335"/>
      <c r="F912" s="1335"/>
      <c r="G912" s="1327"/>
      <c r="H912" s="1327"/>
      <c r="I912" s="1323"/>
      <c r="J912" s="1323"/>
      <c r="K912" s="1324"/>
      <c r="L912" s="1325"/>
      <c r="M912" s="1336"/>
      <c r="N912" s="1338"/>
      <c r="O912" s="1335"/>
      <c r="P912" s="1316"/>
      <c r="R912" s="1352"/>
      <c r="S912" s="1352"/>
      <c r="T912" s="1352">
        <f>+Tabla16[[#This Row],[CDPS A 31 JULIO 2022]]-Tabla16[[#This Row],[CDP]]</f>
        <v>0</v>
      </c>
      <c r="U912" s="1352"/>
      <c r="V912" s="1352"/>
      <c r="W912" s="1352"/>
    </row>
    <row r="913" spans="1:23" s="1317" customFormat="1" ht="45" hidden="1" customHeight="1" x14ac:dyDescent="0.3">
      <c r="A913" s="1322"/>
      <c r="B913" s="1339"/>
      <c r="C913" s="1345"/>
      <c r="D913" s="1334"/>
      <c r="E913" s="1335"/>
      <c r="F913" s="1335"/>
      <c r="G913" s="1327"/>
      <c r="H913" s="1327"/>
      <c r="I913" s="1323"/>
      <c r="J913" s="1323"/>
      <c r="K913" s="1324"/>
      <c r="L913" s="1325"/>
      <c r="M913" s="1336"/>
      <c r="N913" s="1338"/>
      <c r="O913" s="1335"/>
      <c r="P913" s="1316"/>
      <c r="R913" s="1352"/>
      <c r="S913" s="1352"/>
      <c r="T913" s="1352">
        <f>+Tabla16[[#This Row],[CDPS A 31 JULIO 2022]]-Tabla16[[#This Row],[CDP]]</f>
        <v>0</v>
      </c>
      <c r="U913" s="1352"/>
      <c r="V913" s="1352"/>
      <c r="W913" s="1352"/>
    </row>
    <row r="914" spans="1:23" s="1317" customFormat="1" ht="45" hidden="1" customHeight="1" x14ac:dyDescent="0.3">
      <c r="A914" s="1322"/>
      <c r="B914" s="1339"/>
      <c r="C914" s="1345"/>
      <c r="D914" s="1334"/>
      <c r="E914" s="1335"/>
      <c r="F914" s="1335"/>
      <c r="G914" s="1327"/>
      <c r="H914" s="1327"/>
      <c r="I914" s="1323"/>
      <c r="J914" s="1323"/>
      <c r="K914" s="1324"/>
      <c r="L914" s="1325"/>
      <c r="M914" s="1336"/>
      <c r="N914" s="1338"/>
      <c r="O914" s="1335"/>
      <c r="P914" s="1316"/>
      <c r="R914" s="1352"/>
      <c r="S914" s="1352"/>
      <c r="T914" s="1352">
        <f>+Tabla16[[#This Row],[CDPS A 31 JULIO 2022]]-Tabla16[[#This Row],[CDP]]</f>
        <v>0</v>
      </c>
      <c r="U914" s="1352"/>
      <c r="V914" s="1352"/>
      <c r="W914" s="1352"/>
    </row>
    <row r="915" spans="1:23" s="1317" customFormat="1" ht="45" hidden="1" customHeight="1" x14ac:dyDescent="0.3">
      <c r="A915" s="1322"/>
      <c r="B915" s="1339"/>
      <c r="C915" s="1345"/>
      <c r="D915" s="1334"/>
      <c r="E915" s="1335"/>
      <c r="F915" s="1335"/>
      <c r="G915" s="1327"/>
      <c r="H915" s="1327"/>
      <c r="I915" s="1323"/>
      <c r="J915" s="1323"/>
      <c r="K915" s="1324"/>
      <c r="L915" s="1325"/>
      <c r="M915" s="1336"/>
      <c r="N915" s="1338"/>
      <c r="O915" s="1335"/>
      <c r="P915" s="1316"/>
      <c r="R915" s="1352"/>
      <c r="S915" s="1352"/>
      <c r="T915" s="1352">
        <f>+Tabla16[[#This Row],[CDPS A 31 JULIO 2022]]-Tabla16[[#This Row],[CDP]]</f>
        <v>0</v>
      </c>
      <c r="U915" s="1352"/>
      <c r="V915" s="1352"/>
      <c r="W915" s="1352"/>
    </row>
    <row r="916" spans="1:23" s="1317" customFormat="1" ht="45" hidden="1" customHeight="1" x14ac:dyDescent="0.3">
      <c r="A916" s="1322"/>
      <c r="B916" s="1339"/>
      <c r="C916" s="1345"/>
      <c r="D916" s="1334"/>
      <c r="E916" s="1335"/>
      <c r="F916" s="1335"/>
      <c r="G916" s="1327"/>
      <c r="H916" s="1327"/>
      <c r="I916" s="1323"/>
      <c r="J916" s="1323"/>
      <c r="K916" s="1324"/>
      <c r="L916" s="1325"/>
      <c r="M916" s="1336"/>
      <c r="N916" s="1338"/>
      <c r="O916" s="1335"/>
      <c r="P916" s="1316"/>
      <c r="R916" s="1352"/>
      <c r="S916" s="1352"/>
      <c r="T916" s="1352">
        <f>+Tabla16[[#This Row],[CDPS A 31 JULIO 2022]]-Tabla16[[#This Row],[CDP]]</f>
        <v>0</v>
      </c>
      <c r="U916" s="1352"/>
      <c r="V916" s="1352"/>
      <c r="W916" s="1352"/>
    </row>
    <row r="917" spans="1:23" s="1317" customFormat="1" ht="45" hidden="1" customHeight="1" x14ac:dyDescent="0.3">
      <c r="A917" s="1322"/>
      <c r="B917" s="1339"/>
      <c r="C917" s="1345"/>
      <c r="D917" s="1334"/>
      <c r="E917" s="1335"/>
      <c r="F917" s="1335"/>
      <c r="G917" s="1327"/>
      <c r="H917" s="1327"/>
      <c r="I917" s="1323"/>
      <c r="J917" s="1323"/>
      <c r="K917" s="1324"/>
      <c r="L917" s="1325"/>
      <c r="M917" s="1336"/>
      <c r="N917" s="1338"/>
      <c r="O917" s="1335"/>
      <c r="P917" s="1316"/>
      <c r="R917" s="1352"/>
      <c r="S917" s="1352"/>
      <c r="T917" s="1352">
        <f>+Tabla16[[#This Row],[CDPS A 31 JULIO 2022]]-Tabla16[[#This Row],[CDP]]</f>
        <v>0</v>
      </c>
      <c r="U917" s="1352"/>
      <c r="V917" s="1352"/>
      <c r="W917" s="1352"/>
    </row>
    <row r="918" spans="1:23" s="1317" customFormat="1" ht="45" hidden="1" customHeight="1" x14ac:dyDescent="0.3">
      <c r="A918" s="1322"/>
      <c r="B918" s="1339"/>
      <c r="C918" s="1345"/>
      <c r="D918" s="1334"/>
      <c r="E918" s="1335"/>
      <c r="F918" s="1335"/>
      <c r="G918" s="1327"/>
      <c r="H918" s="1327"/>
      <c r="I918" s="1323"/>
      <c r="J918" s="1323"/>
      <c r="K918" s="1324"/>
      <c r="L918" s="1325"/>
      <c r="M918" s="1336"/>
      <c r="N918" s="1338"/>
      <c r="O918" s="1335"/>
      <c r="P918" s="1316"/>
      <c r="R918" s="1352"/>
      <c r="S918" s="1352"/>
      <c r="T918" s="1352">
        <f>+Tabla16[[#This Row],[CDPS A 31 JULIO 2022]]-Tabla16[[#This Row],[CDP]]</f>
        <v>0</v>
      </c>
      <c r="U918" s="1352"/>
      <c r="V918" s="1352"/>
      <c r="W918" s="1352"/>
    </row>
    <row r="919" spans="1:23" s="1317" customFormat="1" ht="45" hidden="1" customHeight="1" x14ac:dyDescent="0.3">
      <c r="A919" s="1322"/>
      <c r="B919" s="1339"/>
      <c r="C919" s="1345"/>
      <c r="D919" s="1334"/>
      <c r="E919" s="1335"/>
      <c r="F919" s="1335"/>
      <c r="G919" s="1327"/>
      <c r="H919" s="1327"/>
      <c r="I919" s="1323"/>
      <c r="J919" s="1323"/>
      <c r="K919" s="1324"/>
      <c r="L919" s="1325"/>
      <c r="M919" s="1336"/>
      <c r="N919" s="1338"/>
      <c r="O919" s="1335"/>
      <c r="P919" s="1316"/>
      <c r="R919" s="1352"/>
      <c r="S919" s="1352"/>
      <c r="T919" s="1352">
        <f>+Tabla16[[#This Row],[CDPS A 31 JULIO 2022]]-Tabla16[[#This Row],[CDP]]</f>
        <v>0</v>
      </c>
      <c r="U919" s="1352"/>
      <c r="V919" s="1352"/>
      <c r="W919" s="1352"/>
    </row>
    <row r="920" spans="1:23" s="1317" customFormat="1" ht="45" hidden="1" customHeight="1" x14ac:dyDescent="0.3">
      <c r="A920" s="1322"/>
      <c r="B920" s="1339"/>
      <c r="C920" s="1345"/>
      <c r="D920" s="1334"/>
      <c r="E920" s="1335"/>
      <c r="F920" s="1335"/>
      <c r="G920" s="1327"/>
      <c r="H920" s="1327"/>
      <c r="I920" s="1323"/>
      <c r="J920" s="1323"/>
      <c r="K920" s="1324"/>
      <c r="L920" s="1325"/>
      <c r="M920" s="1336"/>
      <c r="N920" s="1338"/>
      <c r="O920" s="1335"/>
      <c r="P920" s="1316"/>
      <c r="R920" s="1352"/>
      <c r="S920" s="1352"/>
      <c r="T920" s="1352">
        <f>+Tabla16[[#This Row],[CDPS A 31 JULIO 2022]]-Tabla16[[#This Row],[CDP]]</f>
        <v>0</v>
      </c>
      <c r="U920" s="1352"/>
      <c r="V920" s="1352"/>
      <c r="W920" s="1352"/>
    </row>
    <row r="921" spans="1:23" s="1317" customFormat="1" ht="45" hidden="1" customHeight="1" x14ac:dyDescent="0.3">
      <c r="A921" s="1322"/>
      <c r="B921" s="1339"/>
      <c r="C921" s="1345"/>
      <c r="D921" s="1334"/>
      <c r="E921" s="1335"/>
      <c r="F921" s="1335"/>
      <c r="G921" s="1327"/>
      <c r="H921" s="1327"/>
      <c r="I921" s="1323"/>
      <c r="J921" s="1323"/>
      <c r="K921" s="1324"/>
      <c r="L921" s="1325"/>
      <c r="M921" s="1336"/>
      <c r="N921" s="1338"/>
      <c r="O921" s="1335"/>
      <c r="P921" s="1316"/>
      <c r="R921" s="1352"/>
      <c r="S921" s="1352"/>
      <c r="T921" s="1352">
        <f>+Tabla16[[#This Row],[CDPS A 31 JULIO 2022]]-Tabla16[[#This Row],[CDP]]</f>
        <v>0</v>
      </c>
      <c r="U921" s="1352"/>
      <c r="V921" s="1352"/>
      <c r="W921" s="1352"/>
    </row>
    <row r="922" spans="1:23" s="1317" customFormat="1" ht="45" hidden="1" customHeight="1" x14ac:dyDescent="0.3">
      <c r="A922" s="1322"/>
      <c r="B922" s="1339"/>
      <c r="C922" s="1345"/>
      <c r="D922" s="1334"/>
      <c r="E922" s="1335"/>
      <c r="F922" s="1335"/>
      <c r="G922" s="1327"/>
      <c r="H922" s="1327"/>
      <c r="I922" s="1323"/>
      <c r="J922" s="1323"/>
      <c r="K922" s="1324"/>
      <c r="L922" s="1325"/>
      <c r="M922" s="1336"/>
      <c r="N922" s="1338"/>
      <c r="O922" s="1335"/>
      <c r="P922" s="1316"/>
      <c r="R922" s="1352"/>
      <c r="S922" s="1352"/>
      <c r="T922" s="1352">
        <f>+Tabla16[[#This Row],[CDPS A 31 JULIO 2022]]-Tabla16[[#This Row],[CDP]]</f>
        <v>0</v>
      </c>
      <c r="U922" s="1352"/>
      <c r="V922" s="1352"/>
      <c r="W922" s="1352"/>
    </row>
    <row r="923" spans="1:23" s="1317" customFormat="1" ht="45" hidden="1" customHeight="1" x14ac:dyDescent="0.3">
      <c r="A923" s="1322"/>
      <c r="B923" s="1339"/>
      <c r="C923" s="1345"/>
      <c r="D923" s="1334"/>
      <c r="E923" s="1335"/>
      <c r="F923" s="1335"/>
      <c r="G923" s="1327"/>
      <c r="H923" s="1327"/>
      <c r="I923" s="1323"/>
      <c r="J923" s="1323"/>
      <c r="K923" s="1324"/>
      <c r="L923" s="1325"/>
      <c r="M923" s="1336"/>
      <c r="N923" s="1338"/>
      <c r="O923" s="1335"/>
      <c r="P923" s="1316"/>
      <c r="R923" s="1352"/>
      <c r="S923" s="1352"/>
      <c r="T923" s="1352">
        <f>+Tabla16[[#This Row],[CDPS A 31 JULIO 2022]]-Tabla16[[#This Row],[CDP]]</f>
        <v>0</v>
      </c>
      <c r="U923" s="1352"/>
      <c r="V923" s="1352"/>
      <c r="W923" s="1352"/>
    </row>
    <row r="924" spans="1:23" s="1317" customFormat="1" ht="45" hidden="1" customHeight="1" x14ac:dyDescent="0.3">
      <c r="A924" s="1322"/>
      <c r="B924" s="1339"/>
      <c r="C924" s="1345"/>
      <c r="D924" s="1334"/>
      <c r="E924" s="1335"/>
      <c r="F924" s="1335"/>
      <c r="G924" s="1327"/>
      <c r="H924" s="1327"/>
      <c r="I924" s="1323"/>
      <c r="J924" s="1323"/>
      <c r="K924" s="1324"/>
      <c r="L924" s="1325"/>
      <c r="M924" s="1336"/>
      <c r="N924" s="1338"/>
      <c r="O924" s="1335"/>
      <c r="P924" s="1316"/>
      <c r="R924" s="1352"/>
      <c r="S924" s="1352"/>
      <c r="T924" s="1352">
        <f>+Tabla16[[#This Row],[CDPS A 31 JULIO 2022]]-Tabla16[[#This Row],[CDP]]</f>
        <v>0</v>
      </c>
      <c r="U924" s="1352"/>
      <c r="V924" s="1352"/>
      <c r="W924" s="1352"/>
    </row>
    <row r="925" spans="1:23" s="1317" customFormat="1" ht="45" hidden="1" customHeight="1" x14ac:dyDescent="0.3">
      <c r="A925" s="1322"/>
      <c r="B925" s="1339"/>
      <c r="C925" s="1345"/>
      <c r="D925" s="1334"/>
      <c r="E925" s="1335"/>
      <c r="F925" s="1335"/>
      <c r="G925" s="1327"/>
      <c r="H925" s="1327"/>
      <c r="I925" s="1323"/>
      <c r="J925" s="1323"/>
      <c r="K925" s="1324"/>
      <c r="L925" s="1325"/>
      <c r="M925" s="1336"/>
      <c r="N925" s="1338"/>
      <c r="O925" s="1335"/>
      <c r="P925" s="1316"/>
      <c r="R925" s="1352"/>
      <c r="S925" s="1352"/>
      <c r="T925" s="1352">
        <f>+Tabla16[[#This Row],[CDPS A 31 JULIO 2022]]-Tabla16[[#This Row],[CDP]]</f>
        <v>0</v>
      </c>
      <c r="U925" s="1352"/>
      <c r="V925" s="1352"/>
      <c r="W925" s="1352"/>
    </row>
    <row r="926" spans="1:23" s="1317" customFormat="1" ht="45" hidden="1" customHeight="1" x14ac:dyDescent="0.3">
      <c r="A926" s="1322"/>
      <c r="B926" s="1339"/>
      <c r="C926" s="1345"/>
      <c r="D926" s="1334"/>
      <c r="E926" s="1335"/>
      <c r="F926" s="1335"/>
      <c r="G926" s="1327"/>
      <c r="H926" s="1327"/>
      <c r="I926" s="1323"/>
      <c r="J926" s="1323"/>
      <c r="K926" s="1324"/>
      <c r="L926" s="1325"/>
      <c r="M926" s="1336"/>
      <c r="N926" s="1338"/>
      <c r="O926" s="1335"/>
      <c r="P926" s="1316"/>
      <c r="R926" s="1352"/>
      <c r="S926" s="1352"/>
      <c r="T926" s="1352">
        <f>+Tabla16[[#This Row],[CDPS A 31 JULIO 2022]]-Tabla16[[#This Row],[CDP]]</f>
        <v>0</v>
      </c>
      <c r="U926" s="1352"/>
      <c r="V926" s="1352"/>
      <c r="W926" s="1352"/>
    </row>
    <row r="927" spans="1:23" s="1317" customFormat="1" ht="45" hidden="1" customHeight="1" x14ac:dyDescent="0.3">
      <c r="A927" s="1322"/>
      <c r="B927" s="1339"/>
      <c r="C927" s="1345"/>
      <c r="D927" s="1334"/>
      <c r="E927" s="1335"/>
      <c r="F927" s="1335"/>
      <c r="G927" s="1327"/>
      <c r="H927" s="1327"/>
      <c r="I927" s="1323"/>
      <c r="J927" s="1323"/>
      <c r="K927" s="1324"/>
      <c r="L927" s="1325"/>
      <c r="M927" s="1336"/>
      <c r="N927" s="1338"/>
      <c r="O927" s="1335"/>
      <c r="P927" s="1316"/>
      <c r="R927" s="1352"/>
      <c r="S927" s="1352"/>
      <c r="T927" s="1352">
        <f>+Tabla16[[#This Row],[CDPS A 31 JULIO 2022]]-Tabla16[[#This Row],[CDP]]</f>
        <v>0</v>
      </c>
      <c r="U927" s="1352"/>
      <c r="V927" s="1352"/>
      <c r="W927" s="1352"/>
    </row>
    <row r="928" spans="1:23" s="1317" customFormat="1" ht="45" hidden="1" customHeight="1" x14ac:dyDescent="0.3">
      <c r="A928" s="1322"/>
      <c r="B928" s="1339"/>
      <c r="C928" s="1345"/>
      <c r="D928" s="1334"/>
      <c r="E928" s="1335"/>
      <c r="F928" s="1335"/>
      <c r="G928" s="1327"/>
      <c r="H928" s="1327"/>
      <c r="I928" s="1323"/>
      <c r="J928" s="1323"/>
      <c r="K928" s="1324"/>
      <c r="L928" s="1325"/>
      <c r="M928" s="1336"/>
      <c r="N928" s="1338"/>
      <c r="O928" s="1335"/>
      <c r="P928" s="1316"/>
      <c r="R928" s="1352"/>
      <c r="S928" s="1352"/>
      <c r="T928" s="1352">
        <f>+Tabla16[[#This Row],[CDPS A 31 JULIO 2022]]-Tabla16[[#This Row],[CDP]]</f>
        <v>0</v>
      </c>
      <c r="U928" s="1352"/>
      <c r="V928" s="1352"/>
      <c r="W928" s="1352"/>
    </row>
    <row r="929" spans="1:23" s="1317" customFormat="1" ht="45" hidden="1" customHeight="1" x14ac:dyDescent="0.3">
      <c r="A929" s="1322"/>
      <c r="B929" s="1339"/>
      <c r="C929" s="1345"/>
      <c r="D929" s="1334"/>
      <c r="E929" s="1335"/>
      <c r="F929" s="1335"/>
      <c r="G929" s="1327"/>
      <c r="H929" s="1327"/>
      <c r="I929" s="1323"/>
      <c r="J929" s="1323"/>
      <c r="K929" s="1324"/>
      <c r="L929" s="1325"/>
      <c r="M929" s="1336"/>
      <c r="N929" s="1338"/>
      <c r="O929" s="1335"/>
      <c r="P929" s="1316"/>
      <c r="R929" s="1352"/>
      <c r="S929" s="1352"/>
      <c r="T929" s="1352">
        <f>+Tabla16[[#This Row],[CDPS A 31 JULIO 2022]]-Tabla16[[#This Row],[CDP]]</f>
        <v>0</v>
      </c>
      <c r="U929" s="1352"/>
      <c r="V929" s="1352"/>
      <c r="W929" s="1352"/>
    </row>
    <row r="930" spans="1:23" s="1317" customFormat="1" ht="45" hidden="1" customHeight="1" x14ac:dyDescent="0.3">
      <c r="A930" s="1322"/>
      <c r="B930" s="1339"/>
      <c r="C930" s="1345"/>
      <c r="D930" s="1334"/>
      <c r="E930" s="1335"/>
      <c r="F930" s="1335"/>
      <c r="G930" s="1327"/>
      <c r="H930" s="1327"/>
      <c r="I930" s="1323"/>
      <c r="J930" s="1323"/>
      <c r="K930" s="1324"/>
      <c r="L930" s="1325"/>
      <c r="M930" s="1336"/>
      <c r="N930" s="1338"/>
      <c r="O930" s="1335"/>
      <c r="P930" s="1316"/>
      <c r="R930" s="1352"/>
      <c r="S930" s="1352"/>
      <c r="T930" s="1352">
        <f>+Tabla16[[#This Row],[CDPS A 31 JULIO 2022]]-Tabla16[[#This Row],[CDP]]</f>
        <v>0</v>
      </c>
      <c r="U930" s="1352"/>
      <c r="V930" s="1352"/>
      <c r="W930" s="1352"/>
    </row>
    <row r="931" spans="1:23" s="1317" customFormat="1" ht="45" hidden="1" customHeight="1" x14ac:dyDescent="0.3">
      <c r="A931" s="1322"/>
      <c r="B931" s="1339"/>
      <c r="C931" s="1345"/>
      <c r="D931" s="1334"/>
      <c r="E931" s="1335"/>
      <c r="F931" s="1335"/>
      <c r="G931" s="1327"/>
      <c r="H931" s="1327"/>
      <c r="I931" s="1323"/>
      <c r="J931" s="1323"/>
      <c r="K931" s="1324"/>
      <c r="L931" s="1325"/>
      <c r="M931" s="1336"/>
      <c r="N931" s="1338"/>
      <c r="O931" s="1335"/>
      <c r="P931" s="1316"/>
      <c r="R931" s="1352"/>
      <c r="S931" s="1352"/>
      <c r="T931" s="1352">
        <f>+Tabla16[[#This Row],[CDPS A 31 JULIO 2022]]-Tabla16[[#This Row],[CDP]]</f>
        <v>0</v>
      </c>
      <c r="U931" s="1352"/>
      <c r="V931" s="1352"/>
      <c r="W931" s="1352"/>
    </row>
    <row r="932" spans="1:23" s="1317" customFormat="1" ht="45" hidden="1" customHeight="1" x14ac:dyDescent="0.3">
      <c r="A932" s="1322"/>
      <c r="B932" s="1339"/>
      <c r="C932" s="1345"/>
      <c r="D932" s="1334"/>
      <c r="E932" s="1335"/>
      <c r="F932" s="1335"/>
      <c r="G932" s="1327"/>
      <c r="H932" s="1327"/>
      <c r="I932" s="1323"/>
      <c r="J932" s="1323"/>
      <c r="K932" s="1324"/>
      <c r="L932" s="1325"/>
      <c r="M932" s="1336"/>
      <c r="N932" s="1338"/>
      <c r="O932" s="1335"/>
      <c r="P932" s="1316"/>
      <c r="R932" s="1352"/>
      <c r="S932" s="1352"/>
      <c r="T932" s="1352">
        <f>+Tabla16[[#This Row],[CDPS A 31 JULIO 2022]]-Tabla16[[#This Row],[CDP]]</f>
        <v>0</v>
      </c>
      <c r="U932" s="1352"/>
      <c r="V932" s="1352"/>
      <c r="W932" s="1352"/>
    </row>
    <row r="933" spans="1:23" s="1317" customFormat="1" ht="45" hidden="1" customHeight="1" x14ac:dyDescent="0.3">
      <c r="A933" s="1322"/>
      <c r="B933" s="1339"/>
      <c r="C933" s="1345"/>
      <c r="D933" s="1334"/>
      <c r="E933" s="1335"/>
      <c r="F933" s="1335"/>
      <c r="G933" s="1327"/>
      <c r="H933" s="1327"/>
      <c r="I933" s="1323"/>
      <c r="J933" s="1323"/>
      <c r="K933" s="1324"/>
      <c r="L933" s="1325"/>
      <c r="M933" s="1336"/>
      <c r="N933" s="1338"/>
      <c r="O933" s="1335"/>
      <c r="P933" s="1316"/>
      <c r="R933" s="1352"/>
      <c r="S933" s="1352"/>
      <c r="T933" s="1352">
        <f>+Tabla16[[#This Row],[CDPS A 31 JULIO 2022]]-Tabla16[[#This Row],[CDP]]</f>
        <v>0</v>
      </c>
      <c r="U933" s="1352"/>
      <c r="V933" s="1352"/>
      <c r="W933" s="1352"/>
    </row>
    <row r="934" spans="1:23" s="1317" customFormat="1" ht="45" hidden="1" customHeight="1" x14ac:dyDescent="0.3">
      <c r="A934" s="1322"/>
      <c r="B934" s="1339"/>
      <c r="C934" s="1345"/>
      <c r="D934" s="1334"/>
      <c r="E934" s="1335"/>
      <c r="F934" s="1335"/>
      <c r="G934" s="1327"/>
      <c r="H934" s="1327"/>
      <c r="I934" s="1323"/>
      <c r="J934" s="1323"/>
      <c r="K934" s="1324"/>
      <c r="L934" s="1325"/>
      <c r="M934" s="1336"/>
      <c r="N934" s="1338"/>
      <c r="O934" s="1335"/>
      <c r="P934" s="1316"/>
      <c r="R934" s="1352"/>
      <c r="S934" s="1352"/>
      <c r="T934" s="1352">
        <f>+Tabla16[[#This Row],[CDPS A 31 JULIO 2022]]-Tabla16[[#This Row],[CDP]]</f>
        <v>0</v>
      </c>
      <c r="U934" s="1352"/>
      <c r="V934" s="1352"/>
      <c r="W934" s="1352"/>
    </row>
    <row r="935" spans="1:23" s="1317" customFormat="1" ht="45" hidden="1" customHeight="1" x14ac:dyDescent="0.3">
      <c r="A935" s="1322"/>
      <c r="B935" s="1339"/>
      <c r="C935" s="1345"/>
      <c r="D935" s="1334"/>
      <c r="E935" s="1335"/>
      <c r="F935" s="1335"/>
      <c r="G935" s="1327"/>
      <c r="H935" s="1327"/>
      <c r="I935" s="1323"/>
      <c r="J935" s="1323"/>
      <c r="K935" s="1324"/>
      <c r="L935" s="1325"/>
      <c r="M935" s="1336"/>
      <c r="N935" s="1338"/>
      <c r="O935" s="1335"/>
      <c r="P935" s="1316"/>
      <c r="R935" s="1352"/>
      <c r="S935" s="1352"/>
      <c r="T935" s="1352">
        <f>+Tabla16[[#This Row],[CDPS A 31 JULIO 2022]]-Tabla16[[#This Row],[CDP]]</f>
        <v>0</v>
      </c>
      <c r="U935" s="1352"/>
      <c r="V935" s="1352"/>
      <c r="W935" s="1352"/>
    </row>
    <row r="936" spans="1:23" s="1317" customFormat="1" ht="45" hidden="1" customHeight="1" x14ac:dyDescent="0.3">
      <c r="A936" s="1322"/>
      <c r="B936" s="1339"/>
      <c r="C936" s="1345"/>
      <c r="D936" s="1334"/>
      <c r="E936" s="1335"/>
      <c r="F936" s="1335"/>
      <c r="G936" s="1327"/>
      <c r="H936" s="1327"/>
      <c r="I936" s="1323"/>
      <c r="J936" s="1323"/>
      <c r="K936" s="1324"/>
      <c r="L936" s="1325"/>
      <c r="M936" s="1336"/>
      <c r="N936" s="1338"/>
      <c r="O936" s="1335"/>
      <c r="P936" s="1316"/>
      <c r="R936" s="1352"/>
      <c r="S936" s="1352"/>
      <c r="T936" s="1352">
        <f>+Tabla16[[#This Row],[CDPS A 31 JULIO 2022]]-Tabla16[[#This Row],[CDP]]</f>
        <v>0</v>
      </c>
      <c r="U936" s="1352"/>
      <c r="V936" s="1352"/>
      <c r="W936" s="1352"/>
    </row>
    <row r="937" spans="1:23" s="1317" customFormat="1" ht="45" hidden="1" customHeight="1" x14ac:dyDescent="0.3">
      <c r="A937" s="1322"/>
      <c r="B937" s="1339"/>
      <c r="C937" s="1345"/>
      <c r="D937" s="1334"/>
      <c r="E937" s="1335"/>
      <c r="F937" s="1335"/>
      <c r="G937" s="1327"/>
      <c r="H937" s="1327"/>
      <c r="I937" s="1323"/>
      <c r="J937" s="1323"/>
      <c r="K937" s="1324"/>
      <c r="L937" s="1325"/>
      <c r="M937" s="1336"/>
      <c r="N937" s="1338"/>
      <c r="O937" s="1335"/>
      <c r="P937" s="1316"/>
      <c r="R937" s="1352"/>
      <c r="S937" s="1352"/>
      <c r="T937" s="1352">
        <f>+Tabla16[[#This Row],[CDPS A 31 JULIO 2022]]-Tabla16[[#This Row],[CDP]]</f>
        <v>0</v>
      </c>
      <c r="U937" s="1352"/>
      <c r="V937" s="1352"/>
      <c r="W937" s="1352"/>
    </row>
    <row r="938" spans="1:23" s="1317" customFormat="1" ht="45" hidden="1" customHeight="1" x14ac:dyDescent="0.3">
      <c r="A938" s="1322"/>
      <c r="B938" s="1339"/>
      <c r="C938" s="1345"/>
      <c r="D938" s="1334"/>
      <c r="E938" s="1335"/>
      <c r="F938" s="1335"/>
      <c r="G938" s="1327"/>
      <c r="H938" s="1327"/>
      <c r="I938" s="1323"/>
      <c r="J938" s="1323"/>
      <c r="K938" s="1324"/>
      <c r="L938" s="1325"/>
      <c r="M938" s="1336"/>
      <c r="N938" s="1338"/>
      <c r="O938" s="1335"/>
      <c r="P938" s="1316"/>
      <c r="R938" s="1352"/>
      <c r="S938" s="1352"/>
      <c r="T938" s="1352">
        <f>+Tabla16[[#This Row],[CDPS A 31 JULIO 2022]]-Tabla16[[#This Row],[CDP]]</f>
        <v>0</v>
      </c>
      <c r="U938" s="1352"/>
      <c r="V938" s="1352"/>
      <c r="W938" s="1352"/>
    </row>
    <row r="939" spans="1:23" s="1317" customFormat="1" ht="45" hidden="1" customHeight="1" x14ac:dyDescent="0.3">
      <c r="A939" s="1322"/>
      <c r="B939" s="1339"/>
      <c r="C939" s="1345"/>
      <c r="D939" s="1334"/>
      <c r="E939" s="1335"/>
      <c r="F939" s="1335"/>
      <c r="G939" s="1327"/>
      <c r="H939" s="1327"/>
      <c r="I939" s="1323"/>
      <c r="J939" s="1323"/>
      <c r="K939" s="1324"/>
      <c r="L939" s="1325"/>
      <c r="M939" s="1336"/>
      <c r="N939" s="1338"/>
      <c r="O939" s="1335"/>
      <c r="P939" s="1316"/>
      <c r="R939" s="1352"/>
      <c r="S939" s="1352"/>
      <c r="T939" s="1352">
        <f>+Tabla16[[#This Row],[CDPS A 31 JULIO 2022]]-Tabla16[[#This Row],[CDP]]</f>
        <v>0</v>
      </c>
      <c r="U939" s="1352"/>
      <c r="V939" s="1352"/>
      <c r="W939" s="1352"/>
    </row>
    <row r="940" spans="1:23" s="1317" customFormat="1" ht="45" hidden="1" customHeight="1" x14ac:dyDescent="0.3">
      <c r="A940" s="1322"/>
      <c r="B940" s="1339"/>
      <c r="C940" s="1345"/>
      <c r="D940" s="1334"/>
      <c r="E940" s="1335"/>
      <c r="F940" s="1335"/>
      <c r="G940" s="1327"/>
      <c r="H940" s="1327"/>
      <c r="I940" s="1323"/>
      <c r="J940" s="1323"/>
      <c r="K940" s="1324"/>
      <c r="L940" s="1325"/>
      <c r="M940" s="1336"/>
      <c r="N940" s="1338"/>
      <c r="O940" s="1335"/>
      <c r="P940" s="1316"/>
      <c r="R940" s="1352"/>
      <c r="S940" s="1352"/>
      <c r="T940" s="1352">
        <f>+Tabla16[[#This Row],[CDPS A 31 JULIO 2022]]-Tabla16[[#This Row],[CDP]]</f>
        <v>0</v>
      </c>
      <c r="U940" s="1352"/>
      <c r="V940" s="1352"/>
      <c r="W940" s="1352"/>
    </row>
    <row r="941" spans="1:23" s="1317" customFormat="1" ht="45" hidden="1" customHeight="1" x14ac:dyDescent="0.3">
      <c r="A941" s="1322"/>
      <c r="B941" s="1339"/>
      <c r="C941" s="1345"/>
      <c r="D941" s="1334"/>
      <c r="E941" s="1335"/>
      <c r="F941" s="1335"/>
      <c r="G941" s="1327"/>
      <c r="H941" s="1327"/>
      <c r="I941" s="1323"/>
      <c r="J941" s="1323"/>
      <c r="K941" s="1324"/>
      <c r="L941" s="1325"/>
      <c r="M941" s="1336"/>
      <c r="N941" s="1338"/>
      <c r="O941" s="1335"/>
      <c r="P941" s="1316"/>
      <c r="R941" s="1352"/>
      <c r="S941" s="1352"/>
      <c r="T941" s="1352">
        <f>+Tabla16[[#This Row],[CDPS A 31 JULIO 2022]]-Tabla16[[#This Row],[CDP]]</f>
        <v>0</v>
      </c>
      <c r="U941" s="1352"/>
      <c r="V941" s="1352"/>
      <c r="W941" s="1352"/>
    </row>
    <row r="942" spans="1:23" s="1317" customFormat="1" ht="45" hidden="1" customHeight="1" x14ac:dyDescent="0.3">
      <c r="A942" s="1322"/>
      <c r="B942" s="1339"/>
      <c r="C942" s="1345"/>
      <c r="D942" s="1334"/>
      <c r="E942" s="1335"/>
      <c r="F942" s="1335"/>
      <c r="G942" s="1327"/>
      <c r="H942" s="1327"/>
      <c r="I942" s="1323"/>
      <c r="J942" s="1323"/>
      <c r="K942" s="1324"/>
      <c r="L942" s="1325"/>
      <c r="M942" s="1336"/>
      <c r="N942" s="1338"/>
      <c r="O942" s="1335"/>
      <c r="P942" s="1316"/>
      <c r="R942" s="1352"/>
      <c r="S942" s="1352"/>
      <c r="T942" s="1352">
        <f>+Tabla16[[#This Row],[CDPS A 31 JULIO 2022]]-Tabla16[[#This Row],[CDP]]</f>
        <v>0</v>
      </c>
      <c r="U942" s="1352"/>
      <c r="V942" s="1352"/>
      <c r="W942" s="1352"/>
    </row>
    <row r="943" spans="1:23" s="1317" customFormat="1" ht="45" hidden="1" customHeight="1" x14ac:dyDescent="0.3">
      <c r="A943" s="1322"/>
      <c r="B943" s="1339"/>
      <c r="C943" s="1345"/>
      <c r="D943" s="1334"/>
      <c r="E943" s="1335"/>
      <c r="F943" s="1335"/>
      <c r="G943" s="1327"/>
      <c r="H943" s="1327"/>
      <c r="I943" s="1323"/>
      <c r="J943" s="1323"/>
      <c r="K943" s="1324"/>
      <c r="L943" s="1325"/>
      <c r="M943" s="1336"/>
      <c r="N943" s="1338"/>
      <c r="O943" s="1335"/>
      <c r="P943" s="1316"/>
      <c r="R943" s="1352"/>
      <c r="S943" s="1352"/>
      <c r="T943" s="1352">
        <f>+Tabla16[[#This Row],[CDPS A 31 JULIO 2022]]-Tabla16[[#This Row],[CDP]]</f>
        <v>0</v>
      </c>
      <c r="U943" s="1352"/>
      <c r="V943" s="1352"/>
      <c r="W943" s="1352"/>
    </row>
    <row r="944" spans="1:23" s="1317" customFormat="1" ht="45" hidden="1" customHeight="1" x14ac:dyDescent="0.3">
      <c r="A944" s="1322"/>
      <c r="B944" s="1339"/>
      <c r="C944" s="1345"/>
      <c r="D944" s="1334"/>
      <c r="E944" s="1335"/>
      <c r="F944" s="1335"/>
      <c r="G944" s="1327"/>
      <c r="H944" s="1327"/>
      <c r="I944" s="1323"/>
      <c r="J944" s="1323"/>
      <c r="K944" s="1324"/>
      <c r="L944" s="1325"/>
      <c r="M944" s="1336"/>
      <c r="N944" s="1338"/>
      <c r="O944" s="1335"/>
      <c r="P944" s="1316"/>
      <c r="R944" s="1352"/>
      <c r="S944" s="1352"/>
      <c r="T944" s="1352">
        <f>+Tabla16[[#This Row],[CDPS A 31 JULIO 2022]]-Tabla16[[#This Row],[CDP]]</f>
        <v>0</v>
      </c>
      <c r="U944" s="1352"/>
      <c r="V944" s="1352"/>
      <c r="W944" s="1352"/>
    </row>
    <row r="945" spans="1:23" s="1317" customFormat="1" ht="45" hidden="1" customHeight="1" x14ac:dyDescent="0.3">
      <c r="A945" s="1322"/>
      <c r="B945" s="1339"/>
      <c r="C945" s="1345"/>
      <c r="D945" s="1334"/>
      <c r="E945" s="1335"/>
      <c r="F945" s="1335"/>
      <c r="G945" s="1327"/>
      <c r="H945" s="1327"/>
      <c r="I945" s="1323"/>
      <c r="J945" s="1323"/>
      <c r="K945" s="1324"/>
      <c r="L945" s="1325"/>
      <c r="M945" s="1336"/>
      <c r="N945" s="1338"/>
      <c r="O945" s="1335"/>
      <c r="P945" s="1316"/>
      <c r="R945" s="1352"/>
      <c r="S945" s="1352"/>
      <c r="T945" s="1352">
        <f>+Tabla16[[#This Row],[CDPS A 31 JULIO 2022]]-Tabla16[[#This Row],[CDP]]</f>
        <v>0</v>
      </c>
      <c r="U945" s="1352"/>
      <c r="V945" s="1352"/>
      <c r="W945" s="1352"/>
    </row>
    <row r="946" spans="1:23" s="1317" customFormat="1" ht="45" hidden="1" customHeight="1" x14ac:dyDescent="0.3">
      <c r="A946" s="1322"/>
      <c r="B946" s="1339"/>
      <c r="C946" s="1345"/>
      <c r="D946" s="1334"/>
      <c r="E946" s="1335"/>
      <c r="F946" s="1335"/>
      <c r="G946" s="1327"/>
      <c r="H946" s="1327"/>
      <c r="I946" s="1323"/>
      <c r="J946" s="1323"/>
      <c r="K946" s="1324"/>
      <c r="L946" s="1325"/>
      <c r="M946" s="1336"/>
      <c r="N946" s="1338"/>
      <c r="O946" s="1335"/>
      <c r="P946" s="1316"/>
      <c r="R946" s="1352"/>
      <c r="S946" s="1352"/>
      <c r="T946" s="1352">
        <f>+Tabla16[[#This Row],[CDPS A 31 JULIO 2022]]-Tabla16[[#This Row],[CDP]]</f>
        <v>0</v>
      </c>
      <c r="U946" s="1352"/>
      <c r="V946" s="1352"/>
      <c r="W946" s="1352"/>
    </row>
    <row r="947" spans="1:23" s="1317" customFormat="1" ht="45" hidden="1" customHeight="1" x14ac:dyDescent="0.3">
      <c r="A947" s="1322"/>
      <c r="B947" s="1339"/>
      <c r="C947" s="1345"/>
      <c r="D947" s="1334"/>
      <c r="E947" s="1335"/>
      <c r="F947" s="1335"/>
      <c r="G947" s="1327"/>
      <c r="H947" s="1327"/>
      <c r="I947" s="1323"/>
      <c r="J947" s="1323"/>
      <c r="K947" s="1324"/>
      <c r="L947" s="1325"/>
      <c r="M947" s="1336"/>
      <c r="N947" s="1338"/>
      <c r="O947" s="1335"/>
      <c r="P947" s="1316"/>
      <c r="R947" s="1352"/>
      <c r="S947" s="1352"/>
      <c r="T947" s="1352">
        <f>+Tabla16[[#This Row],[CDPS A 31 JULIO 2022]]-Tabla16[[#This Row],[CDP]]</f>
        <v>0</v>
      </c>
      <c r="U947" s="1352"/>
      <c r="V947" s="1352"/>
      <c r="W947" s="1352"/>
    </row>
    <row r="948" spans="1:23" s="1317" customFormat="1" ht="45" hidden="1" customHeight="1" x14ac:dyDescent="0.3">
      <c r="A948" s="1322"/>
      <c r="B948" s="1339"/>
      <c r="C948" s="1345"/>
      <c r="D948" s="1334"/>
      <c r="E948" s="1335"/>
      <c r="F948" s="1335"/>
      <c r="G948" s="1327"/>
      <c r="H948" s="1327"/>
      <c r="I948" s="1323"/>
      <c r="J948" s="1323"/>
      <c r="K948" s="1324"/>
      <c r="L948" s="1325"/>
      <c r="M948" s="1336"/>
      <c r="N948" s="1338"/>
      <c r="O948" s="1335"/>
      <c r="P948" s="1316"/>
      <c r="R948" s="1352"/>
      <c r="S948" s="1352"/>
      <c r="T948" s="1352">
        <f>+Tabla16[[#This Row],[CDPS A 31 JULIO 2022]]-Tabla16[[#This Row],[CDP]]</f>
        <v>0</v>
      </c>
      <c r="U948" s="1352"/>
      <c r="V948" s="1352"/>
      <c r="W948" s="1352"/>
    </row>
    <row r="949" spans="1:23" s="1317" customFormat="1" ht="45" hidden="1" customHeight="1" x14ac:dyDescent="0.3">
      <c r="A949" s="1322"/>
      <c r="B949" s="1339"/>
      <c r="C949" s="1345"/>
      <c r="D949" s="1334"/>
      <c r="E949" s="1335"/>
      <c r="F949" s="1335"/>
      <c r="G949" s="1327"/>
      <c r="H949" s="1327"/>
      <c r="I949" s="1323"/>
      <c r="J949" s="1323"/>
      <c r="K949" s="1324"/>
      <c r="L949" s="1325"/>
      <c r="M949" s="1336"/>
      <c r="N949" s="1338"/>
      <c r="O949" s="1335"/>
      <c r="P949" s="1316"/>
      <c r="R949" s="1352"/>
      <c r="S949" s="1352"/>
      <c r="T949" s="1352">
        <f>+Tabla16[[#This Row],[CDPS A 31 JULIO 2022]]-Tabla16[[#This Row],[CDP]]</f>
        <v>0</v>
      </c>
      <c r="U949" s="1352"/>
      <c r="V949" s="1352"/>
      <c r="W949" s="1352"/>
    </row>
    <row r="950" spans="1:23" s="1317" customFormat="1" ht="45" hidden="1" customHeight="1" x14ac:dyDescent="0.3">
      <c r="A950" s="1322"/>
      <c r="B950" s="1339"/>
      <c r="C950" s="1345"/>
      <c r="D950" s="1334"/>
      <c r="E950" s="1335"/>
      <c r="F950" s="1335"/>
      <c r="G950" s="1327"/>
      <c r="H950" s="1327"/>
      <c r="I950" s="1323"/>
      <c r="J950" s="1323"/>
      <c r="K950" s="1324"/>
      <c r="L950" s="1325"/>
      <c r="M950" s="1336"/>
      <c r="N950" s="1338"/>
      <c r="O950" s="1335"/>
      <c r="P950" s="1316"/>
      <c r="R950" s="1352"/>
      <c r="S950" s="1352"/>
      <c r="T950" s="1352">
        <f>+Tabla16[[#This Row],[CDPS A 31 JULIO 2022]]-Tabla16[[#This Row],[CDP]]</f>
        <v>0</v>
      </c>
      <c r="U950" s="1352"/>
      <c r="V950" s="1352"/>
      <c r="W950" s="1352"/>
    </row>
    <row r="951" spans="1:23" s="1317" customFormat="1" ht="45" hidden="1" customHeight="1" x14ac:dyDescent="0.3">
      <c r="A951" s="1322"/>
      <c r="B951" s="1339"/>
      <c r="C951" s="1345"/>
      <c r="D951" s="1334"/>
      <c r="E951" s="1335"/>
      <c r="F951" s="1335"/>
      <c r="G951" s="1327"/>
      <c r="H951" s="1327"/>
      <c r="I951" s="1323"/>
      <c r="J951" s="1323"/>
      <c r="K951" s="1324"/>
      <c r="L951" s="1325"/>
      <c r="M951" s="1336"/>
      <c r="N951" s="1338"/>
      <c r="O951" s="1335"/>
      <c r="P951" s="1316"/>
      <c r="R951" s="1352"/>
      <c r="S951" s="1352"/>
      <c r="T951" s="1352">
        <f>+Tabla16[[#This Row],[CDPS A 31 JULIO 2022]]-Tabla16[[#This Row],[CDP]]</f>
        <v>0</v>
      </c>
      <c r="U951" s="1352"/>
      <c r="V951" s="1352"/>
      <c r="W951" s="1352"/>
    </row>
    <row r="952" spans="1:23" s="1317" customFormat="1" ht="45" hidden="1" customHeight="1" x14ac:dyDescent="0.3">
      <c r="A952" s="1322"/>
      <c r="B952" s="1339"/>
      <c r="C952" s="1345"/>
      <c r="D952" s="1334"/>
      <c r="E952" s="1335"/>
      <c r="F952" s="1335"/>
      <c r="G952" s="1327"/>
      <c r="H952" s="1327"/>
      <c r="I952" s="1323"/>
      <c r="J952" s="1323"/>
      <c r="K952" s="1324"/>
      <c r="L952" s="1325"/>
      <c r="M952" s="1336"/>
      <c r="N952" s="1338"/>
      <c r="O952" s="1335"/>
      <c r="P952" s="1316"/>
      <c r="R952" s="1352"/>
      <c r="S952" s="1352"/>
      <c r="T952" s="1352">
        <f>+Tabla16[[#This Row],[CDPS A 31 JULIO 2022]]-Tabla16[[#This Row],[CDP]]</f>
        <v>0</v>
      </c>
      <c r="U952" s="1352"/>
      <c r="V952" s="1352"/>
      <c r="W952" s="1352"/>
    </row>
    <row r="953" spans="1:23" s="1317" customFormat="1" ht="45" hidden="1" customHeight="1" x14ac:dyDescent="0.3">
      <c r="A953" s="1322"/>
      <c r="B953" s="1339"/>
      <c r="C953" s="1345"/>
      <c r="D953" s="1334"/>
      <c r="E953" s="1335"/>
      <c r="F953" s="1335"/>
      <c r="G953" s="1327"/>
      <c r="H953" s="1327"/>
      <c r="I953" s="1323"/>
      <c r="J953" s="1323"/>
      <c r="K953" s="1324"/>
      <c r="L953" s="1325"/>
      <c r="M953" s="1336"/>
      <c r="N953" s="1338"/>
      <c r="O953" s="1335"/>
      <c r="P953" s="1316"/>
      <c r="R953" s="1352"/>
      <c r="S953" s="1352"/>
      <c r="T953" s="1352">
        <f>+Tabla16[[#This Row],[CDPS A 31 JULIO 2022]]-Tabla16[[#This Row],[CDP]]</f>
        <v>0</v>
      </c>
      <c r="U953" s="1352"/>
      <c r="V953" s="1352"/>
      <c r="W953" s="1352"/>
    </row>
    <row r="954" spans="1:23" s="1317" customFormat="1" ht="45" hidden="1" customHeight="1" x14ac:dyDescent="0.3">
      <c r="A954" s="1322"/>
      <c r="B954" s="1339"/>
      <c r="C954" s="1345"/>
      <c r="D954" s="1334"/>
      <c r="E954" s="1335"/>
      <c r="F954" s="1335"/>
      <c r="G954" s="1327"/>
      <c r="H954" s="1327"/>
      <c r="I954" s="1323"/>
      <c r="J954" s="1323"/>
      <c r="K954" s="1324"/>
      <c r="L954" s="1325"/>
      <c r="M954" s="1336"/>
      <c r="N954" s="1338"/>
      <c r="O954" s="1335"/>
      <c r="P954" s="1316"/>
      <c r="R954" s="1352"/>
      <c r="S954" s="1352"/>
      <c r="T954" s="1352">
        <f>+Tabla16[[#This Row],[CDPS A 31 JULIO 2022]]-Tabla16[[#This Row],[CDP]]</f>
        <v>0</v>
      </c>
      <c r="U954" s="1352"/>
      <c r="V954" s="1352"/>
      <c r="W954" s="1352"/>
    </row>
    <row r="955" spans="1:23" s="1317" customFormat="1" ht="45" hidden="1" customHeight="1" x14ac:dyDescent="0.3">
      <c r="A955" s="1322"/>
      <c r="B955" s="1339"/>
      <c r="C955" s="1345"/>
      <c r="D955" s="1334"/>
      <c r="E955" s="1335"/>
      <c r="F955" s="1335"/>
      <c r="G955" s="1327"/>
      <c r="H955" s="1327"/>
      <c r="I955" s="1323"/>
      <c r="J955" s="1323"/>
      <c r="K955" s="1324"/>
      <c r="L955" s="1325"/>
      <c r="M955" s="1336"/>
      <c r="N955" s="1338"/>
      <c r="O955" s="1335"/>
      <c r="P955" s="1316"/>
      <c r="R955" s="1352"/>
      <c r="S955" s="1352"/>
      <c r="T955" s="1352">
        <f>+Tabla16[[#This Row],[CDPS A 31 JULIO 2022]]-Tabla16[[#This Row],[CDP]]</f>
        <v>0</v>
      </c>
      <c r="U955" s="1352"/>
      <c r="V955" s="1352"/>
      <c r="W955" s="1352"/>
    </row>
    <row r="956" spans="1:23" s="1317" customFormat="1" ht="45" hidden="1" customHeight="1" x14ac:dyDescent="0.3">
      <c r="A956" s="1322"/>
      <c r="B956" s="1339"/>
      <c r="C956" s="1345"/>
      <c r="D956" s="1334"/>
      <c r="E956" s="1335"/>
      <c r="F956" s="1335"/>
      <c r="G956" s="1327"/>
      <c r="H956" s="1327"/>
      <c r="I956" s="1323"/>
      <c r="J956" s="1323"/>
      <c r="K956" s="1324"/>
      <c r="L956" s="1325"/>
      <c r="M956" s="1336"/>
      <c r="N956" s="1338"/>
      <c r="O956" s="1335"/>
      <c r="P956" s="1316"/>
      <c r="R956" s="1352"/>
      <c r="S956" s="1352"/>
      <c r="T956" s="1352">
        <f>+Tabla16[[#This Row],[CDPS A 31 JULIO 2022]]-Tabla16[[#This Row],[CDP]]</f>
        <v>0</v>
      </c>
      <c r="U956" s="1352"/>
      <c r="V956" s="1352"/>
      <c r="W956" s="1352"/>
    </row>
    <row r="957" spans="1:23" s="1317" customFormat="1" ht="45" hidden="1" customHeight="1" x14ac:dyDescent="0.3">
      <c r="A957" s="1322"/>
      <c r="B957" s="1339"/>
      <c r="C957" s="1345"/>
      <c r="D957" s="1334"/>
      <c r="E957" s="1335"/>
      <c r="F957" s="1335"/>
      <c r="G957" s="1327"/>
      <c r="H957" s="1327"/>
      <c r="I957" s="1323"/>
      <c r="J957" s="1323"/>
      <c r="K957" s="1324"/>
      <c r="L957" s="1325"/>
      <c r="M957" s="1336"/>
      <c r="N957" s="1338"/>
      <c r="O957" s="1335"/>
      <c r="P957" s="1316"/>
      <c r="R957" s="1352"/>
      <c r="S957" s="1352"/>
      <c r="T957" s="1352">
        <f>+Tabla16[[#This Row],[CDPS A 31 JULIO 2022]]-Tabla16[[#This Row],[CDP]]</f>
        <v>0</v>
      </c>
      <c r="U957" s="1352"/>
      <c r="V957" s="1352"/>
      <c r="W957" s="1352"/>
    </row>
    <row r="958" spans="1:23" s="1317" customFormat="1" ht="45" hidden="1" customHeight="1" x14ac:dyDescent="0.3">
      <c r="A958" s="1322"/>
      <c r="B958" s="1339"/>
      <c r="C958" s="1345"/>
      <c r="D958" s="1334"/>
      <c r="E958" s="1335"/>
      <c r="F958" s="1335"/>
      <c r="G958" s="1327"/>
      <c r="H958" s="1327"/>
      <c r="I958" s="1323"/>
      <c r="J958" s="1323"/>
      <c r="K958" s="1324"/>
      <c r="L958" s="1325"/>
      <c r="M958" s="1336"/>
      <c r="N958" s="1338"/>
      <c r="O958" s="1335"/>
      <c r="P958" s="1316"/>
      <c r="R958" s="1352"/>
      <c r="S958" s="1352"/>
      <c r="T958" s="1352">
        <f>+Tabla16[[#This Row],[CDPS A 31 JULIO 2022]]-Tabla16[[#This Row],[CDP]]</f>
        <v>0</v>
      </c>
      <c r="U958" s="1352"/>
      <c r="V958" s="1352"/>
      <c r="W958" s="1352"/>
    </row>
    <row r="959" spans="1:23" s="1317" customFormat="1" ht="45" hidden="1" customHeight="1" x14ac:dyDescent="0.3">
      <c r="A959" s="1322"/>
      <c r="B959" s="1339"/>
      <c r="C959" s="1345"/>
      <c r="D959" s="1334"/>
      <c r="E959" s="1335"/>
      <c r="F959" s="1335"/>
      <c r="G959" s="1327"/>
      <c r="H959" s="1327"/>
      <c r="I959" s="1323"/>
      <c r="J959" s="1323"/>
      <c r="K959" s="1324"/>
      <c r="L959" s="1325"/>
      <c r="M959" s="1336"/>
      <c r="N959" s="1338"/>
      <c r="O959" s="1335"/>
      <c r="P959" s="1316"/>
      <c r="R959" s="1352"/>
      <c r="S959" s="1352"/>
      <c r="T959" s="1352">
        <f>+Tabla16[[#This Row],[CDPS A 31 JULIO 2022]]-Tabla16[[#This Row],[CDP]]</f>
        <v>0</v>
      </c>
      <c r="U959" s="1352"/>
      <c r="V959" s="1352"/>
      <c r="W959" s="1352"/>
    </row>
    <row r="960" spans="1:23" s="1317" customFormat="1" ht="45" hidden="1" customHeight="1" x14ac:dyDescent="0.3">
      <c r="A960" s="1322"/>
      <c r="B960" s="1339"/>
      <c r="C960" s="1345"/>
      <c r="D960" s="1334"/>
      <c r="E960" s="1335"/>
      <c r="F960" s="1335"/>
      <c r="G960" s="1327"/>
      <c r="H960" s="1327"/>
      <c r="I960" s="1323"/>
      <c r="J960" s="1323"/>
      <c r="K960" s="1324"/>
      <c r="L960" s="1325"/>
      <c r="M960" s="1336"/>
      <c r="N960" s="1338"/>
      <c r="O960" s="1335"/>
      <c r="P960" s="1316"/>
      <c r="R960" s="1352"/>
      <c r="S960" s="1352"/>
      <c r="T960" s="1352">
        <f>+Tabla16[[#This Row],[CDPS A 31 JULIO 2022]]-Tabla16[[#This Row],[CDP]]</f>
        <v>0</v>
      </c>
      <c r="U960" s="1352"/>
      <c r="V960" s="1352"/>
      <c r="W960" s="1352"/>
    </row>
    <row r="961" spans="1:23" s="1317" customFormat="1" ht="45" hidden="1" customHeight="1" x14ac:dyDescent="0.3">
      <c r="A961" s="1322"/>
      <c r="B961" s="1339"/>
      <c r="C961" s="1345"/>
      <c r="D961" s="1334"/>
      <c r="E961" s="1335"/>
      <c r="F961" s="1335"/>
      <c r="G961" s="1327"/>
      <c r="H961" s="1327"/>
      <c r="I961" s="1323"/>
      <c r="J961" s="1323"/>
      <c r="K961" s="1324"/>
      <c r="L961" s="1325"/>
      <c r="M961" s="1336"/>
      <c r="N961" s="1338"/>
      <c r="O961" s="1335"/>
      <c r="P961" s="1316"/>
      <c r="R961" s="1352"/>
      <c r="S961" s="1352"/>
      <c r="T961" s="1352">
        <f>+Tabla16[[#This Row],[CDPS A 31 JULIO 2022]]-Tabla16[[#This Row],[CDP]]</f>
        <v>0</v>
      </c>
      <c r="U961" s="1352"/>
      <c r="V961" s="1352"/>
      <c r="W961" s="1352"/>
    </row>
    <row r="962" spans="1:23" s="1317" customFormat="1" ht="45" hidden="1" customHeight="1" x14ac:dyDescent="0.3">
      <c r="A962" s="1322"/>
      <c r="B962" s="1339"/>
      <c r="C962" s="1345"/>
      <c r="D962" s="1334"/>
      <c r="E962" s="1335"/>
      <c r="F962" s="1335"/>
      <c r="G962" s="1327"/>
      <c r="H962" s="1327"/>
      <c r="I962" s="1323"/>
      <c r="J962" s="1323"/>
      <c r="K962" s="1324"/>
      <c r="L962" s="1325"/>
      <c r="M962" s="1336"/>
      <c r="N962" s="1338"/>
      <c r="O962" s="1335"/>
      <c r="P962" s="1316"/>
      <c r="R962" s="1352"/>
      <c r="S962" s="1352"/>
      <c r="T962" s="1352">
        <f>+Tabla16[[#This Row],[CDPS A 31 JULIO 2022]]-Tabla16[[#This Row],[CDP]]</f>
        <v>0</v>
      </c>
      <c r="U962" s="1352"/>
      <c r="V962" s="1352"/>
      <c r="W962" s="1352"/>
    </row>
    <row r="963" spans="1:23" s="1317" customFormat="1" ht="45" hidden="1" customHeight="1" x14ac:dyDescent="0.3">
      <c r="A963" s="1322"/>
      <c r="B963" s="1339"/>
      <c r="C963" s="1345"/>
      <c r="D963" s="1334"/>
      <c r="E963" s="1335"/>
      <c r="F963" s="1335"/>
      <c r="G963" s="1327"/>
      <c r="H963" s="1327"/>
      <c r="I963" s="1323"/>
      <c r="J963" s="1323"/>
      <c r="K963" s="1324"/>
      <c r="L963" s="1325"/>
      <c r="M963" s="1336"/>
      <c r="N963" s="1338"/>
      <c r="O963" s="1335"/>
      <c r="P963" s="1316"/>
      <c r="R963" s="1352"/>
      <c r="S963" s="1352"/>
      <c r="T963" s="1352">
        <f>+Tabla16[[#This Row],[CDPS A 31 JULIO 2022]]-Tabla16[[#This Row],[CDP]]</f>
        <v>0</v>
      </c>
      <c r="U963" s="1352"/>
      <c r="V963" s="1352"/>
      <c r="W963" s="1352"/>
    </row>
    <row r="964" spans="1:23" s="1317" customFormat="1" ht="45" hidden="1" customHeight="1" x14ac:dyDescent="0.3">
      <c r="A964" s="1322"/>
      <c r="B964" s="1339"/>
      <c r="C964" s="1345"/>
      <c r="D964" s="1334"/>
      <c r="E964" s="1335"/>
      <c r="F964" s="1335"/>
      <c r="G964" s="1327"/>
      <c r="H964" s="1327"/>
      <c r="I964" s="1323"/>
      <c r="J964" s="1323"/>
      <c r="K964" s="1324"/>
      <c r="L964" s="1325"/>
      <c r="M964" s="1336"/>
      <c r="N964" s="1338"/>
      <c r="O964" s="1335"/>
      <c r="P964" s="1316"/>
      <c r="R964" s="1352"/>
      <c r="S964" s="1352"/>
      <c r="T964" s="1352">
        <f>+Tabla16[[#This Row],[CDPS A 31 JULIO 2022]]-Tabla16[[#This Row],[CDP]]</f>
        <v>0</v>
      </c>
      <c r="U964" s="1352"/>
      <c r="V964" s="1352"/>
      <c r="W964" s="1352"/>
    </row>
    <row r="965" spans="1:23" s="1317" customFormat="1" ht="45" hidden="1" customHeight="1" x14ac:dyDescent="0.3">
      <c r="A965" s="1322"/>
      <c r="B965" s="1339"/>
      <c r="C965" s="1345"/>
      <c r="D965" s="1334"/>
      <c r="E965" s="1335"/>
      <c r="F965" s="1335"/>
      <c r="G965" s="1327"/>
      <c r="H965" s="1327"/>
      <c r="I965" s="1323"/>
      <c r="J965" s="1323"/>
      <c r="K965" s="1324"/>
      <c r="L965" s="1325"/>
      <c r="M965" s="1336"/>
      <c r="N965" s="1338"/>
      <c r="O965" s="1335"/>
      <c r="P965" s="1316"/>
      <c r="R965" s="1352"/>
      <c r="S965" s="1352"/>
      <c r="T965" s="1352">
        <f>+Tabla16[[#This Row],[CDPS A 31 JULIO 2022]]-Tabla16[[#This Row],[CDP]]</f>
        <v>0</v>
      </c>
      <c r="U965" s="1352"/>
      <c r="V965" s="1352"/>
      <c r="W965" s="1352"/>
    </row>
    <row r="966" spans="1:23" s="1317" customFormat="1" ht="45" hidden="1" customHeight="1" x14ac:dyDescent="0.3">
      <c r="A966" s="1322"/>
      <c r="B966" s="1339"/>
      <c r="C966" s="1345"/>
      <c r="D966" s="1334"/>
      <c r="E966" s="1335"/>
      <c r="F966" s="1335"/>
      <c r="G966" s="1327"/>
      <c r="H966" s="1327"/>
      <c r="I966" s="1323"/>
      <c r="J966" s="1323"/>
      <c r="K966" s="1324"/>
      <c r="L966" s="1325"/>
      <c r="M966" s="1336"/>
      <c r="N966" s="1338"/>
      <c r="O966" s="1335"/>
      <c r="P966" s="1316"/>
      <c r="R966" s="1352"/>
      <c r="S966" s="1352"/>
      <c r="T966" s="1352">
        <f>+Tabla16[[#This Row],[CDPS A 31 JULIO 2022]]-Tabla16[[#This Row],[CDP]]</f>
        <v>0</v>
      </c>
      <c r="U966" s="1352"/>
      <c r="V966" s="1352"/>
      <c r="W966" s="1352"/>
    </row>
    <row r="967" spans="1:23" s="1317" customFormat="1" ht="45" hidden="1" customHeight="1" x14ac:dyDescent="0.3">
      <c r="A967" s="1322"/>
      <c r="B967" s="1339"/>
      <c r="C967" s="1345"/>
      <c r="D967" s="1334"/>
      <c r="E967" s="1335"/>
      <c r="F967" s="1335"/>
      <c r="G967" s="1327"/>
      <c r="H967" s="1327"/>
      <c r="I967" s="1323"/>
      <c r="J967" s="1323"/>
      <c r="K967" s="1324"/>
      <c r="L967" s="1325"/>
      <c r="M967" s="1336"/>
      <c r="N967" s="1338"/>
      <c r="O967" s="1335"/>
      <c r="P967" s="1316"/>
      <c r="R967" s="1352"/>
      <c r="S967" s="1352"/>
      <c r="T967" s="1352">
        <f>+Tabla16[[#This Row],[CDPS A 31 JULIO 2022]]-Tabla16[[#This Row],[CDP]]</f>
        <v>0</v>
      </c>
      <c r="U967" s="1352"/>
      <c r="V967" s="1352"/>
      <c r="W967" s="1352"/>
    </row>
    <row r="968" spans="1:23" s="1317" customFormat="1" ht="45" hidden="1" customHeight="1" x14ac:dyDescent="0.3">
      <c r="A968" s="1322"/>
      <c r="B968" s="1339"/>
      <c r="C968" s="1345"/>
      <c r="D968" s="1334"/>
      <c r="E968" s="1335"/>
      <c r="F968" s="1335"/>
      <c r="G968" s="1327"/>
      <c r="H968" s="1327"/>
      <c r="I968" s="1323"/>
      <c r="J968" s="1323"/>
      <c r="K968" s="1324"/>
      <c r="L968" s="1325"/>
      <c r="M968" s="1336"/>
      <c r="N968" s="1338"/>
      <c r="O968" s="1335"/>
      <c r="P968" s="1316"/>
      <c r="R968" s="1352"/>
      <c r="S968" s="1352"/>
      <c r="T968" s="1352">
        <f>+Tabla16[[#This Row],[CDPS A 31 JULIO 2022]]-Tabla16[[#This Row],[CDP]]</f>
        <v>0</v>
      </c>
      <c r="U968" s="1352"/>
      <c r="V968" s="1352"/>
      <c r="W968" s="1352"/>
    </row>
    <row r="969" spans="1:23" s="1317" customFormat="1" ht="45" hidden="1" customHeight="1" x14ac:dyDescent="0.3">
      <c r="A969" s="1322"/>
      <c r="B969" s="1339"/>
      <c r="C969" s="1345"/>
      <c r="D969" s="1334"/>
      <c r="E969" s="1335"/>
      <c r="F969" s="1335"/>
      <c r="G969" s="1327"/>
      <c r="H969" s="1327"/>
      <c r="I969" s="1323"/>
      <c r="J969" s="1323"/>
      <c r="K969" s="1324"/>
      <c r="L969" s="1325"/>
      <c r="M969" s="1336"/>
      <c r="N969" s="1338"/>
      <c r="O969" s="1335"/>
      <c r="P969" s="1316"/>
      <c r="R969" s="1352"/>
      <c r="S969" s="1352"/>
      <c r="T969" s="1352">
        <f>+Tabla16[[#This Row],[CDPS A 31 JULIO 2022]]-Tabla16[[#This Row],[CDP]]</f>
        <v>0</v>
      </c>
      <c r="U969" s="1352"/>
      <c r="V969" s="1352"/>
      <c r="W969" s="1352"/>
    </row>
    <row r="970" spans="1:23" s="1317" customFormat="1" ht="45" hidden="1" customHeight="1" x14ac:dyDescent="0.3">
      <c r="A970" s="1322"/>
      <c r="B970" s="1339"/>
      <c r="C970" s="1345"/>
      <c r="D970" s="1334"/>
      <c r="E970" s="1335"/>
      <c r="F970" s="1335"/>
      <c r="G970" s="1327"/>
      <c r="H970" s="1327"/>
      <c r="I970" s="1323"/>
      <c r="J970" s="1323"/>
      <c r="K970" s="1324"/>
      <c r="L970" s="1325"/>
      <c r="M970" s="1336"/>
      <c r="N970" s="1338"/>
      <c r="O970" s="1335"/>
      <c r="P970" s="1316"/>
      <c r="R970" s="1352"/>
      <c r="S970" s="1352"/>
      <c r="T970" s="1352">
        <f>+Tabla16[[#This Row],[CDPS A 31 JULIO 2022]]-Tabla16[[#This Row],[CDP]]</f>
        <v>0</v>
      </c>
      <c r="U970" s="1352"/>
      <c r="V970" s="1352"/>
      <c r="W970" s="1352"/>
    </row>
    <row r="971" spans="1:23" s="1317" customFormat="1" ht="45" hidden="1" customHeight="1" x14ac:dyDescent="0.3">
      <c r="A971" s="1322"/>
      <c r="B971" s="1339"/>
      <c r="C971" s="1345"/>
      <c r="D971" s="1334"/>
      <c r="E971" s="1335"/>
      <c r="F971" s="1335"/>
      <c r="G971" s="1327"/>
      <c r="H971" s="1327"/>
      <c r="I971" s="1323"/>
      <c r="J971" s="1323"/>
      <c r="K971" s="1324"/>
      <c r="L971" s="1325"/>
      <c r="M971" s="1336"/>
      <c r="N971" s="1338"/>
      <c r="O971" s="1335"/>
      <c r="P971" s="1316"/>
      <c r="R971" s="1352"/>
      <c r="S971" s="1352"/>
      <c r="T971" s="1352">
        <f>+Tabla16[[#This Row],[CDPS A 31 JULIO 2022]]-Tabla16[[#This Row],[CDP]]</f>
        <v>0</v>
      </c>
      <c r="U971" s="1352"/>
      <c r="V971" s="1352"/>
      <c r="W971" s="1352"/>
    </row>
    <row r="972" spans="1:23" s="1317" customFormat="1" ht="45" hidden="1" customHeight="1" x14ac:dyDescent="0.3">
      <c r="A972" s="1322"/>
      <c r="B972" s="1339"/>
      <c r="C972" s="1345"/>
      <c r="D972" s="1334"/>
      <c r="E972" s="1335"/>
      <c r="F972" s="1335"/>
      <c r="G972" s="1327"/>
      <c r="H972" s="1327"/>
      <c r="I972" s="1323"/>
      <c r="J972" s="1323"/>
      <c r="K972" s="1324"/>
      <c r="L972" s="1325"/>
      <c r="M972" s="1336"/>
      <c r="N972" s="1338"/>
      <c r="O972" s="1335"/>
      <c r="P972" s="1316"/>
      <c r="R972" s="1352"/>
      <c r="S972" s="1352"/>
      <c r="T972" s="1352">
        <f>+Tabla16[[#This Row],[CDPS A 31 JULIO 2022]]-Tabla16[[#This Row],[CDP]]</f>
        <v>0</v>
      </c>
      <c r="U972" s="1352"/>
      <c r="V972" s="1352"/>
      <c r="W972" s="1352"/>
    </row>
    <row r="973" spans="1:23" s="1317" customFormat="1" ht="45" hidden="1" customHeight="1" x14ac:dyDescent="0.3">
      <c r="A973" s="1322"/>
      <c r="B973" s="1339"/>
      <c r="C973" s="1345"/>
      <c r="D973" s="1334"/>
      <c r="E973" s="1335"/>
      <c r="F973" s="1335"/>
      <c r="G973" s="1327"/>
      <c r="H973" s="1327"/>
      <c r="I973" s="1323"/>
      <c r="J973" s="1323"/>
      <c r="K973" s="1324"/>
      <c r="L973" s="1325"/>
      <c r="M973" s="1336"/>
      <c r="N973" s="1338"/>
      <c r="O973" s="1335"/>
      <c r="P973" s="1316"/>
      <c r="R973" s="1352"/>
      <c r="S973" s="1352"/>
      <c r="T973" s="1352">
        <f>+Tabla16[[#This Row],[CDPS A 31 JULIO 2022]]-Tabla16[[#This Row],[CDP]]</f>
        <v>0</v>
      </c>
      <c r="U973" s="1352"/>
      <c r="V973" s="1352"/>
      <c r="W973" s="1352"/>
    </row>
    <row r="974" spans="1:23" s="1317" customFormat="1" ht="45" hidden="1" customHeight="1" x14ac:dyDescent="0.3">
      <c r="A974" s="1322"/>
      <c r="B974" s="1339"/>
      <c r="C974" s="1345"/>
      <c r="D974" s="1334"/>
      <c r="E974" s="1335"/>
      <c r="F974" s="1335"/>
      <c r="G974" s="1327"/>
      <c r="H974" s="1327"/>
      <c r="I974" s="1323"/>
      <c r="J974" s="1323"/>
      <c r="K974" s="1324"/>
      <c r="L974" s="1325"/>
      <c r="M974" s="1336"/>
      <c r="N974" s="1338"/>
      <c r="O974" s="1335"/>
      <c r="P974" s="1316"/>
      <c r="R974" s="1352"/>
      <c r="S974" s="1352"/>
      <c r="T974" s="1352">
        <f>+Tabla16[[#This Row],[CDPS A 31 JULIO 2022]]-Tabla16[[#This Row],[CDP]]</f>
        <v>0</v>
      </c>
      <c r="U974" s="1352"/>
      <c r="V974" s="1352"/>
      <c r="W974" s="1352"/>
    </row>
    <row r="975" spans="1:23" s="1317" customFormat="1" ht="45" hidden="1" customHeight="1" x14ac:dyDescent="0.3">
      <c r="A975" s="1322"/>
      <c r="B975" s="1339"/>
      <c r="C975" s="1345"/>
      <c r="D975" s="1334"/>
      <c r="E975" s="1335"/>
      <c r="F975" s="1335"/>
      <c r="G975" s="1327"/>
      <c r="H975" s="1327"/>
      <c r="I975" s="1323"/>
      <c r="J975" s="1323"/>
      <c r="K975" s="1324"/>
      <c r="L975" s="1325"/>
      <c r="M975" s="1336"/>
      <c r="N975" s="1338"/>
      <c r="O975" s="1335"/>
      <c r="P975" s="1316"/>
      <c r="R975" s="1352"/>
      <c r="S975" s="1352"/>
      <c r="T975" s="1352">
        <f>+Tabla16[[#This Row],[CDPS A 31 JULIO 2022]]-Tabla16[[#This Row],[CDP]]</f>
        <v>0</v>
      </c>
      <c r="U975" s="1352"/>
      <c r="V975" s="1352"/>
      <c r="W975" s="1352"/>
    </row>
    <row r="976" spans="1:23" s="1317" customFormat="1" ht="45" hidden="1" customHeight="1" x14ac:dyDescent="0.3">
      <c r="A976" s="1322"/>
      <c r="B976" s="1339"/>
      <c r="C976" s="1345"/>
      <c r="D976" s="1334"/>
      <c r="E976" s="1335"/>
      <c r="F976" s="1335"/>
      <c r="G976" s="1327"/>
      <c r="H976" s="1327"/>
      <c r="I976" s="1323"/>
      <c r="J976" s="1323"/>
      <c r="K976" s="1324"/>
      <c r="L976" s="1325"/>
      <c r="M976" s="1336"/>
      <c r="N976" s="1338"/>
      <c r="O976" s="1335"/>
      <c r="P976" s="1316"/>
      <c r="R976" s="1352"/>
      <c r="S976" s="1352"/>
      <c r="T976" s="1352">
        <f>+Tabla16[[#This Row],[CDPS A 31 JULIO 2022]]-Tabla16[[#This Row],[CDP]]</f>
        <v>0</v>
      </c>
      <c r="U976" s="1352"/>
      <c r="V976" s="1352"/>
      <c r="W976" s="1352"/>
    </row>
    <row r="977" spans="1:23" s="1317" customFormat="1" ht="45" hidden="1" customHeight="1" x14ac:dyDescent="0.3">
      <c r="A977" s="1322"/>
      <c r="B977" s="1339"/>
      <c r="C977" s="1345"/>
      <c r="D977" s="1334"/>
      <c r="E977" s="1335"/>
      <c r="F977" s="1335"/>
      <c r="G977" s="1327"/>
      <c r="H977" s="1327"/>
      <c r="I977" s="1323"/>
      <c r="J977" s="1323"/>
      <c r="K977" s="1324"/>
      <c r="L977" s="1325"/>
      <c r="M977" s="1336"/>
      <c r="N977" s="1338"/>
      <c r="O977" s="1335"/>
      <c r="P977" s="1316"/>
      <c r="R977" s="1352"/>
      <c r="S977" s="1352"/>
      <c r="T977" s="1352">
        <f>+Tabla16[[#This Row],[CDPS A 31 JULIO 2022]]-Tabla16[[#This Row],[CDP]]</f>
        <v>0</v>
      </c>
      <c r="U977" s="1352"/>
      <c r="V977" s="1352"/>
      <c r="W977" s="1352"/>
    </row>
    <row r="978" spans="1:23" s="1317" customFormat="1" ht="45" hidden="1" customHeight="1" x14ac:dyDescent="0.3">
      <c r="A978" s="1322"/>
      <c r="B978" s="1339"/>
      <c r="C978" s="1345"/>
      <c r="D978" s="1334"/>
      <c r="E978" s="1335"/>
      <c r="F978" s="1335"/>
      <c r="G978" s="1327"/>
      <c r="H978" s="1327"/>
      <c r="I978" s="1323"/>
      <c r="J978" s="1323"/>
      <c r="K978" s="1324"/>
      <c r="L978" s="1325"/>
      <c r="M978" s="1336"/>
      <c r="N978" s="1338"/>
      <c r="O978" s="1335"/>
      <c r="P978" s="1316"/>
      <c r="R978" s="1352"/>
      <c r="S978" s="1352"/>
      <c r="T978" s="1352">
        <f>+Tabla16[[#This Row],[CDPS A 31 JULIO 2022]]-Tabla16[[#This Row],[CDP]]</f>
        <v>0</v>
      </c>
      <c r="U978" s="1352"/>
      <c r="V978" s="1352"/>
      <c r="W978" s="1352"/>
    </row>
    <row r="979" spans="1:23" s="1317" customFormat="1" ht="45" hidden="1" customHeight="1" x14ac:dyDescent="0.3">
      <c r="A979" s="1322"/>
      <c r="B979" s="1339"/>
      <c r="C979" s="1345"/>
      <c r="D979" s="1334"/>
      <c r="E979" s="1335"/>
      <c r="F979" s="1335"/>
      <c r="G979" s="1327"/>
      <c r="H979" s="1327"/>
      <c r="I979" s="1323"/>
      <c r="J979" s="1323"/>
      <c r="K979" s="1324"/>
      <c r="L979" s="1325"/>
      <c r="M979" s="1336"/>
      <c r="N979" s="1338"/>
      <c r="O979" s="1335"/>
      <c r="P979" s="1316"/>
      <c r="R979" s="1352"/>
      <c r="S979" s="1352"/>
      <c r="T979" s="1352">
        <f>+Tabla16[[#This Row],[CDPS A 31 JULIO 2022]]-Tabla16[[#This Row],[CDP]]</f>
        <v>0</v>
      </c>
      <c r="U979" s="1352"/>
      <c r="V979" s="1352"/>
      <c r="W979" s="1352"/>
    </row>
    <row r="980" spans="1:23" s="1317" customFormat="1" ht="45" hidden="1" customHeight="1" x14ac:dyDescent="0.3">
      <c r="A980" s="1322"/>
      <c r="B980" s="1339"/>
      <c r="C980" s="1345"/>
      <c r="D980" s="1334"/>
      <c r="E980" s="1335"/>
      <c r="F980" s="1335"/>
      <c r="G980" s="1327"/>
      <c r="H980" s="1327"/>
      <c r="I980" s="1323"/>
      <c r="J980" s="1323"/>
      <c r="K980" s="1324"/>
      <c r="L980" s="1325"/>
      <c r="M980" s="1336"/>
      <c r="N980" s="1338"/>
      <c r="O980" s="1335"/>
      <c r="P980" s="1316"/>
      <c r="R980" s="1352"/>
      <c r="S980" s="1352"/>
      <c r="T980" s="1352">
        <f>+Tabla16[[#This Row],[CDPS A 31 JULIO 2022]]-Tabla16[[#This Row],[CDP]]</f>
        <v>0</v>
      </c>
      <c r="U980" s="1352"/>
      <c r="V980" s="1352"/>
      <c r="W980" s="1352"/>
    </row>
    <row r="981" spans="1:23" s="1317" customFormat="1" ht="45" hidden="1" customHeight="1" x14ac:dyDescent="0.3">
      <c r="A981" s="1322"/>
      <c r="B981" s="1339"/>
      <c r="C981" s="1345"/>
      <c r="D981" s="1334"/>
      <c r="E981" s="1335"/>
      <c r="F981" s="1335"/>
      <c r="G981" s="1327"/>
      <c r="H981" s="1327"/>
      <c r="I981" s="1323"/>
      <c r="J981" s="1323"/>
      <c r="K981" s="1324"/>
      <c r="L981" s="1325"/>
      <c r="M981" s="1336"/>
      <c r="N981" s="1338"/>
      <c r="O981" s="1335"/>
      <c r="P981" s="1316"/>
      <c r="R981" s="1352"/>
      <c r="S981" s="1352"/>
      <c r="T981" s="1352">
        <f>+Tabla16[[#This Row],[CDPS A 31 JULIO 2022]]-Tabla16[[#This Row],[CDP]]</f>
        <v>0</v>
      </c>
      <c r="U981" s="1352"/>
      <c r="V981" s="1352"/>
      <c r="W981" s="1352"/>
    </row>
    <row r="982" spans="1:23" s="1317" customFormat="1" ht="45" hidden="1" customHeight="1" x14ac:dyDescent="0.3">
      <c r="A982" s="1322"/>
      <c r="B982" s="1339"/>
      <c r="C982" s="1345"/>
      <c r="D982" s="1334"/>
      <c r="E982" s="1335"/>
      <c r="F982" s="1335"/>
      <c r="G982" s="1327"/>
      <c r="H982" s="1327"/>
      <c r="I982" s="1323"/>
      <c r="J982" s="1323"/>
      <c r="K982" s="1324"/>
      <c r="L982" s="1325"/>
      <c r="M982" s="1336"/>
      <c r="N982" s="1338"/>
      <c r="O982" s="1335"/>
      <c r="P982" s="1316"/>
      <c r="R982" s="1352"/>
      <c r="S982" s="1352"/>
      <c r="T982" s="1352">
        <f>+Tabla16[[#This Row],[CDPS A 31 JULIO 2022]]-Tabla16[[#This Row],[CDP]]</f>
        <v>0</v>
      </c>
      <c r="U982" s="1352"/>
      <c r="V982" s="1352"/>
      <c r="W982" s="1352"/>
    </row>
    <row r="983" spans="1:23" s="1317" customFormat="1" ht="45" hidden="1" customHeight="1" x14ac:dyDescent="0.3">
      <c r="A983" s="1322"/>
      <c r="B983" s="1339"/>
      <c r="C983" s="1345"/>
      <c r="D983" s="1334"/>
      <c r="E983" s="1335"/>
      <c r="F983" s="1335"/>
      <c r="G983" s="1327"/>
      <c r="H983" s="1327"/>
      <c r="I983" s="1323"/>
      <c r="J983" s="1323"/>
      <c r="K983" s="1324"/>
      <c r="L983" s="1325"/>
      <c r="M983" s="1336"/>
      <c r="N983" s="1338"/>
      <c r="O983" s="1335"/>
      <c r="P983" s="1316"/>
      <c r="R983" s="1352"/>
      <c r="S983" s="1352"/>
      <c r="T983" s="1352">
        <f>+Tabla16[[#This Row],[CDPS A 31 JULIO 2022]]-Tabla16[[#This Row],[CDP]]</f>
        <v>0</v>
      </c>
      <c r="U983" s="1352"/>
      <c r="V983" s="1352"/>
      <c r="W983" s="1352"/>
    </row>
    <row r="984" spans="1:23" s="1317" customFormat="1" ht="45" hidden="1" customHeight="1" x14ac:dyDescent="0.3">
      <c r="A984" s="1322"/>
      <c r="B984" s="1339"/>
      <c r="C984" s="1345"/>
      <c r="D984" s="1334"/>
      <c r="E984" s="1335"/>
      <c r="F984" s="1335"/>
      <c r="G984" s="1327"/>
      <c r="H984" s="1327"/>
      <c r="I984" s="1323"/>
      <c r="J984" s="1323"/>
      <c r="K984" s="1324"/>
      <c r="L984" s="1325"/>
      <c r="M984" s="1336"/>
      <c r="N984" s="1338"/>
      <c r="O984" s="1335"/>
      <c r="P984" s="1316"/>
      <c r="R984" s="1352"/>
      <c r="S984" s="1352"/>
      <c r="T984" s="1352">
        <f>+Tabla16[[#This Row],[CDPS A 31 JULIO 2022]]-Tabla16[[#This Row],[CDP]]</f>
        <v>0</v>
      </c>
      <c r="U984" s="1352"/>
      <c r="V984" s="1352"/>
      <c r="W984" s="1352"/>
    </row>
    <row r="985" spans="1:23" s="1317" customFormat="1" ht="45" hidden="1" customHeight="1" x14ac:dyDescent="0.3">
      <c r="A985" s="1322"/>
      <c r="B985" s="1339"/>
      <c r="C985" s="1345"/>
      <c r="D985" s="1334"/>
      <c r="E985" s="1335"/>
      <c r="F985" s="1335"/>
      <c r="G985" s="1327"/>
      <c r="H985" s="1327"/>
      <c r="I985" s="1323"/>
      <c r="J985" s="1323"/>
      <c r="K985" s="1324"/>
      <c r="L985" s="1325"/>
      <c r="M985" s="1336"/>
      <c r="N985" s="1338"/>
      <c r="O985" s="1335"/>
      <c r="P985" s="1316"/>
      <c r="R985" s="1352"/>
      <c r="S985" s="1352"/>
      <c r="T985" s="1352">
        <f>+Tabla16[[#This Row],[CDPS A 31 JULIO 2022]]-Tabla16[[#This Row],[CDP]]</f>
        <v>0</v>
      </c>
      <c r="U985" s="1352"/>
      <c r="V985" s="1352"/>
      <c r="W985" s="1352"/>
    </row>
    <row r="986" spans="1:23" s="1317" customFormat="1" ht="45" hidden="1" customHeight="1" x14ac:dyDescent="0.3">
      <c r="A986" s="1322"/>
      <c r="B986" s="1339"/>
      <c r="C986" s="1345"/>
      <c r="D986" s="1334"/>
      <c r="E986" s="1335"/>
      <c r="F986" s="1335"/>
      <c r="G986" s="1327"/>
      <c r="H986" s="1327"/>
      <c r="I986" s="1323"/>
      <c r="J986" s="1323"/>
      <c r="K986" s="1324"/>
      <c r="L986" s="1325"/>
      <c r="M986" s="1336"/>
      <c r="N986" s="1338"/>
      <c r="O986" s="1335"/>
      <c r="P986" s="1316"/>
      <c r="R986" s="1352"/>
      <c r="S986" s="1352"/>
      <c r="T986" s="1352">
        <f>+Tabla16[[#This Row],[CDPS A 31 JULIO 2022]]-Tabla16[[#This Row],[CDP]]</f>
        <v>0</v>
      </c>
      <c r="U986" s="1352"/>
      <c r="V986" s="1352"/>
      <c r="W986" s="1352"/>
    </row>
    <row r="987" spans="1:23" s="1317" customFormat="1" ht="45" hidden="1" customHeight="1" x14ac:dyDescent="0.3">
      <c r="A987" s="1322"/>
      <c r="B987" s="1339"/>
      <c r="C987" s="1345"/>
      <c r="D987" s="1334"/>
      <c r="E987" s="1335"/>
      <c r="F987" s="1335"/>
      <c r="G987" s="1327"/>
      <c r="H987" s="1327"/>
      <c r="I987" s="1323"/>
      <c r="J987" s="1323"/>
      <c r="K987" s="1324"/>
      <c r="L987" s="1325"/>
      <c r="M987" s="1336"/>
      <c r="N987" s="1338"/>
      <c r="O987" s="1335"/>
      <c r="P987" s="1316"/>
      <c r="R987" s="1352"/>
      <c r="S987" s="1352"/>
      <c r="T987" s="1352">
        <f>+Tabla16[[#This Row],[CDPS A 31 JULIO 2022]]-Tabla16[[#This Row],[CDP]]</f>
        <v>0</v>
      </c>
      <c r="U987" s="1352"/>
      <c r="V987" s="1352"/>
      <c r="W987" s="1352"/>
    </row>
    <row r="988" spans="1:23" s="1317" customFormat="1" ht="45" hidden="1" customHeight="1" x14ac:dyDescent="0.3">
      <c r="A988" s="1322"/>
      <c r="B988" s="1339"/>
      <c r="C988" s="1345"/>
      <c r="D988" s="1334"/>
      <c r="E988" s="1335"/>
      <c r="F988" s="1335"/>
      <c r="G988" s="1327"/>
      <c r="H988" s="1327"/>
      <c r="I988" s="1323"/>
      <c r="J988" s="1323"/>
      <c r="K988" s="1324"/>
      <c r="L988" s="1325"/>
      <c r="M988" s="1336"/>
      <c r="N988" s="1338"/>
      <c r="O988" s="1335"/>
      <c r="P988" s="1316"/>
      <c r="R988" s="1352"/>
      <c r="S988" s="1352"/>
      <c r="T988" s="1352">
        <f>+Tabla16[[#This Row],[CDPS A 31 JULIO 2022]]-Tabla16[[#This Row],[CDP]]</f>
        <v>0</v>
      </c>
      <c r="U988" s="1352"/>
      <c r="V988" s="1352"/>
      <c r="W988" s="1352"/>
    </row>
    <row r="989" spans="1:23" s="1317" customFormat="1" ht="45" hidden="1" customHeight="1" x14ac:dyDescent="0.3">
      <c r="A989" s="1322"/>
      <c r="B989" s="1339"/>
      <c r="C989" s="1345"/>
      <c r="D989" s="1334"/>
      <c r="E989" s="1335"/>
      <c r="F989" s="1335"/>
      <c r="G989" s="1327"/>
      <c r="H989" s="1327"/>
      <c r="I989" s="1323"/>
      <c r="J989" s="1323"/>
      <c r="K989" s="1324"/>
      <c r="L989" s="1325"/>
      <c r="M989" s="1336"/>
      <c r="N989" s="1338"/>
      <c r="O989" s="1335"/>
      <c r="P989" s="1316"/>
      <c r="R989" s="1352"/>
      <c r="S989" s="1352"/>
      <c r="T989" s="1352">
        <f>+Tabla16[[#This Row],[CDPS A 31 JULIO 2022]]-Tabla16[[#This Row],[CDP]]</f>
        <v>0</v>
      </c>
      <c r="U989" s="1352"/>
      <c r="V989" s="1352"/>
      <c r="W989" s="1352"/>
    </row>
    <row r="990" spans="1:23" s="1317" customFormat="1" ht="45" hidden="1" customHeight="1" x14ac:dyDescent="0.3">
      <c r="A990" s="1322"/>
      <c r="B990" s="1339"/>
      <c r="C990" s="1345"/>
      <c r="D990" s="1334"/>
      <c r="E990" s="1335"/>
      <c r="F990" s="1335"/>
      <c r="G990" s="1327"/>
      <c r="H990" s="1327"/>
      <c r="I990" s="1323"/>
      <c r="J990" s="1323"/>
      <c r="K990" s="1324"/>
      <c r="L990" s="1325"/>
      <c r="M990" s="1336"/>
      <c r="N990" s="1338"/>
      <c r="O990" s="1335"/>
      <c r="P990" s="1316"/>
      <c r="R990" s="1352"/>
      <c r="S990" s="1352"/>
      <c r="T990" s="1352">
        <f>+Tabla16[[#This Row],[CDPS A 31 JULIO 2022]]-Tabla16[[#This Row],[CDP]]</f>
        <v>0</v>
      </c>
      <c r="U990" s="1352"/>
      <c r="V990" s="1352"/>
      <c r="W990" s="1352"/>
    </row>
    <row r="991" spans="1:23" s="1317" customFormat="1" ht="45" hidden="1" customHeight="1" x14ac:dyDescent="0.3">
      <c r="A991" s="1322"/>
      <c r="B991" s="1339"/>
      <c r="C991" s="1345"/>
      <c r="D991" s="1334"/>
      <c r="E991" s="1335"/>
      <c r="F991" s="1335"/>
      <c r="G991" s="1327"/>
      <c r="H991" s="1327"/>
      <c r="I991" s="1323"/>
      <c r="J991" s="1323"/>
      <c r="K991" s="1324"/>
      <c r="L991" s="1325"/>
      <c r="M991" s="1336"/>
      <c r="N991" s="1338"/>
      <c r="O991" s="1335"/>
      <c r="P991" s="1316"/>
      <c r="R991" s="1352"/>
      <c r="S991" s="1352"/>
      <c r="T991" s="1352">
        <f>+Tabla16[[#This Row],[CDPS A 31 JULIO 2022]]-Tabla16[[#This Row],[CDP]]</f>
        <v>0</v>
      </c>
      <c r="U991" s="1352"/>
      <c r="V991" s="1352"/>
      <c r="W991" s="1352"/>
    </row>
    <row r="992" spans="1:23" s="1317" customFormat="1" ht="45" hidden="1" customHeight="1" x14ac:dyDescent="0.3">
      <c r="A992" s="1322"/>
      <c r="B992" s="1339"/>
      <c r="C992" s="1345"/>
      <c r="D992" s="1334"/>
      <c r="E992" s="1335"/>
      <c r="F992" s="1335"/>
      <c r="G992" s="1327"/>
      <c r="H992" s="1327"/>
      <c r="I992" s="1323"/>
      <c r="J992" s="1323"/>
      <c r="K992" s="1324"/>
      <c r="L992" s="1325"/>
      <c r="M992" s="1336"/>
      <c r="N992" s="1338"/>
      <c r="O992" s="1335"/>
      <c r="P992" s="1316"/>
      <c r="R992" s="1352"/>
      <c r="S992" s="1352"/>
      <c r="T992" s="1352">
        <f>+Tabla16[[#This Row],[CDPS A 31 JULIO 2022]]-Tabla16[[#This Row],[CDP]]</f>
        <v>0</v>
      </c>
      <c r="U992" s="1352"/>
      <c r="V992" s="1352"/>
      <c r="W992" s="1352"/>
    </row>
    <row r="993" spans="1:23" s="1317" customFormat="1" ht="45" hidden="1" customHeight="1" x14ac:dyDescent="0.3">
      <c r="A993" s="1322"/>
      <c r="B993" s="1339"/>
      <c r="C993" s="1345"/>
      <c r="D993" s="1334"/>
      <c r="E993" s="1335"/>
      <c r="F993" s="1335"/>
      <c r="G993" s="1327"/>
      <c r="H993" s="1327"/>
      <c r="I993" s="1323"/>
      <c r="J993" s="1323"/>
      <c r="K993" s="1324"/>
      <c r="L993" s="1325"/>
      <c r="M993" s="1336"/>
      <c r="N993" s="1338"/>
      <c r="O993" s="1335"/>
      <c r="P993" s="1316"/>
      <c r="R993" s="1352"/>
      <c r="S993" s="1352"/>
      <c r="T993" s="1352">
        <f>+Tabla16[[#This Row],[CDPS A 31 JULIO 2022]]-Tabla16[[#This Row],[CDP]]</f>
        <v>0</v>
      </c>
      <c r="U993" s="1352"/>
      <c r="V993" s="1352"/>
      <c r="W993" s="1352"/>
    </row>
    <row r="994" spans="1:23" s="1317" customFormat="1" ht="45" hidden="1" customHeight="1" x14ac:dyDescent="0.3">
      <c r="A994" s="1322"/>
      <c r="B994" s="1339"/>
      <c r="C994" s="1345"/>
      <c r="D994" s="1334"/>
      <c r="E994" s="1335"/>
      <c r="F994" s="1335"/>
      <c r="G994" s="1327"/>
      <c r="H994" s="1327"/>
      <c r="I994" s="1323"/>
      <c r="J994" s="1323"/>
      <c r="K994" s="1324"/>
      <c r="L994" s="1325"/>
      <c r="M994" s="1336"/>
      <c r="N994" s="1338"/>
      <c r="O994" s="1335"/>
      <c r="P994" s="1316"/>
      <c r="R994" s="1352"/>
      <c r="S994" s="1352"/>
      <c r="T994" s="1352">
        <f>+Tabla16[[#This Row],[CDPS A 31 JULIO 2022]]-Tabla16[[#This Row],[CDP]]</f>
        <v>0</v>
      </c>
      <c r="U994" s="1352"/>
      <c r="V994" s="1352"/>
      <c r="W994" s="1352"/>
    </row>
    <row r="995" spans="1:23" s="1317" customFormat="1" ht="45" hidden="1" customHeight="1" x14ac:dyDescent="0.3">
      <c r="A995" s="1322"/>
      <c r="B995" s="1339"/>
      <c r="C995" s="1345"/>
      <c r="D995" s="1334"/>
      <c r="E995" s="1335"/>
      <c r="F995" s="1335"/>
      <c r="G995" s="1327"/>
      <c r="H995" s="1327"/>
      <c r="I995" s="1323"/>
      <c r="J995" s="1323"/>
      <c r="K995" s="1324"/>
      <c r="L995" s="1325"/>
      <c r="M995" s="1336"/>
      <c r="N995" s="1338"/>
      <c r="O995" s="1335"/>
      <c r="P995" s="1316"/>
      <c r="R995" s="1352"/>
      <c r="S995" s="1352"/>
      <c r="T995" s="1352">
        <f>+Tabla16[[#This Row],[CDPS A 31 JULIO 2022]]-Tabla16[[#This Row],[CDP]]</f>
        <v>0</v>
      </c>
      <c r="U995" s="1352"/>
      <c r="V995" s="1352"/>
      <c r="W995" s="1352"/>
    </row>
    <row r="996" spans="1:23" s="1317" customFormat="1" ht="45" hidden="1" customHeight="1" x14ac:dyDescent="0.3">
      <c r="A996" s="1322"/>
      <c r="B996" s="1339"/>
      <c r="C996" s="1345"/>
      <c r="D996" s="1334"/>
      <c r="E996" s="1335"/>
      <c r="F996" s="1335"/>
      <c r="G996" s="1327"/>
      <c r="H996" s="1327"/>
      <c r="I996" s="1323"/>
      <c r="J996" s="1323"/>
      <c r="K996" s="1324"/>
      <c r="L996" s="1325"/>
      <c r="M996" s="1336"/>
      <c r="N996" s="1338"/>
      <c r="O996" s="1335"/>
      <c r="P996" s="1316"/>
      <c r="R996" s="1352"/>
      <c r="S996" s="1352"/>
      <c r="T996" s="1352">
        <f>+Tabla16[[#This Row],[CDPS A 31 JULIO 2022]]-Tabla16[[#This Row],[CDP]]</f>
        <v>0</v>
      </c>
      <c r="U996" s="1352"/>
      <c r="V996" s="1352"/>
      <c r="W996" s="1352"/>
    </row>
    <row r="997" spans="1:23" s="1317" customFormat="1" ht="45" hidden="1" customHeight="1" x14ac:dyDescent="0.3">
      <c r="A997" s="1322"/>
      <c r="B997" s="1339"/>
      <c r="C997" s="1345"/>
      <c r="D997" s="1334"/>
      <c r="E997" s="1335"/>
      <c r="F997" s="1335"/>
      <c r="G997" s="1327"/>
      <c r="H997" s="1327"/>
      <c r="I997" s="1323"/>
      <c r="J997" s="1323"/>
      <c r="K997" s="1324"/>
      <c r="L997" s="1325"/>
      <c r="M997" s="1336"/>
      <c r="N997" s="1338"/>
      <c r="O997" s="1335"/>
      <c r="P997" s="1316"/>
      <c r="R997" s="1352"/>
      <c r="S997" s="1352"/>
      <c r="T997" s="1352">
        <f>+Tabla16[[#This Row],[CDPS A 31 JULIO 2022]]-Tabla16[[#This Row],[CDP]]</f>
        <v>0</v>
      </c>
      <c r="U997" s="1352"/>
      <c r="V997" s="1352"/>
      <c r="W997" s="1352"/>
    </row>
    <row r="998" spans="1:23" s="1317" customFormat="1" ht="45" hidden="1" customHeight="1" x14ac:dyDescent="0.3">
      <c r="A998" s="1322"/>
      <c r="B998" s="1339"/>
      <c r="C998" s="1345"/>
      <c r="D998" s="1334"/>
      <c r="E998" s="1335"/>
      <c r="F998" s="1335"/>
      <c r="G998" s="1327"/>
      <c r="H998" s="1327"/>
      <c r="I998" s="1323"/>
      <c r="J998" s="1323"/>
      <c r="K998" s="1324"/>
      <c r="L998" s="1325"/>
      <c r="M998" s="1336"/>
      <c r="N998" s="1338"/>
      <c r="O998" s="1335"/>
      <c r="P998" s="1316"/>
      <c r="R998" s="1352"/>
      <c r="S998" s="1352"/>
      <c r="T998" s="1352">
        <f>+Tabla16[[#This Row],[CDPS A 31 JULIO 2022]]-Tabla16[[#This Row],[CDP]]</f>
        <v>0</v>
      </c>
      <c r="U998" s="1352"/>
      <c r="V998" s="1352"/>
      <c r="W998" s="1352"/>
    </row>
    <row r="999" spans="1:23" s="1317" customFormat="1" ht="45" hidden="1" customHeight="1" x14ac:dyDescent="0.3">
      <c r="A999" s="1322"/>
      <c r="B999" s="1339"/>
      <c r="C999" s="1345"/>
      <c r="D999" s="1334"/>
      <c r="E999" s="1335"/>
      <c r="F999" s="1335"/>
      <c r="G999" s="1327"/>
      <c r="H999" s="1327"/>
      <c r="I999" s="1323"/>
      <c r="J999" s="1323"/>
      <c r="K999" s="1324"/>
      <c r="L999" s="1325"/>
      <c r="M999" s="1336"/>
      <c r="N999" s="1338"/>
      <c r="O999" s="1335"/>
      <c r="P999" s="1316"/>
      <c r="R999" s="1352"/>
      <c r="S999" s="1352"/>
      <c r="T999" s="1352">
        <f>+Tabla16[[#This Row],[CDPS A 31 JULIO 2022]]-Tabla16[[#This Row],[CDP]]</f>
        <v>0</v>
      </c>
      <c r="U999" s="1352"/>
      <c r="V999" s="1352"/>
      <c r="W999" s="1352"/>
    </row>
    <row r="1000" spans="1:23" s="1317" customFormat="1" ht="45" hidden="1" customHeight="1" x14ac:dyDescent="0.3">
      <c r="A1000" s="1322"/>
      <c r="B1000" s="1339"/>
      <c r="C1000" s="1345"/>
      <c r="D1000" s="1334"/>
      <c r="E1000" s="1335"/>
      <c r="F1000" s="1335"/>
      <c r="G1000" s="1327"/>
      <c r="H1000" s="1327"/>
      <c r="I1000" s="1323"/>
      <c r="J1000" s="1323"/>
      <c r="K1000" s="1324"/>
      <c r="L1000" s="1325"/>
      <c r="M1000" s="1336"/>
      <c r="N1000" s="1338"/>
      <c r="O1000" s="1335"/>
      <c r="P1000" s="1316"/>
      <c r="R1000" s="1352"/>
      <c r="S1000" s="1352"/>
      <c r="T1000" s="1352">
        <f>+Tabla16[[#This Row],[CDPS A 31 JULIO 2022]]-Tabla16[[#This Row],[CDP]]</f>
        <v>0</v>
      </c>
      <c r="U1000" s="1352"/>
      <c r="V1000" s="1352"/>
      <c r="W1000" s="1352"/>
    </row>
    <row r="1001" spans="1:23" s="1317" customFormat="1" ht="45" hidden="1" customHeight="1" x14ac:dyDescent="0.3">
      <c r="A1001" s="1322"/>
      <c r="B1001" s="1339"/>
      <c r="C1001" s="1345"/>
      <c r="D1001" s="1334"/>
      <c r="E1001" s="1335"/>
      <c r="F1001" s="1335"/>
      <c r="G1001" s="1327"/>
      <c r="H1001" s="1327"/>
      <c r="I1001" s="1323"/>
      <c r="J1001" s="1323"/>
      <c r="K1001" s="1324"/>
      <c r="L1001" s="1325"/>
      <c r="M1001" s="1336"/>
      <c r="N1001" s="1338"/>
      <c r="O1001" s="1335"/>
      <c r="P1001" s="1316"/>
      <c r="R1001" s="1352"/>
      <c r="S1001" s="1352"/>
      <c r="T1001" s="1352">
        <f>+Tabla16[[#This Row],[CDPS A 31 JULIO 2022]]-Tabla16[[#This Row],[CDP]]</f>
        <v>0</v>
      </c>
      <c r="U1001" s="1352"/>
      <c r="V1001" s="1352"/>
      <c r="W1001" s="1352"/>
    </row>
    <row r="1002" spans="1:23" s="1317" customFormat="1" ht="45" hidden="1" customHeight="1" x14ac:dyDescent="0.3">
      <c r="A1002" s="1322"/>
      <c r="B1002" s="1339"/>
      <c r="C1002" s="1345"/>
      <c r="D1002" s="1334"/>
      <c r="E1002" s="1335"/>
      <c r="F1002" s="1335"/>
      <c r="G1002" s="1327"/>
      <c r="H1002" s="1327"/>
      <c r="I1002" s="1323"/>
      <c r="J1002" s="1323"/>
      <c r="K1002" s="1324"/>
      <c r="L1002" s="1325"/>
      <c r="M1002" s="1336"/>
      <c r="N1002" s="1338"/>
      <c r="O1002" s="1335"/>
      <c r="P1002" s="1316"/>
      <c r="R1002" s="1352"/>
      <c r="S1002" s="1352"/>
      <c r="T1002" s="1352">
        <f>+Tabla16[[#This Row],[CDPS A 31 JULIO 2022]]-Tabla16[[#This Row],[CDP]]</f>
        <v>0</v>
      </c>
      <c r="U1002" s="1352"/>
      <c r="V1002" s="1352"/>
      <c r="W1002" s="1352"/>
    </row>
    <row r="1003" spans="1:23" s="1317" customFormat="1" ht="45" hidden="1" customHeight="1" x14ac:dyDescent="0.3">
      <c r="A1003" s="1322"/>
      <c r="B1003" s="1339"/>
      <c r="C1003" s="1345"/>
      <c r="D1003" s="1334"/>
      <c r="E1003" s="1335"/>
      <c r="F1003" s="1335"/>
      <c r="G1003" s="1327"/>
      <c r="H1003" s="1327"/>
      <c r="I1003" s="1323"/>
      <c r="J1003" s="1323"/>
      <c r="K1003" s="1324"/>
      <c r="L1003" s="1325"/>
      <c r="M1003" s="1336"/>
      <c r="N1003" s="1338"/>
      <c r="O1003" s="1335"/>
      <c r="P1003" s="1316"/>
      <c r="R1003" s="1352"/>
      <c r="S1003" s="1352"/>
      <c r="T1003" s="1352">
        <f>+Tabla16[[#This Row],[CDPS A 31 JULIO 2022]]-Tabla16[[#This Row],[CDP]]</f>
        <v>0</v>
      </c>
      <c r="U1003" s="1352"/>
      <c r="V1003" s="1352"/>
      <c r="W1003" s="1352"/>
    </row>
    <row r="1004" spans="1:23" s="1317" customFormat="1" ht="45" hidden="1" customHeight="1" x14ac:dyDescent="0.3">
      <c r="A1004" s="1322"/>
      <c r="B1004" s="1339"/>
      <c r="C1004" s="1345"/>
      <c r="D1004" s="1334"/>
      <c r="E1004" s="1335"/>
      <c r="F1004" s="1335"/>
      <c r="G1004" s="1327"/>
      <c r="H1004" s="1327"/>
      <c r="I1004" s="1323"/>
      <c r="J1004" s="1323"/>
      <c r="K1004" s="1324"/>
      <c r="L1004" s="1325"/>
      <c r="M1004" s="1336"/>
      <c r="N1004" s="1338"/>
      <c r="O1004" s="1335"/>
      <c r="P1004" s="1316"/>
      <c r="R1004" s="1352"/>
      <c r="S1004" s="1352"/>
      <c r="T1004" s="1352">
        <f>+Tabla16[[#This Row],[CDPS A 31 JULIO 2022]]-Tabla16[[#This Row],[CDP]]</f>
        <v>0</v>
      </c>
      <c r="U1004" s="1352"/>
      <c r="V1004" s="1352"/>
      <c r="W1004" s="1352"/>
    </row>
    <row r="1005" spans="1:23" s="1317" customFormat="1" ht="45" hidden="1" customHeight="1" x14ac:dyDescent="0.3">
      <c r="A1005" s="1322"/>
      <c r="B1005" s="1339"/>
      <c r="C1005" s="1345"/>
      <c r="D1005" s="1334"/>
      <c r="E1005" s="1335"/>
      <c r="F1005" s="1335"/>
      <c r="G1005" s="1327"/>
      <c r="H1005" s="1327"/>
      <c r="I1005" s="1323"/>
      <c r="J1005" s="1323"/>
      <c r="K1005" s="1324"/>
      <c r="L1005" s="1325"/>
      <c r="M1005" s="1336"/>
      <c r="N1005" s="1338"/>
      <c r="O1005" s="1335"/>
      <c r="P1005" s="1316"/>
      <c r="R1005" s="1352"/>
      <c r="S1005" s="1352"/>
      <c r="T1005" s="1352">
        <f>+Tabla16[[#This Row],[CDPS A 31 JULIO 2022]]-Tabla16[[#This Row],[CDP]]</f>
        <v>0</v>
      </c>
      <c r="U1005" s="1352"/>
      <c r="V1005" s="1352"/>
      <c r="W1005" s="1352"/>
    </row>
    <row r="1006" spans="1:23" s="1317" customFormat="1" ht="45" hidden="1" customHeight="1" x14ac:dyDescent="0.3">
      <c r="A1006" s="1322"/>
      <c r="B1006" s="1339"/>
      <c r="C1006" s="1345"/>
      <c r="D1006" s="1334"/>
      <c r="E1006" s="1335"/>
      <c r="F1006" s="1335"/>
      <c r="G1006" s="1327"/>
      <c r="H1006" s="1327"/>
      <c r="I1006" s="1323"/>
      <c r="J1006" s="1323"/>
      <c r="K1006" s="1324"/>
      <c r="L1006" s="1325"/>
      <c r="M1006" s="1336"/>
      <c r="N1006" s="1338"/>
      <c r="O1006" s="1335"/>
      <c r="P1006" s="1316"/>
      <c r="R1006" s="1352"/>
      <c r="S1006" s="1352"/>
      <c r="T1006" s="1352">
        <f>+Tabla16[[#This Row],[CDPS A 31 JULIO 2022]]-Tabla16[[#This Row],[CDP]]</f>
        <v>0</v>
      </c>
      <c r="U1006" s="1352"/>
      <c r="V1006" s="1352"/>
      <c r="W1006" s="1352"/>
    </row>
    <row r="1007" spans="1:23" s="1317" customFormat="1" ht="45" hidden="1" customHeight="1" x14ac:dyDescent="0.3">
      <c r="A1007" s="1322"/>
      <c r="B1007" s="1339"/>
      <c r="C1007" s="1345"/>
      <c r="D1007" s="1334"/>
      <c r="E1007" s="1335"/>
      <c r="F1007" s="1335"/>
      <c r="G1007" s="1327"/>
      <c r="H1007" s="1327"/>
      <c r="I1007" s="1323"/>
      <c r="J1007" s="1323"/>
      <c r="K1007" s="1324"/>
      <c r="L1007" s="1325"/>
      <c r="M1007" s="1336"/>
      <c r="N1007" s="1338"/>
      <c r="O1007" s="1335"/>
      <c r="P1007" s="1316"/>
      <c r="R1007" s="1352"/>
      <c r="S1007" s="1352"/>
      <c r="T1007" s="1352">
        <f>+Tabla16[[#This Row],[CDPS A 31 JULIO 2022]]-Tabla16[[#This Row],[CDP]]</f>
        <v>0</v>
      </c>
      <c r="U1007" s="1352"/>
      <c r="V1007" s="1352"/>
      <c r="W1007" s="1352"/>
    </row>
    <row r="1008" spans="1:23" s="1317" customFormat="1" ht="45" hidden="1" customHeight="1" x14ac:dyDescent="0.3">
      <c r="A1008" s="1322"/>
      <c r="B1008" s="1339"/>
      <c r="C1008" s="1345"/>
      <c r="D1008" s="1334"/>
      <c r="E1008" s="1335"/>
      <c r="F1008" s="1335"/>
      <c r="G1008" s="1327"/>
      <c r="H1008" s="1327"/>
      <c r="I1008" s="1323"/>
      <c r="J1008" s="1323"/>
      <c r="K1008" s="1324"/>
      <c r="L1008" s="1325"/>
      <c r="M1008" s="1336"/>
      <c r="N1008" s="1338"/>
      <c r="O1008" s="1335"/>
      <c r="P1008" s="1316"/>
      <c r="R1008" s="1352"/>
      <c r="S1008" s="1352"/>
      <c r="T1008" s="1352">
        <f>+Tabla16[[#This Row],[CDPS A 31 JULIO 2022]]-Tabla16[[#This Row],[CDP]]</f>
        <v>0</v>
      </c>
      <c r="U1008" s="1352"/>
      <c r="V1008" s="1352"/>
      <c r="W1008" s="1352"/>
    </row>
    <row r="1009" spans="1:23" s="1317" customFormat="1" ht="45" hidden="1" customHeight="1" x14ac:dyDescent="0.3">
      <c r="A1009" s="1322"/>
      <c r="B1009" s="1339"/>
      <c r="C1009" s="1345"/>
      <c r="D1009" s="1334"/>
      <c r="E1009" s="1335"/>
      <c r="F1009" s="1335"/>
      <c r="G1009" s="1327"/>
      <c r="H1009" s="1327"/>
      <c r="I1009" s="1323"/>
      <c r="J1009" s="1323"/>
      <c r="K1009" s="1324"/>
      <c r="L1009" s="1325"/>
      <c r="M1009" s="1336"/>
      <c r="N1009" s="1338"/>
      <c r="O1009" s="1335"/>
      <c r="P1009" s="1316"/>
      <c r="R1009" s="1352"/>
      <c r="S1009" s="1352"/>
      <c r="T1009" s="1352">
        <f>+Tabla16[[#This Row],[CDPS A 31 JULIO 2022]]-Tabla16[[#This Row],[CDP]]</f>
        <v>0</v>
      </c>
      <c r="U1009" s="1352"/>
      <c r="V1009" s="1352"/>
      <c r="W1009" s="1352"/>
    </row>
    <row r="1010" spans="1:23" s="1317" customFormat="1" ht="45" hidden="1" customHeight="1" x14ac:dyDescent="0.3">
      <c r="A1010" s="1322"/>
      <c r="B1010" s="1339"/>
      <c r="C1010" s="1345"/>
      <c r="D1010" s="1334"/>
      <c r="E1010" s="1335"/>
      <c r="F1010" s="1335"/>
      <c r="G1010" s="1327"/>
      <c r="H1010" s="1327"/>
      <c r="I1010" s="1323"/>
      <c r="J1010" s="1323"/>
      <c r="K1010" s="1324"/>
      <c r="L1010" s="1325"/>
      <c r="M1010" s="1336"/>
      <c r="N1010" s="1338"/>
      <c r="O1010" s="1335"/>
      <c r="P1010" s="1316"/>
      <c r="R1010" s="1352"/>
      <c r="S1010" s="1352"/>
      <c r="T1010" s="1352">
        <f>+Tabla16[[#This Row],[CDPS A 31 JULIO 2022]]-Tabla16[[#This Row],[CDP]]</f>
        <v>0</v>
      </c>
      <c r="U1010" s="1352"/>
      <c r="V1010" s="1352"/>
      <c r="W1010" s="1352"/>
    </row>
    <row r="1011" spans="1:23" s="1317" customFormat="1" ht="45" hidden="1" customHeight="1" x14ac:dyDescent="0.3">
      <c r="A1011" s="1322"/>
      <c r="B1011" s="1339"/>
      <c r="C1011" s="1345"/>
      <c r="D1011" s="1334"/>
      <c r="E1011" s="1335"/>
      <c r="F1011" s="1335"/>
      <c r="G1011" s="1327"/>
      <c r="H1011" s="1327"/>
      <c r="I1011" s="1323"/>
      <c r="J1011" s="1323"/>
      <c r="K1011" s="1324"/>
      <c r="L1011" s="1325"/>
      <c r="M1011" s="1336"/>
      <c r="N1011" s="1338"/>
      <c r="O1011" s="1335"/>
      <c r="P1011" s="1316"/>
      <c r="R1011" s="1352"/>
      <c r="S1011" s="1352"/>
      <c r="T1011" s="1352">
        <f>+Tabla16[[#This Row],[CDPS A 31 JULIO 2022]]-Tabla16[[#This Row],[CDP]]</f>
        <v>0</v>
      </c>
      <c r="U1011" s="1352"/>
      <c r="V1011" s="1352"/>
      <c r="W1011" s="1352"/>
    </row>
    <row r="1012" spans="1:23" s="1317" customFormat="1" ht="45" hidden="1" customHeight="1" x14ac:dyDescent="0.3">
      <c r="A1012" s="1322"/>
      <c r="B1012" s="1339"/>
      <c r="C1012" s="1345"/>
      <c r="D1012" s="1334"/>
      <c r="E1012" s="1335"/>
      <c r="F1012" s="1335"/>
      <c r="G1012" s="1327"/>
      <c r="H1012" s="1327"/>
      <c r="I1012" s="1323"/>
      <c r="J1012" s="1323"/>
      <c r="K1012" s="1324"/>
      <c r="L1012" s="1325"/>
      <c r="M1012" s="1336"/>
      <c r="N1012" s="1338"/>
      <c r="O1012" s="1335"/>
      <c r="P1012" s="1316"/>
      <c r="R1012" s="1352"/>
      <c r="S1012" s="1352"/>
      <c r="T1012" s="1352">
        <f>+Tabla16[[#This Row],[CDPS A 31 JULIO 2022]]-Tabla16[[#This Row],[CDP]]</f>
        <v>0</v>
      </c>
      <c r="U1012" s="1352"/>
      <c r="V1012" s="1352"/>
      <c r="W1012" s="1352"/>
    </row>
    <row r="1013" spans="1:23" s="1317" customFormat="1" ht="45" hidden="1" customHeight="1" x14ac:dyDescent="0.3">
      <c r="A1013" s="1322"/>
      <c r="B1013" s="1339"/>
      <c r="C1013" s="1345"/>
      <c r="D1013" s="1334"/>
      <c r="E1013" s="1335"/>
      <c r="F1013" s="1335"/>
      <c r="G1013" s="1327"/>
      <c r="H1013" s="1327"/>
      <c r="I1013" s="1323"/>
      <c r="J1013" s="1323"/>
      <c r="K1013" s="1324"/>
      <c r="L1013" s="1325"/>
      <c r="M1013" s="1336"/>
      <c r="N1013" s="1338"/>
      <c r="O1013" s="1335"/>
      <c r="P1013" s="1316"/>
      <c r="R1013" s="1352"/>
      <c r="S1013" s="1352"/>
      <c r="T1013" s="1352">
        <f>+Tabla16[[#This Row],[CDPS A 31 JULIO 2022]]-Tabla16[[#This Row],[CDP]]</f>
        <v>0</v>
      </c>
      <c r="U1013" s="1352"/>
      <c r="V1013" s="1352"/>
      <c r="W1013" s="1352"/>
    </row>
    <row r="1014" spans="1:23" s="1317" customFormat="1" ht="45" hidden="1" customHeight="1" x14ac:dyDescent="0.3">
      <c r="A1014" s="1322"/>
      <c r="B1014" s="1339"/>
      <c r="C1014" s="1345"/>
      <c r="D1014" s="1334"/>
      <c r="E1014" s="1335"/>
      <c r="F1014" s="1335"/>
      <c r="G1014" s="1327"/>
      <c r="H1014" s="1327"/>
      <c r="I1014" s="1323"/>
      <c r="J1014" s="1323"/>
      <c r="K1014" s="1324"/>
      <c r="L1014" s="1325"/>
      <c r="M1014" s="1336"/>
      <c r="N1014" s="1338"/>
      <c r="O1014" s="1335"/>
      <c r="P1014" s="1316"/>
      <c r="R1014" s="1352"/>
      <c r="S1014" s="1352"/>
      <c r="T1014" s="1352">
        <f>+Tabla16[[#This Row],[CDPS A 31 JULIO 2022]]-Tabla16[[#This Row],[CDP]]</f>
        <v>0</v>
      </c>
      <c r="U1014" s="1352"/>
      <c r="V1014" s="1352"/>
      <c r="W1014" s="1352"/>
    </row>
    <row r="1015" spans="1:23" s="1317" customFormat="1" ht="45" hidden="1" customHeight="1" x14ac:dyDescent="0.3">
      <c r="A1015" s="1322"/>
      <c r="B1015" s="1339"/>
      <c r="C1015" s="1345"/>
      <c r="D1015" s="1334"/>
      <c r="E1015" s="1335"/>
      <c r="F1015" s="1335"/>
      <c r="G1015" s="1327"/>
      <c r="H1015" s="1327"/>
      <c r="I1015" s="1323"/>
      <c r="J1015" s="1323"/>
      <c r="K1015" s="1324"/>
      <c r="L1015" s="1325"/>
      <c r="M1015" s="1336"/>
      <c r="N1015" s="1338"/>
      <c r="O1015" s="1335"/>
      <c r="P1015" s="1316"/>
      <c r="R1015" s="1352"/>
      <c r="S1015" s="1352"/>
      <c r="T1015" s="1352">
        <f>+Tabla16[[#This Row],[CDPS A 31 JULIO 2022]]-Tabla16[[#This Row],[CDP]]</f>
        <v>0</v>
      </c>
      <c r="U1015" s="1352"/>
      <c r="V1015" s="1352"/>
      <c r="W1015" s="1352"/>
    </row>
    <row r="1016" spans="1:23" s="1317" customFormat="1" ht="45" hidden="1" customHeight="1" x14ac:dyDescent="0.3">
      <c r="A1016" s="1322"/>
      <c r="B1016" s="1339"/>
      <c r="C1016" s="1345"/>
      <c r="D1016" s="1334"/>
      <c r="E1016" s="1335"/>
      <c r="F1016" s="1335"/>
      <c r="G1016" s="1327"/>
      <c r="H1016" s="1327"/>
      <c r="I1016" s="1323"/>
      <c r="J1016" s="1323"/>
      <c r="K1016" s="1324"/>
      <c r="L1016" s="1325"/>
      <c r="M1016" s="1336"/>
      <c r="N1016" s="1338"/>
      <c r="O1016" s="1335"/>
      <c r="P1016" s="1316"/>
      <c r="R1016" s="1352"/>
      <c r="S1016" s="1352"/>
      <c r="T1016" s="1352">
        <f>+Tabla16[[#This Row],[CDPS A 31 JULIO 2022]]-Tabla16[[#This Row],[CDP]]</f>
        <v>0</v>
      </c>
      <c r="U1016" s="1352"/>
      <c r="V1016" s="1352"/>
      <c r="W1016" s="1352"/>
    </row>
    <row r="1017" spans="1:23" s="1317" customFormat="1" ht="45" hidden="1" customHeight="1" x14ac:dyDescent="0.3">
      <c r="A1017" s="1322"/>
      <c r="B1017" s="1339"/>
      <c r="C1017" s="1345"/>
      <c r="D1017" s="1334"/>
      <c r="E1017" s="1335"/>
      <c r="F1017" s="1335"/>
      <c r="G1017" s="1327"/>
      <c r="H1017" s="1327"/>
      <c r="I1017" s="1323"/>
      <c r="J1017" s="1323"/>
      <c r="K1017" s="1324"/>
      <c r="L1017" s="1325"/>
      <c r="M1017" s="1336"/>
      <c r="N1017" s="1338"/>
      <c r="O1017" s="1335"/>
      <c r="P1017" s="1316"/>
      <c r="R1017" s="1352"/>
      <c r="S1017" s="1352"/>
      <c r="T1017" s="1352">
        <f>+Tabla16[[#This Row],[CDPS A 31 JULIO 2022]]-Tabla16[[#This Row],[CDP]]</f>
        <v>0</v>
      </c>
      <c r="U1017" s="1352"/>
      <c r="V1017" s="1352"/>
      <c r="W1017" s="1352"/>
    </row>
    <row r="1018" spans="1:23" s="1317" customFormat="1" ht="45" hidden="1" customHeight="1" x14ac:dyDescent="0.3">
      <c r="A1018" s="1322"/>
      <c r="B1018" s="1339"/>
      <c r="C1018" s="1345"/>
      <c r="D1018" s="1334"/>
      <c r="E1018" s="1335"/>
      <c r="F1018" s="1335"/>
      <c r="G1018" s="1327"/>
      <c r="H1018" s="1327"/>
      <c r="I1018" s="1323"/>
      <c r="J1018" s="1323"/>
      <c r="K1018" s="1324"/>
      <c r="L1018" s="1325"/>
      <c r="M1018" s="1336"/>
      <c r="N1018" s="1338"/>
      <c r="O1018" s="1335"/>
      <c r="P1018" s="1316"/>
      <c r="R1018" s="1352"/>
      <c r="S1018" s="1352"/>
      <c r="T1018" s="1352">
        <f>+Tabla16[[#This Row],[CDPS A 31 JULIO 2022]]-Tabla16[[#This Row],[CDP]]</f>
        <v>0</v>
      </c>
      <c r="U1018" s="1352"/>
      <c r="V1018" s="1352"/>
      <c r="W1018" s="1352"/>
    </row>
    <row r="1019" spans="1:23" s="1317" customFormat="1" ht="45" hidden="1" customHeight="1" x14ac:dyDescent="0.3">
      <c r="A1019" s="1322"/>
      <c r="B1019" s="1339"/>
      <c r="C1019" s="1345"/>
      <c r="D1019" s="1334"/>
      <c r="E1019" s="1335"/>
      <c r="F1019" s="1335"/>
      <c r="G1019" s="1327"/>
      <c r="H1019" s="1327"/>
      <c r="I1019" s="1323"/>
      <c r="J1019" s="1323"/>
      <c r="K1019" s="1324"/>
      <c r="L1019" s="1325"/>
      <c r="M1019" s="1336"/>
      <c r="N1019" s="1338"/>
      <c r="O1019" s="1335"/>
      <c r="P1019" s="1316"/>
      <c r="R1019" s="1352"/>
      <c r="S1019" s="1352"/>
      <c r="T1019" s="1352">
        <f>+Tabla16[[#This Row],[CDPS A 31 JULIO 2022]]-Tabla16[[#This Row],[CDP]]</f>
        <v>0</v>
      </c>
      <c r="U1019" s="1352"/>
      <c r="V1019" s="1352"/>
      <c r="W1019" s="1352"/>
    </row>
    <row r="1020" spans="1:23" s="1317" customFormat="1" ht="45" hidden="1" customHeight="1" x14ac:dyDescent="0.3">
      <c r="A1020" s="1322"/>
      <c r="B1020" s="1339"/>
      <c r="C1020" s="1345"/>
      <c r="D1020" s="1334"/>
      <c r="E1020" s="1335"/>
      <c r="F1020" s="1335"/>
      <c r="G1020" s="1327"/>
      <c r="H1020" s="1327"/>
      <c r="I1020" s="1323"/>
      <c r="J1020" s="1323"/>
      <c r="K1020" s="1324"/>
      <c r="L1020" s="1325"/>
      <c r="M1020" s="1336"/>
      <c r="N1020" s="1338"/>
      <c r="O1020" s="1335"/>
      <c r="P1020" s="1316"/>
      <c r="R1020" s="1352"/>
      <c r="S1020" s="1352"/>
      <c r="T1020" s="1352">
        <f>+Tabla16[[#This Row],[CDPS A 31 JULIO 2022]]-Tabla16[[#This Row],[CDP]]</f>
        <v>0</v>
      </c>
      <c r="U1020" s="1352"/>
      <c r="V1020" s="1352"/>
      <c r="W1020" s="1352"/>
    </row>
    <row r="1021" spans="1:23" s="1317" customFormat="1" ht="45" hidden="1" customHeight="1" x14ac:dyDescent="0.3">
      <c r="A1021" s="1322"/>
      <c r="B1021" s="1339"/>
      <c r="C1021" s="1345"/>
      <c r="D1021" s="1334"/>
      <c r="E1021" s="1335"/>
      <c r="F1021" s="1335"/>
      <c r="G1021" s="1327"/>
      <c r="H1021" s="1327"/>
      <c r="I1021" s="1323"/>
      <c r="J1021" s="1323"/>
      <c r="K1021" s="1324"/>
      <c r="L1021" s="1325"/>
      <c r="M1021" s="1336"/>
      <c r="N1021" s="1338"/>
      <c r="O1021" s="1335"/>
      <c r="P1021" s="1316"/>
      <c r="R1021" s="1352"/>
      <c r="S1021" s="1352"/>
      <c r="T1021" s="1352">
        <f>+Tabla16[[#This Row],[CDPS A 31 JULIO 2022]]-Tabla16[[#This Row],[CDP]]</f>
        <v>0</v>
      </c>
      <c r="U1021" s="1352"/>
      <c r="V1021" s="1352"/>
      <c r="W1021" s="1352"/>
    </row>
    <row r="1022" spans="1:23" s="1317" customFormat="1" ht="45" hidden="1" customHeight="1" x14ac:dyDescent="0.3">
      <c r="A1022" s="1322"/>
      <c r="B1022" s="1339"/>
      <c r="C1022" s="1345"/>
      <c r="D1022" s="1334"/>
      <c r="E1022" s="1335"/>
      <c r="F1022" s="1335"/>
      <c r="G1022" s="1327"/>
      <c r="H1022" s="1327"/>
      <c r="I1022" s="1323"/>
      <c r="J1022" s="1323"/>
      <c r="K1022" s="1324"/>
      <c r="L1022" s="1325"/>
      <c r="M1022" s="1336"/>
      <c r="N1022" s="1338"/>
      <c r="O1022" s="1335"/>
      <c r="P1022" s="1316"/>
      <c r="R1022" s="1352"/>
      <c r="S1022" s="1352"/>
      <c r="T1022" s="1352">
        <f>+Tabla16[[#This Row],[CDPS A 31 JULIO 2022]]-Tabla16[[#This Row],[CDP]]</f>
        <v>0</v>
      </c>
      <c r="U1022" s="1352"/>
      <c r="V1022" s="1352"/>
      <c r="W1022" s="1352"/>
    </row>
    <row r="1023" spans="1:23" s="1317" customFormat="1" ht="45" hidden="1" customHeight="1" x14ac:dyDescent="0.3">
      <c r="A1023" s="1322"/>
      <c r="B1023" s="1339"/>
      <c r="C1023" s="1345"/>
      <c r="D1023" s="1334"/>
      <c r="E1023" s="1335"/>
      <c r="F1023" s="1335"/>
      <c r="G1023" s="1327"/>
      <c r="H1023" s="1327"/>
      <c r="I1023" s="1323"/>
      <c r="J1023" s="1323"/>
      <c r="K1023" s="1324"/>
      <c r="L1023" s="1325"/>
      <c r="M1023" s="1336"/>
      <c r="N1023" s="1338"/>
      <c r="O1023" s="1335"/>
      <c r="P1023" s="1316"/>
      <c r="R1023" s="1352"/>
      <c r="S1023" s="1352"/>
      <c r="T1023" s="1352">
        <f>+Tabla16[[#This Row],[CDPS A 31 JULIO 2022]]-Tabla16[[#This Row],[CDP]]</f>
        <v>0</v>
      </c>
      <c r="U1023" s="1352"/>
      <c r="V1023" s="1352"/>
      <c r="W1023" s="1352"/>
    </row>
    <row r="1024" spans="1:23" s="1317" customFormat="1" ht="45" hidden="1" customHeight="1" x14ac:dyDescent="0.3">
      <c r="A1024" s="1322"/>
      <c r="B1024" s="1339"/>
      <c r="C1024" s="1345"/>
      <c r="D1024" s="1334"/>
      <c r="E1024" s="1335"/>
      <c r="F1024" s="1335"/>
      <c r="G1024" s="1327"/>
      <c r="H1024" s="1327"/>
      <c r="I1024" s="1323"/>
      <c r="J1024" s="1323"/>
      <c r="K1024" s="1324"/>
      <c r="L1024" s="1325"/>
      <c r="M1024" s="1336"/>
      <c r="N1024" s="1338"/>
      <c r="O1024" s="1335"/>
      <c r="P1024" s="1316"/>
      <c r="R1024" s="1352"/>
      <c r="S1024" s="1352"/>
      <c r="T1024" s="1352">
        <f>+Tabla16[[#This Row],[CDPS A 31 JULIO 2022]]-Tabla16[[#This Row],[CDP]]</f>
        <v>0</v>
      </c>
      <c r="U1024" s="1352"/>
      <c r="V1024" s="1352"/>
      <c r="W1024" s="1352"/>
    </row>
    <row r="1025" spans="1:23" s="1317" customFormat="1" ht="45" hidden="1" customHeight="1" x14ac:dyDescent="0.3">
      <c r="A1025" s="1322"/>
      <c r="B1025" s="1339"/>
      <c r="C1025" s="1345"/>
      <c r="D1025" s="1334"/>
      <c r="E1025" s="1335"/>
      <c r="F1025" s="1335"/>
      <c r="G1025" s="1327"/>
      <c r="H1025" s="1327"/>
      <c r="I1025" s="1323"/>
      <c r="J1025" s="1323"/>
      <c r="K1025" s="1324"/>
      <c r="L1025" s="1325"/>
      <c r="M1025" s="1336"/>
      <c r="N1025" s="1338"/>
      <c r="O1025" s="1335"/>
      <c r="P1025" s="1316"/>
      <c r="R1025" s="1352"/>
      <c r="S1025" s="1352"/>
      <c r="T1025" s="1352">
        <f>+Tabla16[[#This Row],[CDPS A 31 JULIO 2022]]-Tabla16[[#This Row],[CDP]]</f>
        <v>0</v>
      </c>
      <c r="U1025" s="1352"/>
      <c r="V1025" s="1352"/>
      <c r="W1025" s="1352"/>
    </row>
    <row r="1026" spans="1:23" s="1317" customFormat="1" ht="45" hidden="1" customHeight="1" x14ac:dyDescent="0.3">
      <c r="A1026" s="1322"/>
      <c r="B1026" s="1339"/>
      <c r="C1026" s="1345"/>
      <c r="D1026" s="1334"/>
      <c r="E1026" s="1335"/>
      <c r="F1026" s="1335"/>
      <c r="G1026" s="1327"/>
      <c r="H1026" s="1327"/>
      <c r="I1026" s="1323"/>
      <c r="J1026" s="1323"/>
      <c r="K1026" s="1324"/>
      <c r="L1026" s="1325"/>
      <c r="M1026" s="1336"/>
      <c r="N1026" s="1338"/>
      <c r="O1026" s="1335"/>
      <c r="P1026" s="1316"/>
      <c r="R1026" s="1352"/>
      <c r="S1026" s="1352"/>
      <c r="T1026" s="1352">
        <f>+Tabla16[[#This Row],[CDPS A 31 JULIO 2022]]-Tabla16[[#This Row],[CDP]]</f>
        <v>0</v>
      </c>
      <c r="U1026" s="1352"/>
      <c r="V1026" s="1352"/>
      <c r="W1026" s="1352"/>
    </row>
    <row r="1027" spans="1:23" s="1317" customFormat="1" ht="45" hidden="1" customHeight="1" x14ac:dyDescent="0.3">
      <c r="A1027" s="1322"/>
      <c r="B1027" s="1339"/>
      <c r="C1027" s="1345"/>
      <c r="D1027" s="1334"/>
      <c r="E1027" s="1335"/>
      <c r="F1027" s="1335"/>
      <c r="G1027" s="1327"/>
      <c r="H1027" s="1327"/>
      <c r="I1027" s="1323"/>
      <c r="J1027" s="1323"/>
      <c r="K1027" s="1324"/>
      <c r="L1027" s="1325"/>
      <c r="M1027" s="1336"/>
      <c r="N1027" s="1338"/>
      <c r="O1027" s="1335"/>
      <c r="P1027" s="1316"/>
      <c r="R1027" s="1352"/>
      <c r="S1027" s="1352"/>
      <c r="T1027" s="1352">
        <f>+Tabla16[[#This Row],[CDPS A 31 JULIO 2022]]-Tabla16[[#This Row],[CDP]]</f>
        <v>0</v>
      </c>
      <c r="U1027" s="1352"/>
      <c r="V1027" s="1352"/>
      <c r="W1027" s="1352"/>
    </row>
    <row r="1028" spans="1:23" s="1317" customFormat="1" ht="45" hidden="1" customHeight="1" x14ac:dyDescent="0.3">
      <c r="A1028" s="1322"/>
      <c r="B1028" s="1339"/>
      <c r="C1028" s="1345"/>
      <c r="D1028" s="1334"/>
      <c r="E1028" s="1335"/>
      <c r="F1028" s="1335"/>
      <c r="G1028" s="1327"/>
      <c r="H1028" s="1327"/>
      <c r="I1028" s="1323"/>
      <c r="J1028" s="1323"/>
      <c r="K1028" s="1324"/>
      <c r="L1028" s="1325"/>
      <c r="M1028" s="1336"/>
      <c r="N1028" s="1338"/>
      <c r="O1028" s="1335"/>
      <c r="P1028" s="1316"/>
      <c r="R1028" s="1352"/>
      <c r="S1028" s="1352"/>
      <c r="T1028" s="1352">
        <f>+Tabla16[[#This Row],[CDPS A 31 JULIO 2022]]-Tabla16[[#This Row],[CDP]]</f>
        <v>0</v>
      </c>
      <c r="U1028" s="1352"/>
      <c r="V1028" s="1352"/>
      <c r="W1028" s="1352"/>
    </row>
    <row r="1029" spans="1:23" s="1317" customFormat="1" ht="45" hidden="1" customHeight="1" x14ac:dyDescent="0.3">
      <c r="A1029" s="1322"/>
      <c r="B1029" s="1339"/>
      <c r="C1029" s="1345"/>
      <c r="D1029" s="1334"/>
      <c r="E1029" s="1335"/>
      <c r="F1029" s="1335"/>
      <c r="G1029" s="1327"/>
      <c r="H1029" s="1327"/>
      <c r="I1029" s="1323"/>
      <c r="J1029" s="1323"/>
      <c r="K1029" s="1324"/>
      <c r="L1029" s="1325"/>
      <c r="M1029" s="1336"/>
      <c r="N1029" s="1338"/>
      <c r="O1029" s="1335"/>
      <c r="P1029" s="1316"/>
      <c r="R1029" s="1352"/>
      <c r="S1029" s="1352"/>
      <c r="T1029" s="1352">
        <f>+Tabla16[[#This Row],[CDPS A 31 JULIO 2022]]-Tabla16[[#This Row],[CDP]]</f>
        <v>0</v>
      </c>
      <c r="U1029" s="1352"/>
      <c r="V1029" s="1352"/>
      <c r="W1029" s="1352"/>
    </row>
    <row r="1030" spans="1:23" s="1317" customFormat="1" ht="45" hidden="1" customHeight="1" x14ac:dyDescent="0.3">
      <c r="A1030" s="1322"/>
      <c r="B1030" s="1339"/>
      <c r="C1030" s="1345"/>
      <c r="D1030" s="1334"/>
      <c r="E1030" s="1335"/>
      <c r="F1030" s="1335"/>
      <c r="G1030" s="1327"/>
      <c r="H1030" s="1327"/>
      <c r="I1030" s="1323"/>
      <c r="J1030" s="1323"/>
      <c r="K1030" s="1324"/>
      <c r="L1030" s="1325"/>
      <c r="M1030" s="1336"/>
      <c r="N1030" s="1338"/>
      <c r="O1030" s="1335"/>
      <c r="P1030" s="1316"/>
      <c r="R1030" s="1352"/>
      <c r="S1030" s="1352"/>
      <c r="T1030" s="1352">
        <f>+Tabla16[[#This Row],[CDPS A 31 JULIO 2022]]-Tabla16[[#This Row],[CDP]]</f>
        <v>0</v>
      </c>
      <c r="U1030" s="1352"/>
      <c r="V1030" s="1352"/>
      <c r="W1030" s="1352"/>
    </row>
    <row r="1031" spans="1:23" s="1317" customFormat="1" ht="45" hidden="1" customHeight="1" x14ac:dyDescent="0.3">
      <c r="A1031" s="1322"/>
      <c r="B1031" s="1339"/>
      <c r="C1031" s="1345"/>
      <c r="D1031" s="1334"/>
      <c r="E1031" s="1335"/>
      <c r="F1031" s="1335"/>
      <c r="G1031" s="1327"/>
      <c r="H1031" s="1327"/>
      <c r="I1031" s="1323"/>
      <c r="J1031" s="1323"/>
      <c r="K1031" s="1324"/>
      <c r="L1031" s="1325"/>
      <c r="M1031" s="1336"/>
      <c r="N1031" s="1338"/>
      <c r="O1031" s="1335"/>
      <c r="P1031" s="1316"/>
      <c r="R1031" s="1352"/>
      <c r="S1031" s="1352"/>
      <c r="T1031" s="1352">
        <f>+Tabla16[[#This Row],[CDPS A 31 JULIO 2022]]-Tabla16[[#This Row],[CDP]]</f>
        <v>0</v>
      </c>
      <c r="U1031" s="1352"/>
      <c r="V1031" s="1352"/>
      <c r="W1031" s="1352"/>
    </row>
    <row r="1032" spans="1:23" s="1317" customFormat="1" ht="45" hidden="1" customHeight="1" x14ac:dyDescent="0.3">
      <c r="A1032" s="1322"/>
      <c r="B1032" s="1339"/>
      <c r="C1032" s="1345"/>
      <c r="D1032" s="1334"/>
      <c r="E1032" s="1335"/>
      <c r="F1032" s="1335"/>
      <c r="G1032" s="1327"/>
      <c r="H1032" s="1327"/>
      <c r="I1032" s="1323"/>
      <c r="J1032" s="1323"/>
      <c r="K1032" s="1324"/>
      <c r="L1032" s="1325"/>
      <c r="M1032" s="1336"/>
      <c r="N1032" s="1338"/>
      <c r="O1032" s="1335"/>
      <c r="P1032" s="1316"/>
      <c r="R1032" s="1352"/>
      <c r="S1032" s="1352"/>
      <c r="T1032" s="1352">
        <f>+Tabla16[[#This Row],[CDPS A 31 JULIO 2022]]-Tabla16[[#This Row],[CDP]]</f>
        <v>0</v>
      </c>
      <c r="U1032" s="1352"/>
      <c r="V1032" s="1352"/>
      <c r="W1032" s="1352"/>
    </row>
    <row r="1033" spans="1:23" s="1317" customFormat="1" ht="45" hidden="1" customHeight="1" x14ac:dyDescent="0.3">
      <c r="A1033" s="1322"/>
      <c r="B1033" s="1339"/>
      <c r="C1033" s="1345"/>
      <c r="D1033" s="1334"/>
      <c r="E1033" s="1335"/>
      <c r="F1033" s="1335"/>
      <c r="G1033" s="1327"/>
      <c r="H1033" s="1327"/>
      <c r="I1033" s="1323"/>
      <c r="J1033" s="1323"/>
      <c r="K1033" s="1324"/>
      <c r="L1033" s="1325"/>
      <c r="M1033" s="1336"/>
      <c r="N1033" s="1338"/>
      <c r="O1033" s="1335"/>
      <c r="P1033" s="1316"/>
      <c r="R1033" s="1352"/>
      <c r="S1033" s="1352"/>
      <c r="T1033" s="1352">
        <f>+Tabla16[[#This Row],[CDPS A 31 JULIO 2022]]-Tabla16[[#This Row],[CDP]]</f>
        <v>0</v>
      </c>
      <c r="U1033" s="1352"/>
      <c r="V1033" s="1352"/>
      <c r="W1033" s="1352"/>
    </row>
    <row r="1034" spans="1:23" s="1317" customFormat="1" ht="45" hidden="1" customHeight="1" x14ac:dyDescent="0.3">
      <c r="A1034" s="1322"/>
      <c r="B1034" s="1339"/>
      <c r="C1034" s="1345"/>
      <c r="D1034" s="1334"/>
      <c r="E1034" s="1335"/>
      <c r="F1034" s="1335"/>
      <c r="G1034" s="1327"/>
      <c r="H1034" s="1327"/>
      <c r="I1034" s="1323"/>
      <c r="J1034" s="1323"/>
      <c r="K1034" s="1324"/>
      <c r="L1034" s="1325"/>
      <c r="M1034" s="1336"/>
      <c r="N1034" s="1338"/>
      <c r="O1034" s="1335"/>
      <c r="P1034" s="1316"/>
      <c r="R1034" s="1352"/>
      <c r="S1034" s="1352"/>
      <c r="T1034" s="1352">
        <f>+Tabla16[[#This Row],[CDPS A 31 JULIO 2022]]-Tabla16[[#This Row],[CDP]]</f>
        <v>0</v>
      </c>
      <c r="U1034" s="1352"/>
      <c r="V1034" s="1352"/>
      <c r="W1034" s="1352"/>
    </row>
    <row r="1035" spans="1:23" s="1317" customFormat="1" ht="45" hidden="1" customHeight="1" x14ac:dyDescent="0.3">
      <c r="A1035" s="1322"/>
      <c r="B1035" s="1339"/>
      <c r="C1035" s="1345"/>
      <c r="D1035" s="1334"/>
      <c r="E1035" s="1335"/>
      <c r="F1035" s="1335"/>
      <c r="G1035" s="1327"/>
      <c r="H1035" s="1327"/>
      <c r="I1035" s="1323"/>
      <c r="J1035" s="1323"/>
      <c r="K1035" s="1324"/>
      <c r="L1035" s="1325"/>
      <c r="M1035" s="1336"/>
      <c r="N1035" s="1338"/>
      <c r="O1035" s="1335"/>
      <c r="P1035" s="1316"/>
      <c r="R1035" s="1352"/>
      <c r="S1035" s="1352"/>
      <c r="T1035" s="1352">
        <f>+Tabla16[[#This Row],[CDPS A 31 JULIO 2022]]-Tabla16[[#This Row],[CDP]]</f>
        <v>0</v>
      </c>
      <c r="U1035" s="1352"/>
      <c r="V1035" s="1352"/>
      <c r="W1035" s="1352"/>
    </row>
    <row r="1036" spans="1:23" s="1317" customFormat="1" ht="45" hidden="1" customHeight="1" x14ac:dyDescent="0.3">
      <c r="A1036" s="1322"/>
      <c r="B1036" s="1339"/>
      <c r="C1036" s="1345"/>
      <c r="D1036" s="1334"/>
      <c r="E1036" s="1335"/>
      <c r="F1036" s="1335"/>
      <c r="G1036" s="1327"/>
      <c r="H1036" s="1327"/>
      <c r="I1036" s="1323"/>
      <c r="J1036" s="1323"/>
      <c r="K1036" s="1324"/>
      <c r="L1036" s="1325"/>
      <c r="M1036" s="1336"/>
      <c r="N1036" s="1338"/>
      <c r="O1036" s="1335"/>
      <c r="P1036" s="1316"/>
      <c r="R1036" s="1352"/>
      <c r="S1036" s="1352"/>
      <c r="T1036" s="1352">
        <f>+Tabla16[[#This Row],[CDPS A 31 JULIO 2022]]-Tabla16[[#This Row],[CDP]]</f>
        <v>0</v>
      </c>
      <c r="U1036" s="1352"/>
      <c r="V1036" s="1352"/>
      <c r="W1036" s="1352"/>
    </row>
    <row r="1037" spans="1:23" s="1317" customFormat="1" ht="45" hidden="1" customHeight="1" x14ac:dyDescent="0.3">
      <c r="A1037" s="1322"/>
      <c r="B1037" s="1339"/>
      <c r="C1037" s="1345"/>
      <c r="D1037" s="1334"/>
      <c r="E1037" s="1335"/>
      <c r="F1037" s="1335"/>
      <c r="G1037" s="1327"/>
      <c r="H1037" s="1327"/>
      <c r="I1037" s="1323"/>
      <c r="J1037" s="1323"/>
      <c r="K1037" s="1324"/>
      <c r="L1037" s="1325"/>
      <c r="M1037" s="1336"/>
      <c r="N1037" s="1338"/>
      <c r="O1037" s="1335"/>
      <c r="P1037" s="1316"/>
      <c r="R1037" s="1352"/>
      <c r="S1037" s="1352"/>
      <c r="T1037" s="1352">
        <f>+Tabla16[[#This Row],[CDPS A 31 JULIO 2022]]-Tabla16[[#This Row],[CDP]]</f>
        <v>0</v>
      </c>
      <c r="U1037" s="1352"/>
      <c r="V1037" s="1352"/>
      <c r="W1037" s="1352"/>
    </row>
    <row r="1038" spans="1:23" s="1317" customFormat="1" ht="45" hidden="1" customHeight="1" x14ac:dyDescent="0.3">
      <c r="A1038" s="1322"/>
      <c r="B1038" s="1339"/>
      <c r="C1038" s="1345"/>
      <c r="D1038" s="1334"/>
      <c r="E1038" s="1335"/>
      <c r="F1038" s="1335"/>
      <c r="G1038" s="1327"/>
      <c r="H1038" s="1327"/>
      <c r="I1038" s="1323"/>
      <c r="J1038" s="1323"/>
      <c r="K1038" s="1324"/>
      <c r="L1038" s="1325"/>
      <c r="M1038" s="1336"/>
      <c r="N1038" s="1338"/>
      <c r="O1038" s="1335"/>
      <c r="P1038" s="1316"/>
      <c r="R1038" s="1352"/>
      <c r="S1038" s="1352"/>
      <c r="T1038" s="1352">
        <f>+Tabla16[[#This Row],[CDPS A 31 JULIO 2022]]-Tabla16[[#This Row],[CDP]]</f>
        <v>0</v>
      </c>
      <c r="U1038" s="1352"/>
      <c r="V1038" s="1352"/>
      <c r="W1038" s="1352"/>
    </row>
    <row r="1039" spans="1:23" s="1317" customFormat="1" ht="45" hidden="1" customHeight="1" x14ac:dyDescent="0.3">
      <c r="A1039" s="1322"/>
      <c r="B1039" s="1339"/>
      <c r="C1039" s="1345"/>
      <c r="D1039" s="1334"/>
      <c r="E1039" s="1335"/>
      <c r="F1039" s="1335"/>
      <c r="G1039" s="1327"/>
      <c r="H1039" s="1327"/>
      <c r="I1039" s="1323"/>
      <c r="J1039" s="1323"/>
      <c r="K1039" s="1324"/>
      <c r="L1039" s="1325"/>
      <c r="M1039" s="1336"/>
      <c r="N1039" s="1338"/>
      <c r="O1039" s="1335"/>
      <c r="P1039" s="1316"/>
      <c r="R1039" s="1352"/>
      <c r="S1039" s="1352"/>
      <c r="T1039" s="1352">
        <f>+Tabla16[[#This Row],[CDPS A 31 JULIO 2022]]-Tabla16[[#This Row],[CDP]]</f>
        <v>0</v>
      </c>
      <c r="U1039" s="1352"/>
      <c r="V1039" s="1352"/>
      <c r="W1039" s="1352"/>
    </row>
    <row r="1040" spans="1:23" s="1317" customFormat="1" ht="45" hidden="1" customHeight="1" x14ac:dyDescent="0.3">
      <c r="A1040" s="1322"/>
      <c r="B1040" s="1339"/>
      <c r="C1040" s="1345"/>
      <c r="D1040" s="1334"/>
      <c r="E1040" s="1335"/>
      <c r="F1040" s="1335"/>
      <c r="G1040" s="1327"/>
      <c r="H1040" s="1327"/>
      <c r="I1040" s="1323"/>
      <c r="J1040" s="1323"/>
      <c r="K1040" s="1324"/>
      <c r="L1040" s="1325"/>
      <c r="M1040" s="1336"/>
      <c r="N1040" s="1338"/>
      <c r="O1040" s="1335"/>
      <c r="P1040" s="1316"/>
      <c r="R1040" s="1352"/>
      <c r="S1040" s="1352"/>
      <c r="T1040" s="1352">
        <f>+Tabla16[[#This Row],[CDPS A 31 JULIO 2022]]-Tabla16[[#This Row],[CDP]]</f>
        <v>0</v>
      </c>
      <c r="U1040" s="1352"/>
      <c r="V1040" s="1352"/>
      <c r="W1040" s="1352"/>
    </row>
    <row r="1041" spans="1:23" s="1317" customFormat="1" ht="45" hidden="1" customHeight="1" x14ac:dyDescent="0.3">
      <c r="A1041" s="1322"/>
      <c r="B1041" s="1339"/>
      <c r="C1041" s="1345"/>
      <c r="D1041" s="1334"/>
      <c r="E1041" s="1335"/>
      <c r="F1041" s="1335"/>
      <c r="G1041" s="1327"/>
      <c r="H1041" s="1327"/>
      <c r="I1041" s="1323"/>
      <c r="J1041" s="1323"/>
      <c r="K1041" s="1324"/>
      <c r="L1041" s="1325"/>
      <c r="M1041" s="1336"/>
      <c r="N1041" s="1338"/>
      <c r="O1041" s="1335"/>
      <c r="P1041" s="1316"/>
      <c r="R1041" s="1352"/>
      <c r="S1041" s="1352"/>
      <c r="T1041" s="1352">
        <f>+Tabla16[[#This Row],[CDPS A 31 JULIO 2022]]-Tabla16[[#This Row],[CDP]]</f>
        <v>0</v>
      </c>
      <c r="U1041" s="1352"/>
      <c r="V1041" s="1352"/>
      <c r="W1041" s="1352"/>
    </row>
    <row r="1042" spans="1:23" s="1317" customFormat="1" ht="45" hidden="1" customHeight="1" x14ac:dyDescent="0.3">
      <c r="A1042" s="1322"/>
      <c r="B1042" s="1339"/>
      <c r="C1042" s="1345"/>
      <c r="D1042" s="1334"/>
      <c r="E1042" s="1335"/>
      <c r="F1042" s="1335"/>
      <c r="G1042" s="1327"/>
      <c r="H1042" s="1327"/>
      <c r="I1042" s="1323"/>
      <c r="J1042" s="1323"/>
      <c r="K1042" s="1324"/>
      <c r="L1042" s="1325"/>
      <c r="M1042" s="1336"/>
      <c r="N1042" s="1338"/>
      <c r="O1042" s="1335"/>
      <c r="P1042" s="1316"/>
      <c r="R1042" s="1352"/>
      <c r="S1042" s="1352"/>
      <c r="T1042" s="1352">
        <f>+Tabla16[[#This Row],[CDPS A 31 JULIO 2022]]-Tabla16[[#This Row],[CDP]]</f>
        <v>0</v>
      </c>
      <c r="U1042" s="1352"/>
      <c r="V1042" s="1352"/>
      <c r="W1042" s="1352"/>
    </row>
    <row r="1043" spans="1:23" s="1317" customFormat="1" ht="45" hidden="1" customHeight="1" x14ac:dyDescent="0.3">
      <c r="A1043" s="1322"/>
      <c r="B1043" s="1339"/>
      <c r="C1043" s="1345"/>
      <c r="D1043" s="1334"/>
      <c r="E1043" s="1335"/>
      <c r="F1043" s="1335"/>
      <c r="G1043" s="1327"/>
      <c r="H1043" s="1327"/>
      <c r="I1043" s="1323"/>
      <c r="J1043" s="1323"/>
      <c r="K1043" s="1324"/>
      <c r="L1043" s="1325"/>
      <c r="M1043" s="1336"/>
      <c r="N1043" s="1338"/>
      <c r="O1043" s="1335"/>
      <c r="P1043" s="1316"/>
      <c r="R1043" s="1352"/>
      <c r="S1043" s="1352"/>
      <c r="T1043" s="1352">
        <f>+Tabla16[[#This Row],[CDPS A 31 JULIO 2022]]-Tabla16[[#This Row],[CDP]]</f>
        <v>0</v>
      </c>
      <c r="U1043" s="1352"/>
      <c r="V1043" s="1352"/>
      <c r="W1043" s="1352"/>
    </row>
    <row r="1044" spans="1:23" s="1317" customFormat="1" ht="45" hidden="1" customHeight="1" x14ac:dyDescent="0.3">
      <c r="A1044" s="1322"/>
      <c r="B1044" s="1339"/>
      <c r="C1044" s="1345"/>
      <c r="D1044" s="1334"/>
      <c r="E1044" s="1335"/>
      <c r="F1044" s="1335"/>
      <c r="G1044" s="1327"/>
      <c r="H1044" s="1327"/>
      <c r="I1044" s="1323"/>
      <c r="J1044" s="1323"/>
      <c r="K1044" s="1324"/>
      <c r="L1044" s="1325"/>
      <c r="M1044" s="1336"/>
      <c r="N1044" s="1338"/>
      <c r="O1044" s="1335"/>
      <c r="P1044" s="1316"/>
      <c r="R1044" s="1352"/>
      <c r="S1044" s="1352"/>
      <c r="T1044" s="1352">
        <f>+Tabla16[[#This Row],[CDPS A 31 JULIO 2022]]-Tabla16[[#This Row],[CDP]]</f>
        <v>0</v>
      </c>
      <c r="U1044" s="1352"/>
      <c r="V1044" s="1352"/>
      <c r="W1044" s="1352"/>
    </row>
    <row r="1045" spans="1:23" s="1317" customFormat="1" ht="45" hidden="1" customHeight="1" x14ac:dyDescent="0.3">
      <c r="A1045" s="1322"/>
      <c r="B1045" s="1339"/>
      <c r="C1045" s="1345"/>
      <c r="D1045" s="1334"/>
      <c r="E1045" s="1335"/>
      <c r="F1045" s="1335"/>
      <c r="G1045" s="1327"/>
      <c r="H1045" s="1327"/>
      <c r="I1045" s="1323"/>
      <c r="J1045" s="1323"/>
      <c r="K1045" s="1324"/>
      <c r="L1045" s="1325"/>
      <c r="M1045" s="1336"/>
      <c r="N1045" s="1338"/>
      <c r="O1045" s="1335"/>
      <c r="P1045" s="1316"/>
      <c r="R1045" s="1352"/>
      <c r="S1045" s="1352"/>
      <c r="T1045" s="1352">
        <f>+Tabla16[[#This Row],[CDPS A 31 JULIO 2022]]-Tabla16[[#This Row],[CDP]]</f>
        <v>0</v>
      </c>
      <c r="U1045" s="1352"/>
      <c r="V1045" s="1352"/>
      <c r="W1045" s="1352"/>
    </row>
    <row r="1046" spans="1:23" s="1317" customFormat="1" ht="45" hidden="1" customHeight="1" x14ac:dyDescent="0.3">
      <c r="A1046" s="1322"/>
      <c r="B1046" s="1339"/>
      <c r="C1046" s="1345"/>
      <c r="D1046" s="1334"/>
      <c r="E1046" s="1335"/>
      <c r="F1046" s="1335"/>
      <c r="G1046" s="1327"/>
      <c r="H1046" s="1327"/>
      <c r="I1046" s="1323"/>
      <c r="J1046" s="1323"/>
      <c r="K1046" s="1324"/>
      <c r="L1046" s="1325"/>
      <c r="M1046" s="1336"/>
      <c r="N1046" s="1338"/>
      <c r="O1046" s="1335"/>
      <c r="P1046" s="1316"/>
      <c r="R1046" s="1352"/>
      <c r="S1046" s="1352"/>
      <c r="T1046" s="1352">
        <f>+Tabla16[[#This Row],[CDPS A 31 JULIO 2022]]-Tabla16[[#This Row],[CDP]]</f>
        <v>0</v>
      </c>
      <c r="U1046" s="1352"/>
      <c r="V1046" s="1352"/>
      <c r="W1046" s="1352"/>
    </row>
    <row r="1047" spans="1:23" s="1317" customFormat="1" ht="45" hidden="1" customHeight="1" x14ac:dyDescent="0.3">
      <c r="A1047" s="1322"/>
      <c r="B1047" s="1339"/>
      <c r="C1047" s="1345"/>
      <c r="D1047" s="1334"/>
      <c r="E1047" s="1335"/>
      <c r="F1047" s="1335"/>
      <c r="G1047" s="1327"/>
      <c r="H1047" s="1327"/>
      <c r="I1047" s="1323"/>
      <c r="J1047" s="1323"/>
      <c r="K1047" s="1324"/>
      <c r="L1047" s="1325"/>
      <c r="M1047" s="1336"/>
      <c r="N1047" s="1338"/>
      <c r="O1047" s="1335"/>
      <c r="P1047" s="1316"/>
      <c r="R1047" s="1352"/>
      <c r="S1047" s="1352"/>
      <c r="T1047" s="1352">
        <f>+Tabla16[[#This Row],[CDPS A 31 JULIO 2022]]-Tabla16[[#This Row],[CDP]]</f>
        <v>0</v>
      </c>
      <c r="U1047" s="1352"/>
      <c r="V1047" s="1352"/>
      <c r="W1047" s="1352"/>
    </row>
    <row r="1048" spans="1:23" s="1317" customFormat="1" ht="45" hidden="1" customHeight="1" x14ac:dyDescent="0.3">
      <c r="A1048" s="1322"/>
      <c r="B1048" s="1339"/>
      <c r="C1048" s="1345"/>
      <c r="D1048" s="1334"/>
      <c r="E1048" s="1335"/>
      <c r="F1048" s="1335"/>
      <c r="G1048" s="1327"/>
      <c r="H1048" s="1327"/>
      <c r="I1048" s="1323"/>
      <c r="J1048" s="1323"/>
      <c r="K1048" s="1324"/>
      <c r="L1048" s="1325"/>
      <c r="M1048" s="1336"/>
      <c r="N1048" s="1338"/>
      <c r="O1048" s="1335"/>
      <c r="P1048" s="1316"/>
      <c r="R1048" s="1352"/>
      <c r="S1048" s="1352"/>
      <c r="T1048" s="1352">
        <f>+Tabla16[[#This Row],[CDPS A 31 JULIO 2022]]-Tabla16[[#This Row],[CDP]]</f>
        <v>0</v>
      </c>
      <c r="U1048" s="1352"/>
      <c r="V1048" s="1352"/>
      <c r="W1048" s="1352"/>
    </row>
    <row r="1049" spans="1:23" s="1317" customFormat="1" ht="45" hidden="1" customHeight="1" x14ac:dyDescent="0.3">
      <c r="A1049" s="1322"/>
      <c r="B1049" s="1339"/>
      <c r="C1049" s="1345"/>
      <c r="D1049" s="1334"/>
      <c r="E1049" s="1335"/>
      <c r="F1049" s="1335"/>
      <c r="G1049" s="1327"/>
      <c r="H1049" s="1327"/>
      <c r="I1049" s="1323"/>
      <c r="J1049" s="1323"/>
      <c r="K1049" s="1324"/>
      <c r="L1049" s="1325"/>
      <c r="M1049" s="1336"/>
      <c r="N1049" s="1338"/>
      <c r="O1049" s="1335"/>
      <c r="P1049" s="1316"/>
      <c r="R1049" s="1352"/>
      <c r="S1049" s="1352"/>
      <c r="T1049" s="1352">
        <f>+Tabla16[[#This Row],[CDPS A 31 JULIO 2022]]-Tabla16[[#This Row],[CDP]]</f>
        <v>0</v>
      </c>
      <c r="U1049" s="1352"/>
      <c r="V1049" s="1352"/>
      <c r="W1049" s="1352"/>
    </row>
    <row r="1050" spans="1:23" s="1317" customFormat="1" ht="45" hidden="1" customHeight="1" x14ac:dyDescent="0.3">
      <c r="A1050" s="1322"/>
      <c r="B1050" s="1339"/>
      <c r="C1050" s="1345"/>
      <c r="D1050" s="1334"/>
      <c r="E1050" s="1335"/>
      <c r="F1050" s="1335"/>
      <c r="G1050" s="1327"/>
      <c r="H1050" s="1327"/>
      <c r="I1050" s="1323"/>
      <c r="J1050" s="1323"/>
      <c r="K1050" s="1324"/>
      <c r="L1050" s="1325"/>
      <c r="M1050" s="1336"/>
      <c r="N1050" s="1338"/>
      <c r="O1050" s="1335"/>
      <c r="P1050" s="1316"/>
      <c r="R1050" s="1352"/>
      <c r="S1050" s="1352"/>
      <c r="T1050" s="1352">
        <f>+Tabla16[[#This Row],[CDPS A 31 JULIO 2022]]-Tabla16[[#This Row],[CDP]]</f>
        <v>0</v>
      </c>
      <c r="U1050" s="1352"/>
      <c r="V1050" s="1352"/>
      <c r="W1050" s="1352"/>
    </row>
    <row r="1051" spans="1:23" s="1317" customFormat="1" ht="45" hidden="1" customHeight="1" x14ac:dyDescent="0.3">
      <c r="A1051" s="1322"/>
      <c r="B1051" s="1339"/>
      <c r="C1051" s="1345"/>
      <c r="D1051" s="1334"/>
      <c r="E1051" s="1335"/>
      <c r="F1051" s="1335"/>
      <c r="G1051" s="1327"/>
      <c r="H1051" s="1327"/>
      <c r="I1051" s="1323"/>
      <c r="J1051" s="1323"/>
      <c r="K1051" s="1324"/>
      <c r="L1051" s="1325"/>
      <c r="M1051" s="1336"/>
      <c r="N1051" s="1338"/>
      <c r="O1051" s="1335"/>
      <c r="P1051" s="1316"/>
      <c r="R1051" s="1352"/>
      <c r="S1051" s="1352"/>
      <c r="T1051" s="1352">
        <f>+Tabla16[[#This Row],[CDPS A 31 JULIO 2022]]-Tabla16[[#This Row],[CDP]]</f>
        <v>0</v>
      </c>
      <c r="U1051" s="1352"/>
      <c r="V1051" s="1352"/>
      <c r="W1051" s="1352"/>
    </row>
    <row r="1052" spans="1:23" s="1317" customFormat="1" ht="45" hidden="1" customHeight="1" x14ac:dyDescent="0.3">
      <c r="A1052" s="1322"/>
      <c r="B1052" s="1339"/>
      <c r="C1052" s="1345"/>
      <c r="D1052" s="1334"/>
      <c r="E1052" s="1335"/>
      <c r="F1052" s="1335"/>
      <c r="G1052" s="1327"/>
      <c r="H1052" s="1327"/>
      <c r="I1052" s="1323"/>
      <c r="J1052" s="1323"/>
      <c r="K1052" s="1324"/>
      <c r="L1052" s="1325"/>
      <c r="M1052" s="1336"/>
      <c r="N1052" s="1338"/>
      <c r="O1052" s="1335"/>
      <c r="P1052" s="1316"/>
      <c r="R1052" s="1352"/>
      <c r="S1052" s="1352"/>
      <c r="T1052" s="1352">
        <f>+Tabla16[[#This Row],[CDPS A 31 JULIO 2022]]-Tabla16[[#This Row],[CDP]]</f>
        <v>0</v>
      </c>
      <c r="U1052" s="1352"/>
      <c r="V1052" s="1352"/>
      <c r="W1052" s="1352"/>
    </row>
    <row r="1053" spans="1:23" s="1317" customFormat="1" ht="45" hidden="1" customHeight="1" x14ac:dyDescent="0.3">
      <c r="A1053" s="1322"/>
      <c r="B1053" s="1339"/>
      <c r="C1053" s="1345"/>
      <c r="D1053" s="1334"/>
      <c r="E1053" s="1335"/>
      <c r="F1053" s="1335"/>
      <c r="G1053" s="1327"/>
      <c r="H1053" s="1327"/>
      <c r="I1053" s="1323"/>
      <c r="J1053" s="1323"/>
      <c r="K1053" s="1324"/>
      <c r="L1053" s="1325"/>
      <c r="M1053" s="1336"/>
      <c r="N1053" s="1338"/>
      <c r="O1053" s="1335"/>
      <c r="P1053" s="1316"/>
      <c r="R1053" s="1352"/>
      <c r="S1053" s="1352"/>
      <c r="T1053" s="1352">
        <f>+Tabla16[[#This Row],[CDPS A 31 JULIO 2022]]-Tabla16[[#This Row],[CDP]]</f>
        <v>0</v>
      </c>
      <c r="U1053" s="1352"/>
      <c r="V1053" s="1352"/>
      <c r="W1053" s="1352"/>
    </row>
    <row r="1054" spans="1:23" s="1317" customFormat="1" ht="45" hidden="1" customHeight="1" x14ac:dyDescent="0.3">
      <c r="A1054" s="1322"/>
      <c r="B1054" s="1339"/>
      <c r="C1054" s="1345"/>
      <c r="D1054" s="1334"/>
      <c r="E1054" s="1335"/>
      <c r="F1054" s="1335"/>
      <c r="G1054" s="1327"/>
      <c r="H1054" s="1327"/>
      <c r="I1054" s="1323"/>
      <c r="J1054" s="1323"/>
      <c r="K1054" s="1324"/>
      <c r="L1054" s="1325"/>
      <c r="M1054" s="1336"/>
      <c r="N1054" s="1338"/>
      <c r="O1054" s="1335"/>
      <c r="P1054" s="1316"/>
      <c r="R1054" s="1352"/>
      <c r="S1054" s="1352"/>
      <c r="T1054" s="1352">
        <f>+Tabla16[[#This Row],[CDPS A 31 JULIO 2022]]-Tabla16[[#This Row],[CDP]]</f>
        <v>0</v>
      </c>
      <c r="U1054" s="1352"/>
      <c r="V1054" s="1352"/>
      <c r="W1054" s="1352"/>
    </row>
    <row r="1055" spans="1:23" s="1317" customFormat="1" ht="45" hidden="1" customHeight="1" x14ac:dyDescent="0.3">
      <c r="A1055" s="1322"/>
      <c r="B1055" s="1339"/>
      <c r="C1055" s="1345"/>
      <c r="D1055" s="1334"/>
      <c r="E1055" s="1335"/>
      <c r="F1055" s="1335"/>
      <c r="G1055" s="1327"/>
      <c r="H1055" s="1327"/>
      <c r="I1055" s="1323"/>
      <c r="J1055" s="1323"/>
      <c r="K1055" s="1324"/>
      <c r="L1055" s="1325"/>
      <c r="M1055" s="1336"/>
      <c r="N1055" s="1338"/>
      <c r="O1055" s="1335"/>
      <c r="P1055" s="1316"/>
      <c r="R1055" s="1352"/>
      <c r="S1055" s="1352"/>
      <c r="T1055" s="1352">
        <f>+Tabla16[[#This Row],[CDPS A 31 JULIO 2022]]-Tabla16[[#This Row],[CDP]]</f>
        <v>0</v>
      </c>
      <c r="U1055" s="1352"/>
      <c r="V1055" s="1352"/>
      <c r="W1055" s="1352"/>
    </row>
    <row r="1056" spans="1:23" s="1317" customFormat="1" ht="45" hidden="1" customHeight="1" x14ac:dyDescent="0.3">
      <c r="A1056" s="1322"/>
      <c r="B1056" s="1339"/>
      <c r="C1056" s="1345"/>
      <c r="D1056" s="1334"/>
      <c r="E1056" s="1335"/>
      <c r="F1056" s="1335"/>
      <c r="G1056" s="1327"/>
      <c r="H1056" s="1327"/>
      <c r="I1056" s="1323"/>
      <c r="J1056" s="1323"/>
      <c r="K1056" s="1324"/>
      <c r="L1056" s="1325"/>
      <c r="M1056" s="1336"/>
      <c r="N1056" s="1338"/>
      <c r="O1056" s="1335"/>
      <c r="P1056" s="1316"/>
      <c r="R1056" s="1352"/>
      <c r="S1056" s="1352"/>
      <c r="T1056" s="1352">
        <f>+Tabla16[[#This Row],[CDPS A 31 JULIO 2022]]-Tabla16[[#This Row],[CDP]]</f>
        <v>0</v>
      </c>
      <c r="U1056" s="1352"/>
      <c r="V1056" s="1352"/>
      <c r="W1056" s="1352"/>
    </row>
    <row r="1057" spans="1:23" s="1317" customFormat="1" ht="45" hidden="1" customHeight="1" x14ac:dyDescent="0.3">
      <c r="A1057" s="1322"/>
      <c r="B1057" s="1339"/>
      <c r="C1057" s="1345"/>
      <c r="D1057" s="1334"/>
      <c r="E1057" s="1335"/>
      <c r="F1057" s="1335"/>
      <c r="G1057" s="1327"/>
      <c r="H1057" s="1327"/>
      <c r="I1057" s="1323"/>
      <c r="J1057" s="1323"/>
      <c r="K1057" s="1324"/>
      <c r="L1057" s="1325"/>
      <c r="M1057" s="1336"/>
      <c r="N1057" s="1338"/>
      <c r="O1057" s="1335"/>
      <c r="P1057" s="1316"/>
      <c r="R1057" s="1352"/>
      <c r="S1057" s="1352"/>
      <c r="T1057" s="1352">
        <f>+Tabla16[[#This Row],[CDPS A 31 JULIO 2022]]-Tabla16[[#This Row],[CDP]]</f>
        <v>0</v>
      </c>
      <c r="U1057" s="1352"/>
      <c r="V1057" s="1352"/>
      <c r="W1057" s="1352"/>
    </row>
    <row r="1058" spans="1:23" s="1317" customFormat="1" ht="45" hidden="1" customHeight="1" x14ac:dyDescent="0.3">
      <c r="A1058" s="1322"/>
      <c r="B1058" s="1339"/>
      <c r="C1058" s="1345"/>
      <c r="D1058" s="1334"/>
      <c r="E1058" s="1335"/>
      <c r="F1058" s="1335"/>
      <c r="G1058" s="1327"/>
      <c r="H1058" s="1327"/>
      <c r="I1058" s="1323"/>
      <c r="J1058" s="1323"/>
      <c r="K1058" s="1324"/>
      <c r="L1058" s="1325"/>
      <c r="M1058" s="1336"/>
      <c r="N1058" s="1338"/>
      <c r="O1058" s="1335"/>
      <c r="P1058" s="1316"/>
      <c r="R1058" s="1352"/>
      <c r="S1058" s="1352"/>
      <c r="T1058" s="1352">
        <f>+Tabla16[[#This Row],[CDPS A 31 JULIO 2022]]-Tabla16[[#This Row],[CDP]]</f>
        <v>0</v>
      </c>
      <c r="U1058" s="1352"/>
      <c r="V1058" s="1352"/>
      <c r="W1058" s="1352"/>
    </row>
    <row r="1059" spans="1:23" s="1317" customFormat="1" ht="45" hidden="1" customHeight="1" x14ac:dyDescent="0.3">
      <c r="A1059" s="1322"/>
      <c r="B1059" s="1339"/>
      <c r="C1059" s="1345"/>
      <c r="D1059" s="1334"/>
      <c r="E1059" s="1335"/>
      <c r="F1059" s="1335"/>
      <c r="G1059" s="1327"/>
      <c r="H1059" s="1327"/>
      <c r="I1059" s="1323"/>
      <c r="J1059" s="1323"/>
      <c r="K1059" s="1324"/>
      <c r="L1059" s="1325"/>
      <c r="M1059" s="1336"/>
      <c r="N1059" s="1338"/>
      <c r="O1059" s="1335"/>
      <c r="P1059" s="1316"/>
      <c r="R1059" s="1352"/>
      <c r="S1059" s="1352"/>
      <c r="T1059" s="1352">
        <f>+Tabla16[[#This Row],[CDPS A 31 JULIO 2022]]-Tabla16[[#This Row],[CDP]]</f>
        <v>0</v>
      </c>
      <c r="U1059" s="1352"/>
      <c r="V1059" s="1352"/>
      <c r="W1059" s="1352"/>
    </row>
    <row r="1060" spans="1:23" s="1317" customFormat="1" ht="45" hidden="1" customHeight="1" x14ac:dyDescent="0.3">
      <c r="A1060" s="1322"/>
      <c r="B1060" s="1339"/>
      <c r="C1060" s="1345"/>
      <c r="D1060" s="1334"/>
      <c r="E1060" s="1335"/>
      <c r="F1060" s="1335"/>
      <c r="G1060" s="1327"/>
      <c r="H1060" s="1327"/>
      <c r="I1060" s="1323"/>
      <c r="J1060" s="1323"/>
      <c r="K1060" s="1324"/>
      <c r="L1060" s="1325"/>
      <c r="M1060" s="1336"/>
      <c r="N1060" s="1338"/>
      <c r="O1060" s="1335"/>
      <c r="P1060" s="1316"/>
      <c r="R1060" s="1352"/>
      <c r="S1060" s="1352"/>
      <c r="T1060" s="1352">
        <f>+Tabla16[[#This Row],[CDPS A 31 JULIO 2022]]-Tabla16[[#This Row],[CDP]]</f>
        <v>0</v>
      </c>
      <c r="U1060" s="1352"/>
      <c r="V1060" s="1352"/>
      <c r="W1060" s="1352"/>
    </row>
    <row r="1061" spans="1:23" s="1317" customFormat="1" ht="45" hidden="1" customHeight="1" x14ac:dyDescent="0.3">
      <c r="A1061" s="1322"/>
      <c r="B1061" s="1339"/>
      <c r="C1061" s="1345"/>
      <c r="D1061" s="1334"/>
      <c r="E1061" s="1335"/>
      <c r="F1061" s="1335"/>
      <c r="G1061" s="1327"/>
      <c r="H1061" s="1327"/>
      <c r="I1061" s="1323"/>
      <c r="J1061" s="1323"/>
      <c r="K1061" s="1324"/>
      <c r="L1061" s="1325"/>
      <c r="M1061" s="1336"/>
      <c r="N1061" s="1338"/>
      <c r="O1061" s="1335"/>
      <c r="P1061" s="1316"/>
      <c r="R1061" s="1352"/>
      <c r="S1061" s="1352"/>
      <c r="T1061" s="1352">
        <f>+Tabla16[[#This Row],[CDPS A 31 JULIO 2022]]-Tabla16[[#This Row],[CDP]]</f>
        <v>0</v>
      </c>
      <c r="U1061" s="1352"/>
      <c r="V1061" s="1352"/>
      <c r="W1061" s="1352"/>
    </row>
    <row r="1062" spans="1:23" s="1317" customFormat="1" ht="45" hidden="1" customHeight="1" x14ac:dyDescent="0.3">
      <c r="A1062" s="1322"/>
      <c r="B1062" s="1339"/>
      <c r="C1062" s="1345"/>
      <c r="D1062" s="1334"/>
      <c r="E1062" s="1335"/>
      <c r="F1062" s="1335"/>
      <c r="G1062" s="1327"/>
      <c r="H1062" s="1327"/>
      <c r="I1062" s="1323"/>
      <c r="J1062" s="1323"/>
      <c r="K1062" s="1324"/>
      <c r="L1062" s="1325"/>
      <c r="M1062" s="1336"/>
      <c r="N1062" s="1338"/>
      <c r="O1062" s="1335"/>
      <c r="P1062" s="1316"/>
      <c r="R1062" s="1352"/>
      <c r="S1062" s="1352"/>
      <c r="T1062" s="1352">
        <f>+Tabla16[[#This Row],[CDPS A 31 JULIO 2022]]-Tabla16[[#This Row],[CDP]]</f>
        <v>0</v>
      </c>
      <c r="U1062" s="1352"/>
      <c r="V1062" s="1352"/>
      <c r="W1062" s="1352"/>
    </row>
    <row r="1063" spans="1:23" s="1317" customFormat="1" ht="45" hidden="1" customHeight="1" x14ac:dyDescent="0.3">
      <c r="A1063" s="1322"/>
      <c r="B1063" s="1339"/>
      <c r="C1063" s="1345"/>
      <c r="D1063" s="1334"/>
      <c r="E1063" s="1335"/>
      <c r="F1063" s="1335"/>
      <c r="G1063" s="1327"/>
      <c r="H1063" s="1327"/>
      <c r="I1063" s="1323"/>
      <c r="J1063" s="1323"/>
      <c r="K1063" s="1324"/>
      <c r="L1063" s="1325"/>
      <c r="M1063" s="1336"/>
      <c r="N1063" s="1338"/>
      <c r="O1063" s="1335"/>
      <c r="P1063" s="1316"/>
      <c r="R1063" s="1352"/>
      <c r="S1063" s="1352"/>
      <c r="T1063" s="1352">
        <f>+Tabla16[[#This Row],[CDPS A 31 JULIO 2022]]-Tabla16[[#This Row],[CDP]]</f>
        <v>0</v>
      </c>
      <c r="U1063" s="1352"/>
      <c r="V1063" s="1352"/>
      <c r="W1063" s="1352"/>
    </row>
    <row r="1064" spans="1:23" s="1317" customFormat="1" ht="45" hidden="1" customHeight="1" x14ac:dyDescent="0.3">
      <c r="A1064" s="1322"/>
      <c r="B1064" s="1339"/>
      <c r="C1064" s="1345"/>
      <c r="D1064" s="1334"/>
      <c r="E1064" s="1335"/>
      <c r="F1064" s="1335"/>
      <c r="G1064" s="1327"/>
      <c r="H1064" s="1327"/>
      <c r="I1064" s="1323"/>
      <c r="J1064" s="1323"/>
      <c r="K1064" s="1324"/>
      <c r="L1064" s="1325"/>
      <c r="M1064" s="1336"/>
      <c r="N1064" s="1338"/>
      <c r="O1064" s="1335"/>
      <c r="P1064" s="1316"/>
      <c r="R1064" s="1352"/>
      <c r="S1064" s="1352"/>
      <c r="T1064" s="1352">
        <f>+Tabla16[[#This Row],[CDPS A 31 JULIO 2022]]-Tabla16[[#This Row],[CDP]]</f>
        <v>0</v>
      </c>
      <c r="U1064" s="1352"/>
      <c r="V1064" s="1352"/>
      <c r="W1064" s="1352"/>
    </row>
    <row r="1065" spans="1:23" s="1317" customFormat="1" ht="45" hidden="1" customHeight="1" x14ac:dyDescent="0.3">
      <c r="A1065" s="1322"/>
      <c r="B1065" s="1339"/>
      <c r="C1065" s="1345"/>
      <c r="D1065" s="1334"/>
      <c r="E1065" s="1335"/>
      <c r="F1065" s="1335"/>
      <c r="G1065" s="1327"/>
      <c r="H1065" s="1327"/>
      <c r="I1065" s="1323"/>
      <c r="J1065" s="1323"/>
      <c r="K1065" s="1324"/>
      <c r="L1065" s="1325"/>
      <c r="M1065" s="1336"/>
      <c r="N1065" s="1338"/>
      <c r="O1065" s="1335"/>
      <c r="P1065" s="1316"/>
      <c r="R1065" s="1352"/>
      <c r="S1065" s="1352"/>
      <c r="T1065" s="1352">
        <f>+Tabla16[[#This Row],[CDPS A 31 JULIO 2022]]-Tabla16[[#This Row],[CDP]]</f>
        <v>0</v>
      </c>
      <c r="U1065" s="1352"/>
      <c r="V1065" s="1352"/>
      <c r="W1065" s="1352"/>
    </row>
    <row r="1066" spans="1:23" s="1317" customFormat="1" ht="45" hidden="1" customHeight="1" x14ac:dyDescent="0.3">
      <c r="A1066" s="1322"/>
      <c r="B1066" s="1339"/>
      <c r="C1066" s="1345"/>
      <c r="D1066" s="1334"/>
      <c r="E1066" s="1335"/>
      <c r="F1066" s="1335"/>
      <c r="G1066" s="1327"/>
      <c r="H1066" s="1327"/>
      <c r="I1066" s="1323"/>
      <c r="J1066" s="1323"/>
      <c r="K1066" s="1324"/>
      <c r="L1066" s="1325"/>
      <c r="M1066" s="1336"/>
      <c r="N1066" s="1338"/>
      <c r="O1066" s="1335"/>
      <c r="P1066" s="1316"/>
      <c r="R1066" s="1352"/>
      <c r="S1066" s="1352"/>
      <c r="T1066" s="1352">
        <f>+Tabla16[[#This Row],[CDPS A 31 JULIO 2022]]-Tabla16[[#This Row],[CDP]]</f>
        <v>0</v>
      </c>
      <c r="U1066" s="1352"/>
      <c r="V1066" s="1352"/>
      <c r="W1066" s="1352"/>
    </row>
    <row r="1067" spans="1:23" s="1317" customFormat="1" ht="45" hidden="1" customHeight="1" x14ac:dyDescent="0.3">
      <c r="A1067" s="1322"/>
      <c r="B1067" s="1339"/>
      <c r="C1067" s="1345"/>
      <c r="D1067" s="1334"/>
      <c r="E1067" s="1335"/>
      <c r="F1067" s="1335"/>
      <c r="G1067" s="1327"/>
      <c r="H1067" s="1327"/>
      <c r="I1067" s="1323"/>
      <c r="J1067" s="1323"/>
      <c r="K1067" s="1324"/>
      <c r="L1067" s="1325"/>
      <c r="M1067" s="1336"/>
      <c r="N1067" s="1338"/>
      <c r="O1067" s="1335"/>
      <c r="P1067" s="1316"/>
      <c r="R1067" s="1352"/>
      <c r="S1067" s="1352"/>
      <c r="T1067" s="1352">
        <f>+Tabla16[[#This Row],[CDPS A 31 JULIO 2022]]-Tabla16[[#This Row],[CDP]]</f>
        <v>0</v>
      </c>
      <c r="U1067" s="1352"/>
      <c r="V1067" s="1352"/>
      <c r="W1067" s="1352"/>
    </row>
    <row r="1068" spans="1:23" s="1317" customFormat="1" ht="45" hidden="1" customHeight="1" x14ac:dyDescent="0.3">
      <c r="A1068" s="1322"/>
      <c r="B1068" s="1339"/>
      <c r="C1068" s="1345"/>
      <c r="D1068" s="1334"/>
      <c r="E1068" s="1335"/>
      <c r="F1068" s="1335"/>
      <c r="G1068" s="1327"/>
      <c r="H1068" s="1327"/>
      <c r="I1068" s="1323"/>
      <c r="J1068" s="1323"/>
      <c r="K1068" s="1324"/>
      <c r="L1068" s="1325"/>
      <c r="M1068" s="1336"/>
      <c r="N1068" s="1338"/>
      <c r="O1068" s="1335"/>
      <c r="P1068" s="1316"/>
      <c r="R1068" s="1352"/>
      <c r="S1068" s="1352"/>
      <c r="T1068" s="1352">
        <f>+Tabla16[[#This Row],[CDPS A 31 JULIO 2022]]-Tabla16[[#This Row],[CDP]]</f>
        <v>0</v>
      </c>
      <c r="U1068" s="1352"/>
      <c r="V1068" s="1352"/>
      <c r="W1068" s="1352"/>
    </row>
    <row r="1069" spans="1:23" s="1317" customFormat="1" ht="45" hidden="1" customHeight="1" x14ac:dyDescent="0.3">
      <c r="A1069" s="1322"/>
      <c r="B1069" s="1339"/>
      <c r="C1069" s="1345"/>
      <c r="D1069" s="1334"/>
      <c r="E1069" s="1335"/>
      <c r="F1069" s="1335"/>
      <c r="G1069" s="1327"/>
      <c r="H1069" s="1327"/>
      <c r="I1069" s="1323"/>
      <c r="J1069" s="1323"/>
      <c r="K1069" s="1324"/>
      <c r="L1069" s="1325"/>
      <c r="M1069" s="1336"/>
      <c r="N1069" s="1338"/>
      <c r="O1069" s="1335"/>
      <c r="P1069" s="1316"/>
      <c r="R1069" s="1352"/>
      <c r="S1069" s="1352"/>
      <c r="T1069" s="1352">
        <f>+Tabla16[[#This Row],[CDPS A 31 JULIO 2022]]-Tabla16[[#This Row],[CDP]]</f>
        <v>0</v>
      </c>
      <c r="U1069" s="1352"/>
      <c r="V1069" s="1352"/>
      <c r="W1069" s="1352"/>
    </row>
    <row r="1070" spans="1:23" s="1317" customFormat="1" ht="45" hidden="1" customHeight="1" x14ac:dyDescent="0.3">
      <c r="A1070" s="1322"/>
      <c r="B1070" s="1339"/>
      <c r="C1070" s="1345"/>
      <c r="D1070" s="1334"/>
      <c r="E1070" s="1335"/>
      <c r="F1070" s="1335"/>
      <c r="G1070" s="1327"/>
      <c r="H1070" s="1327"/>
      <c r="I1070" s="1323"/>
      <c r="J1070" s="1323"/>
      <c r="K1070" s="1324"/>
      <c r="L1070" s="1325"/>
      <c r="M1070" s="1336"/>
      <c r="N1070" s="1338"/>
      <c r="O1070" s="1335"/>
      <c r="P1070" s="1316"/>
      <c r="R1070" s="1352"/>
      <c r="S1070" s="1352"/>
      <c r="T1070" s="1352">
        <f>+Tabla16[[#This Row],[CDPS A 31 JULIO 2022]]-Tabla16[[#This Row],[CDP]]</f>
        <v>0</v>
      </c>
      <c r="U1070" s="1352"/>
      <c r="V1070" s="1352"/>
      <c r="W1070" s="1352"/>
    </row>
    <row r="1071" spans="1:23" s="1317" customFormat="1" ht="45" hidden="1" customHeight="1" x14ac:dyDescent="0.3">
      <c r="A1071" s="1322"/>
      <c r="B1071" s="1339"/>
      <c r="C1071" s="1345"/>
      <c r="D1071" s="1334"/>
      <c r="E1071" s="1335"/>
      <c r="F1071" s="1335"/>
      <c r="G1071" s="1327"/>
      <c r="H1071" s="1327"/>
      <c r="I1071" s="1323"/>
      <c r="J1071" s="1323"/>
      <c r="K1071" s="1324"/>
      <c r="L1071" s="1325"/>
      <c r="M1071" s="1336"/>
      <c r="N1071" s="1338"/>
      <c r="O1071" s="1335"/>
      <c r="P1071" s="1316"/>
      <c r="R1071" s="1352"/>
      <c r="S1071" s="1352"/>
      <c r="T1071" s="1352">
        <f>+Tabla16[[#This Row],[CDPS A 31 JULIO 2022]]-Tabla16[[#This Row],[CDP]]</f>
        <v>0</v>
      </c>
      <c r="U1071" s="1352"/>
      <c r="V1071" s="1352"/>
      <c r="W1071" s="1352"/>
    </row>
    <row r="1072" spans="1:23" s="1317" customFormat="1" ht="45" hidden="1" customHeight="1" x14ac:dyDescent="0.3">
      <c r="A1072" s="1322"/>
      <c r="B1072" s="1339"/>
      <c r="C1072" s="1345"/>
      <c r="D1072" s="1334"/>
      <c r="E1072" s="1335"/>
      <c r="F1072" s="1335"/>
      <c r="G1072" s="1327"/>
      <c r="H1072" s="1327"/>
      <c r="I1072" s="1323"/>
      <c r="J1072" s="1323"/>
      <c r="K1072" s="1324"/>
      <c r="L1072" s="1325"/>
      <c r="M1072" s="1336"/>
      <c r="N1072" s="1338"/>
      <c r="O1072" s="1335"/>
      <c r="P1072" s="1316"/>
      <c r="R1072" s="1352"/>
      <c r="S1072" s="1352"/>
      <c r="T1072" s="1352">
        <f>+Tabla16[[#This Row],[CDPS A 31 JULIO 2022]]-Tabla16[[#This Row],[CDP]]</f>
        <v>0</v>
      </c>
      <c r="U1072" s="1352"/>
      <c r="V1072" s="1352"/>
      <c r="W1072" s="1352"/>
    </row>
    <row r="1073" spans="1:23" s="1317" customFormat="1" ht="45" hidden="1" customHeight="1" x14ac:dyDescent="0.3">
      <c r="A1073" s="1322"/>
      <c r="B1073" s="1339"/>
      <c r="C1073" s="1345"/>
      <c r="D1073" s="1334"/>
      <c r="E1073" s="1335"/>
      <c r="F1073" s="1335"/>
      <c r="G1073" s="1327"/>
      <c r="H1073" s="1327"/>
      <c r="I1073" s="1323"/>
      <c r="J1073" s="1323"/>
      <c r="K1073" s="1324"/>
      <c r="L1073" s="1325"/>
      <c r="M1073" s="1336"/>
      <c r="N1073" s="1338"/>
      <c r="O1073" s="1335"/>
      <c r="P1073" s="1316"/>
      <c r="R1073" s="1352"/>
      <c r="S1073" s="1352"/>
      <c r="T1073" s="1352">
        <f>+Tabla16[[#This Row],[CDPS A 31 JULIO 2022]]-Tabla16[[#This Row],[CDP]]</f>
        <v>0</v>
      </c>
      <c r="U1073" s="1352"/>
      <c r="V1073" s="1352"/>
      <c r="W1073" s="1352"/>
    </row>
    <row r="1074" spans="1:23" s="1317" customFormat="1" ht="45" hidden="1" customHeight="1" x14ac:dyDescent="0.3">
      <c r="A1074" s="1322"/>
      <c r="B1074" s="1339"/>
      <c r="C1074" s="1345"/>
      <c r="D1074" s="1334"/>
      <c r="E1074" s="1335"/>
      <c r="F1074" s="1335"/>
      <c r="G1074" s="1327"/>
      <c r="H1074" s="1327"/>
      <c r="I1074" s="1323"/>
      <c r="J1074" s="1323"/>
      <c r="K1074" s="1324"/>
      <c r="L1074" s="1325"/>
      <c r="M1074" s="1336"/>
      <c r="N1074" s="1338"/>
      <c r="O1074" s="1335"/>
      <c r="P1074" s="1316"/>
      <c r="R1074" s="1352"/>
      <c r="S1074" s="1352"/>
      <c r="T1074" s="1352">
        <f>+Tabla16[[#This Row],[CDPS A 31 JULIO 2022]]-Tabla16[[#This Row],[CDP]]</f>
        <v>0</v>
      </c>
      <c r="U1074" s="1352"/>
      <c r="V1074" s="1352"/>
      <c r="W1074" s="1352"/>
    </row>
    <row r="1075" spans="1:23" s="1317" customFormat="1" ht="45" hidden="1" customHeight="1" x14ac:dyDescent="0.3">
      <c r="A1075" s="1322"/>
      <c r="B1075" s="1339"/>
      <c r="C1075" s="1345"/>
      <c r="D1075" s="1334"/>
      <c r="E1075" s="1335"/>
      <c r="F1075" s="1335"/>
      <c r="G1075" s="1327"/>
      <c r="H1075" s="1327"/>
      <c r="I1075" s="1323"/>
      <c r="J1075" s="1323"/>
      <c r="K1075" s="1324"/>
      <c r="L1075" s="1325"/>
      <c r="M1075" s="1336"/>
      <c r="N1075" s="1338"/>
      <c r="O1075" s="1335"/>
      <c r="P1075" s="1316"/>
      <c r="R1075" s="1352"/>
      <c r="S1075" s="1352"/>
      <c r="T1075" s="1352">
        <f>+Tabla16[[#This Row],[CDPS A 31 JULIO 2022]]-Tabla16[[#This Row],[CDP]]</f>
        <v>0</v>
      </c>
      <c r="U1075" s="1352"/>
      <c r="V1075" s="1352"/>
      <c r="W1075" s="1352"/>
    </row>
    <row r="1076" spans="1:23" s="1317" customFormat="1" ht="45" hidden="1" customHeight="1" x14ac:dyDescent="0.3">
      <c r="A1076" s="1322"/>
      <c r="B1076" s="1339"/>
      <c r="C1076" s="1345"/>
      <c r="D1076" s="1334"/>
      <c r="E1076" s="1335"/>
      <c r="F1076" s="1335"/>
      <c r="G1076" s="1327"/>
      <c r="H1076" s="1327"/>
      <c r="I1076" s="1323"/>
      <c r="J1076" s="1323"/>
      <c r="K1076" s="1324"/>
      <c r="L1076" s="1325"/>
      <c r="M1076" s="1336"/>
      <c r="N1076" s="1338"/>
      <c r="O1076" s="1335"/>
      <c r="P1076" s="1316"/>
      <c r="R1076" s="1352"/>
      <c r="S1076" s="1352"/>
      <c r="T1076" s="1352">
        <f>+Tabla16[[#This Row],[CDPS A 31 JULIO 2022]]-Tabla16[[#This Row],[CDP]]</f>
        <v>0</v>
      </c>
      <c r="U1076" s="1352"/>
      <c r="V1076" s="1352"/>
      <c r="W1076" s="1352"/>
    </row>
    <row r="1077" spans="1:23" s="1317" customFormat="1" ht="45" hidden="1" customHeight="1" x14ac:dyDescent="0.3">
      <c r="A1077" s="1322"/>
      <c r="B1077" s="1339"/>
      <c r="C1077" s="1345"/>
      <c r="D1077" s="1334"/>
      <c r="E1077" s="1335"/>
      <c r="F1077" s="1335"/>
      <c r="G1077" s="1327"/>
      <c r="H1077" s="1327"/>
      <c r="I1077" s="1323"/>
      <c r="J1077" s="1323"/>
      <c r="K1077" s="1324"/>
      <c r="L1077" s="1325"/>
      <c r="M1077" s="1336"/>
      <c r="N1077" s="1338"/>
      <c r="O1077" s="1335"/>
      <c r="P1077" s="1316"/>
      <c r="R1077" s="1352"/>
      <c r="S1077" s="1352"/>
      <c r="T1077" s="1352">
        <f>+Tabla16[[#This Row],[CDPS A 31 JULIO 2022]]-Tabla16[[#This Row],[CDP]]</f>
        <v>0</v>
      </c>
      <c r="U1077" s="1352"/>
      <c r="V1077" s="1352"/>
      <c r="W1077" s="1352"/>
    </row>
    <row r="1078" spans="1:23" s="1317" customFormat="1" ht="45" hidden="1" customHeight="1" x14ac:dyDescent="0.3">
      <c r="A1078" s="1322"/>
      <c r="B1078" s="1339"/>
      <c r="C1078" s="1345"/>
      <c r="D1078" s="1334"/>
      <c r="E1078" s="1335"/>
      <c r="F1078" s="1335"/>
      <c r="G1078" s="1327"/>
      <c r="H1078" s="1327"/>
      <c r="I1078" s="1323"/>
      <c r="J1078" s="1323"/>
      <c r="K1078" s="1324"/>
      <c r="L1078" s="1325"/>
      <c r="M1078" s="1336"/>
      <c r="N1078" s="1338"/>
      <c r="O1078" s="1335"/>
      <c r="P1078" s="1316"/>
      <c r="R1078" s="1352"/>
      <c r="S1078" s="1352"/>
      <c r="T1078" s="1352">
        <f>+Tabla16[[#This Row],[CDPS A 31 JULIO 2022]]-Tabla16[[#This Row],[CDP]]</f>
        <v>0</v>
      </c>
      <c r="U1078" s="1352"/>
      <c r="V1078" s="1352"/>
      <c r="W1078" s="1352"/>
    </row>
    <row r="1079" spans="1:23" s="1317" customFormat="1" ht="45" hidden="1" customHeight="1" x14ac:dyDescent="0.3">
      <c r="A1079" s="1322"/>
      <c r="B1079" s="1339"/>
      <c r="C1079" s="1345"/>
      <c r="D1079" s="1334"/>
      <c r="E1079" s="1335"/>
      <c r="F1079" s="1335"/>
      <c r="G1079" s="1327"/>
      <c r="H1079" s="1327"/>
      <c r="I1079" s="1323"/>
      <c r="J1079" s="1323"/>
      <c r="K1079" s="1324"/>
      <c r="L1079" s="1325"/>
      <c r="M1079" s="1336"/>
      <c r="N1079" s="1338"/>
      <c r="O1079" s="1335"/>
      <c r="P1079" s="1316"/>
      <c r="R1079" s="1352"/>
      <c r="S1079" s="1352"/>
      <c r="T1079" s="1352">
        <f>+Tabla16[[#This Row],[CDPS A 31 JULIO 2022]]-Tabla16[[#This Row],[CDP]]</f>
        <v>0</v>
      </c>
      <c r="U1079" s="1352"/>
      <c r="V1079" s="1352"/>
      <c r="W1079" s="1352"/>
    </row>
    <row r="1080" spans="1:23" s="1317" customFormat="1" ht="45" hidden="1" customHeight="1" x14ac:dyDescent="0.3">
      <c r="A1080" s="1322"/>
      <c r="B1080" s="1339"/>
      <c r="C1080" s="1345"/>
      <c r="D1080" s="1334"/>
      <c r="E1080" s="1335"/>
      <c r="F1080" s="1335"/>
      <c r="G1080" s="1327"/>
      <c r="H1080" s="1327"/>
      <c r="I1080" s="1323"/>
      <c r="J1080" s="1323"/>
      <c r="K1080" s="1324"/>
      <c r="L1080" s="1325"/>
      <c r="M1080" s="1336"/>
      <c r="N1080" s="1338"/>
      <c r="O1080" s="1335"/>
      <c r="P1080" s="1316"/>
      <c r="R1080" s="1352"/>
      <c r="S1080" s="1352"/>
      <c r="T1080" s="1352">
        <f>+Tabla16[[#This Row],[CDPS A 31 JULIO 2022]]-Tabla16[[#This Row],[CDP]]</f>
        <v>0</v>
      </c>
      <c r="U1080" s="1352"/>
      <c r="V1080" s="1352"/>
      <c r="W1080" s="1352"/>
    </row>
    <row r="1081" spans="1:23" s="1317" customFormat="1" ht="45" hidden="1" customHeight="1" x14ac:dyDescent="0.3">
      <c r="A1081" s="1322"/>
      <c r="B1081" s="1339"/>
      <c r="C1081" s="1345"/>
      <c r="D1081" s="1334"/>
      <c r="E1081" s="1335"/>
      <c r="F1081" s="1335"/>
      <c r="G1081" s="1327"/>
      <c r="H1081" s="1327"/>
      <c r="I1081" s="1323"/>
      <c r="J1081" s="1323"/>
      <c r="K1081" s="1324"/>
      <c r="L1081" s="1325"/>
      <c r="M1081" s="1336"/>
      <c r="N1081" s="1338"/>
      <c r="O1081" s="1335"/>
      <c r="P1081" s="1316"/>
      <c r="R1081" s="1352"/>
      <c r="S1081" s="1352"/>
      <c r="T1081" s="1352">
        <f>+Tabla16[[#This Row],[CDPS A 31 JULIO 2022]]-Tabla16[[#This Row],[CDP]]</f>
        <v>0</v>
      </c>
      <c r="U1081" s="1352"/>
      <c r="V1081" s="1352"/>
      <c r="W1081" s="1352"/>
    </row>
    <row r="1082" spans="1:23" s="1317" customFormat="1" ht="45" hidden="1" customHeight="1" x14ac:dyDescent="0.3">
      <c r="A1082" s="1322"/>
      <c r="B1082" s="1339"/>
      <c r="C1082" s="1345"/>
      <c r="D1082" s="1334"/>
      <c r="E1082" s="1335"/>
      <c r="F1082" s="1335"/>
      <c r="G1082" s="1327"/>
      <c r="H1082" s="1327"/>
      <c r="I1082" s="1323"/>
      <c r="J1082" s="1323"/>
      <c r="K1082" s="1324"/>
      <c r="L1082" s="1325"/>
      <c r="M1082" s="1336"/>
      <c r="N1082" s="1338"/>
      <c r="O1082" s="1335"/>
      <c r="P1082" s="1316"/>
      <c r="R1082" s="1352"/>
      <c r="S1082" s="1352"/>
      <c r="T1082" s="1352">
        <f>+Tabla16[[#This Row],[CDPS A 31 JULIO 2022]]-Tabla16[[#This Row],[CDP]]</f>
        <v>0</v>
      </c>
      <c r="U1082" s="1352"/>
      <c r="V1082" s="1352"/>
      <c r="W1082" s="1352"/>
    </row>
    <row r="1083" spans="1:23" s="1317" customFormat="1" ht="45" hidden="1" customHeight="1" x14ac:dyDescent="0.3">
      <c r="A1083" s="1322"/>
      <c r="B1083" s="1339"/>
      <c r="C1083" s="1345"/>
      <c r="D1083" s="1334"/>
      <c r="E1083" s="1335"/>
      <c r="F1083" s="1335"/>
      <c r="G1083" s="1327"/>
      <c r="H1083" s="1327"/>
      <c r="I1083" s="1323"/>
      <c r="J1083" s="1323"/>
      <c r="K1083" s="1324"/>
      <c r="L1083" s="1325"/>
      <c r="M1083" s="1336"/>
      <c r="N1083" s="1338"/>
      <c r="O1083" s="1335"/>
      <c r="P1083" s="1316"/>
      <c r="R1083" s="1352"/>
      <c r="S1083" s="1352"/>
      <c r="T1083" s="1352">
        <f>+Tabla16[[#This Row],[CDPS A 31 JULIO 2022]]-Tabla16[[#This Row],[CDP]]</f>
        <v>0</v>
      </c>
      <c r="U1083" s="1352"/>
      <c r="V1083" s="1352"/>
      <c r="W1083" s="1352"/>
    </row>
    <row r="1084" spans="1:23" s="1317" customFormat="1" ht="45" hidden="1" customHeight="1" x14ac:dyDescent="0.3">
      <c r="A1084" s="1322"/>
      <c r="B1084" s="1339"/>
      <c r="C1084" s="1345"/>
      <c r="D1084" s="1334"/>
      <c r="E1084" s="1335"/>
      <c r="F1084" s="1335"/>
      <c r="G1084" s="1327"/>
      <c r="H1084" s="1327"/>
      <c r="I1084" s="1323"/>
      <c r="J1084" s="1323"/>
      <c r="K1084" s="1324"/>
      <c r="L1084" s="1325"/>
      <c r="M1084" s="1336"/>
      <c r="N1084" s="1338"/>
      <c r="O1084" s="1335"/>
      <c r="P1084" s="1316"/>
      <c r="R1084" s="1352"/>
      <c r="S1084" s="1352"/>
      <c r="T1084" s="1352">
        <f>+Tabla16[[#This Row],[CDPS A 31 JULIO 2022]]-Tabla16[[#This Row],[CDP]]</f>
        <v>0</v>
      </c>
      <c r="U1084" s="1352"/>
      <c r="V1084" s="1352"/>
      <c r="W1084" s="1352"/>
    </row>
    <row r="1085" spans="1:23" s="1317" customFormat="1" ht="45" hidden="1" customHeight="1" x14ac:dyDescent="0.3">
      <c r="A1085" s="1322"/>
      <c r="B1085" s="1339"/>
      <c r="C1085" s="1345"/>
      <c r="D1085" s="1334"/>
      <c r="E1085" s="1335"/>
      <c r="F1085" s="1335"/>
      <c r="G1085" s="1327"/>
      <c r="H1085" s="1327"/>
      <c r="I1085" s="1323"/>
      <c r="J1085" s="1323"/>
      <c r="K1085" s="1324"/>
      <c r="L1085" s="1325"/>
      <c r="M1085" s="1336"/>
      <c r="N1085" s="1338"/>
      <c r="O1085" s="1335"/>
      <c r="P1085" s="1316"/>
      <c r="R1085" s="1352"/>
      <c r="S1085" s="1352"/>
      <c r="T1085" s="1352">
        <f>+Tabla16[[#This Row],[CDPS A 31 JULIO 2022]]-Tabla16[[#This Row],[CDP]]</f>
        <v>0</v>
      </c>
      <c r="U1085" s="1352"/>
      <c r="V1085" s="1352"/>
      <c r="W1085" s="1352"/>
    </row>
    <row r="1086" spans="1:23" s="1317" customFormat="1" ht="45" hidden="1" customHeight="1" x14ac:dyDescent="0.3">
      <c r="A1086" s="1322"/>
      <c r="B1086" s="1339"/>
      <c r="C1086" s="1345"/>
      <c r="D1086" s="1334"/>
      <c r="E1086" s="1335"/>
      <c r="F1086" s="1335"/>
      <c r="G1086" s="1327"/>
      <c r="H1086" s="1327"/>
      <c r="I1086" s="1323"/>
      <c r="J1086" s="1323"/>
      <c r="K1086" s="1324"/>
      <c r="L1086" s="1325"/>
      <c r="M1086" s="1336"/>
      <c r="N1086" s="1338"/>
      <c r="O1086" s="1335"/>
      <c r="P1086" s="1316"/>
      <c r="R1086" s="1352"/>
      <c r="S1086" s="1352"/>
      <c r="T1086" s="1352">
        <f>+Tabla16[[#This Row],[CDPS A 31 JULIO 2022]]-Tabla16[[#This Row],[CDP]]</f>
        <v>0</v>
      </c>
      <c r="U1086" s="1352"/>
      <c r="V1086" s="1352"/>
      <c r="W1086" s="1352"/>
    </row>
    <row r="1087" spans="1:23" s="1317" customFormat="1" ht="45" hidden="1" customHeight="1" x14ac:dyDescent="0.3">
      <c r="A1087" s="1322"/>
      <c r="B1087" s="1339"/>
      <c r="C1087" s="1345"/>
      <c r="D1087" s="1334"/>
      <c r="E1087" s="1335"/>
      <c r="F1087" s="1335"/>
      <c r="G1087" s="1327"/>
      <c r="H1087" s="1327"/>
      <c r="I1087" s="1323"/>
      <c r="J1087" s="1323"/>
      <c r="K1087" s="1324"/>
      <c r="L1087" s="1325"/>
      <c r="M1087" s="1336"/>
      <c r="N1087" s="1338"/>
      <c r="O1087" s="1335"/>
      <c r="P1087" s="1316"/>
      <c r="R1087" s="1352"/>
      <c r="S1087" s="1352"/>
      <c r="T1087" s="1352">
        <f>+Tabla16[[#This Row],[CDPS A 31 JULIO 2022]]-Tabla16[[#This Row],[CDP]]</f>
        <v>0</v>
      </c>
      <c r="U1087" s="1352"/>
      <c r="V1087" s="1352"/>
      <c r="W1087" s="1352"/>
    </row>
    <row r="1088" spans="1:23" s="1317" customFormat="1" ht="45" hidden="1" customHeight="1" x14ac:dyDescent="0.3">
      <c r="A1088" s="1322"/>
      <c r="B1088" s="1339"/>
      <c r="C1088" s="1345"/>
      <c r="D1088" s="1334"/>
      <c r="E1088" s="1335"/>
      <c r="F1088" s="1335"/>
      <c r="G1088" s="1327"/>
      <c r="H1088" s="1327"/>
      <c r="I1088" s="1323"/>
      <c r="J1088" s="1323"/>
      <c r="K1088" s="1324"/>
      <c r="L1088" s="1325"/>
      <c r="M1088" s="1336"/>
      <c r="N1088" s="1338"/>
      <c r="O1088" s="1335"/>
      <c r="P1088" s="1316"/>
      <c r="R1088" s="1352"/>
      <c r="S1088" s="1352"/>
      <c r="T1088" s="1352">
        <f>+Tabla16[[#This Row],[CDPS A 31 JULIO 2022]]-Tabla16[[#This Row],[CDP]]</f>
        <v>0</v>
      </c>
      <c r="U1088" s="1352"/>
      <c r="V1088" s="1352"/>
      <c r="W1088" s="1352"/>
    </row>
    <row r="1089" spans="1:23" s="1317" customFormat="1" ht="45" hidden="1" customHeight="1" x14ac:dyDescent="0.3">
      <c r="A1089" s="1322"/>
      <c r="B1089" s="1339"/>
      <c r="C1089" s="1345"/>
      <c r="D1089" s="1334"/>
      <c r="E1089" s="1335"/>
      <c r="F1089" s="1335"/>
      <c r="G1089" s="1327"/>
      <c r="H1089" s="1327"/>
      <c r="I1089" s="1323"/>
      <c r="J1089" s="1323"/>
      <c r="K1089" s="1324"/>
      <c r="L1089" s="1325"/>
      <c r="M1089" s="1336"/>
      <c r="N1089" s="1338"/>
      <c r="O1089" s="1335"/>
      <c r="P1089" s="1316"/>
      <c r="R1089" s="1352"/>
      <c r="S1089" s="1352"/>
      <c r="T1089" s="1352">
        <f>+Tabla16[[#This Row],[CDPS A 31 JULIO 2022]]-Tabla16[[#This Row],[CDP]]</f>
        <v>0</v>
      </c>
      <c r="U1089" s="1352"/>
      <c r="V1089" s="1352"/>
      <c r="W1089" s="1352"/>
    </row>
    <row r="1090" spans="1:23" s="1317" customFormat="1" ht="45" hidden="1" customHeight="1" x14ac:dyDescent="0.3">
      <c r="A1090" s="1322"/>
      <c r="B1090" s="1339"/>
      <c r="C1090" s="1345"/>
      <c r="D1090" s="1334"/>
      <c r="E1090" s="1335"/>
      <c r="F1090" s="1335"/>
      <c r="G1090" s="1327"/>
      <c r="H1090" s="1327"/>
      <c r="I1090" s="1323"/>
      <c r="J1090" s="1323"/>
      <c r="K1090" s="1324"/>
      <c r="L1090" s="1325"/>
      <c r="M1090" s="1336"/>
      <c r="N1090" s="1338"/>
      <c r="O1090" s="1335"/>
      <c r="P1090" s="1316"/>
      <c r="R1090" s="1352"/>
      <c r="S1090" s="1352"/>
      <c r="T1090" s="1352">
        <f>+Tabla16[[#This Row],[CDPS A 31 JULIO 2022]]-Tabla16[[#This Row],[CDP]]</f>
        <v>0</v>
      </c>
      <c r="U1090" s="1352"/>
      <c r="V1090" s="1352"/>
      <c r="W1090" s="1352"/>
    </row>
    <row r="1091" spans="1:23" s="1317" customFormat="1" ht="45" hidden="1" customHeight="1" x14ac:dyDescent="0.3">
      <c r="A1091" s="1322"/>
      <c r="B1091" s="1339"/>
      <c r="C1091" s="1345"/>
      <c r="D1091" s="1334"/>
      <c r="E1091" s="1335"/>
      <c r="F1091" s="1335"/>
      <c r="G1091" s="1327"/>
      <c r="H1091" s="1327"/>
      <c r="I1091" s="1323"/>
      <c r="J1091" s="1323"/>
      <c r="K1091" s="1324"/>
      <c r="L1091" s="1325"/>
      <c r="M1091" s="1336"/>
      <c r="N1091" s="1338"/>
      <c r="O1091" s="1335"/>
      <c r="P1091" s="1316"/>
      <c r="R1091" s="1352"/>
      <c r="S1091" s="1352"/>
      <c r="T1091" s="1352">
        <f>+Tabla16[[#This Row],[CDPS A 31 JULIO 2022]]-Tabla16[[#This Row],[CDP]]</f>
        <v>0</v>
      </c>
      <c r="U1091" s="1352"/>
      <c r="V1091" s="1352"/>
      <c r="W1091" s="1352"/>
    </row>
    <row r="1092" spans="1:23" s="1317" customFormat="1" ht="45" hidden="1" customHeight="1" x14ac:dyDescent="0.3">
      <c r="A1092" s="1322"/>
      <c r="B1092" s="1339"/>
      <c r="C1092" s="1345"/>
      <c r="D1092" s="1334"/>
      <c r="E1092" s="1335"/>
      <c r="F1092" s="1335"/>
      <c r="G1092" s="1327"/>
      <c r="H1092" s="1327"/>
      <c r="I1092" s="1323"/>
      <c r="J1092" s="1323"/>
      <c r="K1092" s="1324"/>
      <c r="L1092" s="1325"/>
      <c r="M1092" s="1336"/>
      <c r="N1092" s="1338"/>
      <c r="O1092" s="1335"/>
      <c r="P1092" s="1316"/>
      <c r="R1092" s="1352"/>
      <c r="S1092" s="1352"/>
      <c r="T1092" s="1352">
        <f>+Tabla16[[#This Row],[CDPS A 31 JULIO 2022]]-Tabla16[[#This Row],[CDP]]</f>
        <v>0</v>
      </c>
      <c r="U1092" s="1352"/>
      <c r="V1092" s="1352"/>
      <c r="W1092" s="1352"/>
    </row>
    <row r="1093" spans="1:23" s="1317" customFormat="1" ht="45" hidden="1" customHeight="1" x14ac:dyDescent="0.3">
      <c r="A1093" s="1322"/>
      <c r="B1093" s="1339"/>
      <c r="C1093" s="1345"/>
      <c r="D1093" s="1334"/>
      <c r="E1093" s="1335"/>
      <c r="F1093" s="1335"/>
      <c r="G1093" s="1327"/>
      <c r="H1093" s="1327"/>
      <c r="I1093" s="1323"/>
      <c r="J1093" s="1323"/>
      <c r="K1093" s="1324"/>
      <c r="L1093" s="1325"/>
      <c r="M1093" s="1336"/>
      <c r="N1093" s="1338"/>
      <c r="O1093" s="1335"/>
      <c r="P1093" s="1316"/>
      <c r="R1093" s="1352"/>
      <c r="S1093" s="1352"/>
      <c r="T1093" s="1352">
        <f>+Tabla16[[#This Row],[CDPS A 31 JULIO 2022]]-Tabla16[[#This Row],[CDP]]</f>
        <v>0</v>
      </c>
      <c r="U1093" s="1352"/>
      <c r="V1093" s="1352"/>
      <c r="W1093" s="1352"/>
    </row>
    <row r="1094" spans="1:23" s="1317" customFormat="1" ht="45" hidden="1" customHeight="1" x14ac:dyDescent="0.3">
      <c r="A1094" s="1322"/>
      <c r="B1094" s="1339"/>
      <c r="C1094" s="1345"/>
      <c r="D1094" s="1334"/>
      <c r="E1094" s="1335"/>
      <c r="F1094" s="1335"/>
      <c r="G1094" s="1327"/>
      <c r="H1094" s="1327"/>
      <c r="I1094" s="1323"/>
      <c r="J1094" s="1323"/>
      <c r="K1094" s="1324"/>
      <c r="L1094" s="1325"/>
      <c r="M1094" s="1336"/>
      <c r="N1094" s="1338"/>
      <c r="O1094" s="1335"/>
      <c r="P1094" s="1316"/>
      <c r="R1094" s="1352"/>
      <c r="S1094" s="1352"/>
      <c r="T1094" s="1352">
        <f>+Tabla16[[#This Row],[CDPS A 31 JULIO 2022]]-Tabla16[[#This Row],[CDP]]</f>
        <v>0</v>
      </c>
      <c r="U1094" s="1352"/>
      <c r="V1094" s="1352"/>
      <c r="W1094" s="1352"/>
    </row>
    <row r="1095" spans="1:23" s="1317" customFormat="1" ht="45" hidden="1" customHeight="1" x14ac:dyDescent="0.3">
      <c r="A1095" s="1322"/>
      <c r="B1095" s="1339"/>
      <c r="C1095" s="1345"/>
      <c r="D1095" s="1334"/>
      <c r="E1095" s="1335"/>
      <c r="F1095" s="1335"/>
      <c r="G1095" s="1327"/>
      <c r="H1095" s="1327"/>
      <c r="I1095" s="1323"/>
      <c r="J1095" s="1323"/>
      <c r="K1095" s="1324"/>
      <c r="L1095" s="1325"/>
      <c r="M1095" s="1336"/>
      <c r="N1095" s="1338"/>
      <c r="O1095" s="1335"/>
      <c r="P1095" s="1316"/>
      <c r="R1095" s="1352"/>
      <c r="S1095" s="1352"/>
      <c r="T1095" s="1352">
        <f>+Tabla16[[#This Row],[CDPS A 31 JULIO 2022]]-Tabla16[[#This Row],[CDP]]</f>
        <v>0</v>
      </c>
      <c r="U1095" s="1352"/>
      <c r="V1095" s="1352"/>
      <c r="W1095" s="1352"/>
    </row>
    <row r="1096" spans="1:23" s="1317" customFormat="1" ht="45" hidden="1" customHeight="1" x14ac:dyDescent="0.3">
      <c r="A1096" s="1322"/>
      <c r="B1096" s="1339"/>
      <c r="C1096" s="1345"/>
      <c r="D1096" s="1334"/>
      <c r="E1096" s="1335"/>
      <c r="F1096" s="1335"/>
      <c r="G1096" s="1327"/>
      <c r="H1096" s="1327"/>
      <c r="I1096" s="1323"/>
      <c r="J1096" s="1323"/>
      <c r="K1096" s="1324"/>
      <c r="L1096" s="1325"/>
      <c r="M1096" s="1336"/>
      <c r="N1096" s="1338"/>
      <c r="O1096" s="1335"/>
      <c r="P1096" s="1316"/>
      <c r="R1096" s="1352"/>
      <c r="S1096" s="1352"/>
      <c r="T1096" s="1352">
        <f>+Tabla16[[#This Row],[CDPS A 31 JULIO 2022]]-Tabla16[[#This Row],[CDP]]</f>
        <v>0</v>
      </c>
      <c r="U1096" s="1352"/>
      <c r="V1096" s="1352"/>
      <c r="W1096" s="1352"/>
    </row>
    <row r="1097" spans="1:23" s="1317" customFormat="1" ht="45" hidden="1" customHeight="1" x14ac:dyDescent="0.3">
      <c r="A1097" s="1322"/>
      <c r="B1097" s="1339"/>
      <c r="C1097" s="1345"/>
      <c r="D1097" s="1334"/>
      <c r="E1097" s="1335"/>
      <c r="F1097" s="1335"/>
      <c r="G1097" s="1327"/>
      <c r="H1097" s="1327"/>
      <c r="I1097" s="1323"/>
      <c r="J1097" s="1323"/>
      <c r="K1097" s="1324"/>
      <c r="L1097" s="1325"/>
      <c r="M1097" s="1336"/>
      <c r="N1097" s="1338"/>
      <c r="O1097" s="1335"/>
      <c r="P1097" s="1316"/>
      <c r="R1097" s="1352"/>
      <c r="S1097" s="1352"/>
      <c r="T1097" s="1352">
        <f>+Tabla16[[#This Row],[CDPS A 31 JULIO 2022]]-Tabla16[[#This Row],[CDP]]</f>
        <v>0</v>
      </c>
      <c r="U1097" s="1352"/>
      <c r="V1097" s="1352"/>
      <c r="W1097" s="1352"/>
    </row>
    <row r="1098" spans="1:23" s="1317" customFormat="1" ht="45" hidden="1" customHeight="1" x14ac:dyDescent="0.3">
      <c r="A1098" s="1322"/>
      <c r="B1098" s="1339"/>
      <c r="C1098" s="1345"/>
      <c r="D1098" s="1334"/>
      <c r="E1098" s="1335"/>
      <c r="F1098" s="1335"/>
      <c r="G1098" s="1327"/>
      <c r="H1098" s="1327"/>
      <c r="I1098" s="1323"/>
      <c r="J1098" s="1323"/>
      <c r="K1098" s="1324"/>
      <c r="L1098" s="1325"/>
      <c r="M1098" s="1336"/>
      <c r="N1098" s="1338"/>
      <c r="O1098" s="1335"/>
      <c r="P1098" s="1316"/>
      <c r="R1098" s="1352"/>
      <c r="S1098" s="1352"/>
      <c r="T1098" s="1352">
        <f>+Tabla16[[#This Row],[CDPS A 31 JULIO 2022]]-Tabla16[[#This Row],[CDP]]</f>
        <v>0</v>
      </c>
      <c r="U1098" s="1352"/>
      <c r="V1098" s="1352"/>
      <c r="W1098" s="1352"/>
    </row>
    <row r="1099" spans="1:23" s="1317" customFormat="1" ht="45" hidden="1" customHeight="1" x14ac:dyDescent="0.3">
      <c r="A1099" s="1322"/>
      <c r="B1099" s="1339"/>
      <c r="C1099" s="1345"/>
      <c r="D1099" s="1334"/>
      <c r="E1099" s="1335"/>
      <c r="F1099" s="1335"/>
      <c r="G1099" s="1327"/>
      <c r="H1099" s="1327"/>
      <c r="I1099" s="1323"/>
      <c r="J1099" s="1323"/>
      <c r="K1099" s="1324"/>
      <c r="L1099" s="1325"/>
      <c r="M1099" s="1336"/>
      <c r="N1099" s="1338"/>
      <c r="O1099" s="1335"/>
      <c r="P1099" s="1316"/>
      <c r="R1099" s="1352"/>
      <c r="S1099" s="1352"/>
      <c r="T1099" s="1352">
        <f>+Tabla16[[#This Row],[CDPS A 31 JULIO 2022]]-Tabla16[[#This Row],[CDP]]</f>
        <v>0</v>
      </c>
      <c r="U1099" s="1352"/>
      <c r="V1099" s="1352"/>
      <c r="W1099" s="1352"/>
    </row>
    <row r="1100" spans="1:23" s="1317" customFormat="1" ht="45" hidden="1" customHeight="1" x14ac:dyDescent="0.3">
      <c r="A1100" s="1322"/>
      <c r="B1100" s="1339"/>
      <c r="C1100" s="1345"/>
      <c r="D1100" s="1334"/>
      <c r="E1100" s="1335"/>
      <c r="F1100" s="1335"/>
      <c r="G1100" s="1327"/>
      <c r="H1100" s="1327"/>
      <c r="I1100" s="1323"/>
      <c r="J1100" s="1323"/>
      <c r="K1100" s="1324"/>
      <c r="L1100" s="1325"/>
      <c r="M1100" s="1336"/>
      <c r="N1100" s="1338"/>
      <c r="O1100" s="1335"/>
      <c r="P1100" s="1316"/>
      <c r="R1100" s="1352"/>
      <c r="S1100" s="1352"/>
      <c r="T1100" s="1352">
        <f>+Tabla16[[#This Row],[CDPS A 31 JULIO 2022]]-Tabla16[[#This Row],[CDP]]</f>
        <v>0</v>
      </c>
      <c r="U1100" s="1352"/>
      <c r="V1100" s="1352"/>
      <c r="W1100" s="1352"/>
    </row>
    <row r="1101" spans="1:23" s="1317" customFormat="1" ht="45" hidden="1" customHeight="1" x14ac:dyDescent="0.3">
      <c r="A1101" s="1322"/>
      <c r="B1101" s="1339"/>
      <c r="C1101" s="1345"/>
      <c r="D1101" s="1334"/>
      <c r="E1101" s="1335"/>
      <c r="F1101" s="1335"/>
      <c r="G1101" s="1327"/>
      <c r="H1101" s="1327"/>
      <c r="I1101" s="1323"/>
      <c r="J1101" s="1323"/>
      <c r="K1101" s="1324"/>
      <c r="L1101" s="1325"/>
      <c r="M1101" s="1336"/>
      <c r="N1101" s="1338"/>
      <c r="O1101" s="1335"/>
      <c r="P1101" s="1316"/>
      <c r="R1101" s="1352"/>
      <c r="S1101" s="1352"/>
      <c r="T1101" s="1352">
        <f>+Tabla16[[#This Row],[CDPS A 31 JULIO 2022]]-Tabla16[[#This Row],[CDP]]</f>
        <v>0</v>
      </c>
      <c r="U1101" s="1352"/>
      <c r="V1101" s="1352"/>
      <c r="W1101" s="1352"/>
    </row>
    <row r="1102" spans="1:23" s="1317" customFormat="1" ht="45" hidden="1" customHeight="1" x14ac:dyDescent="0.3">
      <c r="A1102" s="1322"/>
      <c r="B1102" s="1339"/>
      <c r="C1102" s="1345"/>
      <c r="D1102" s="1334"/>
      <c r="E1102" s="1335"/>
      <c r="F1102" s="1335"/>
      <c r="G1102" s="1327"/>
      <c r="H1102" s="1327"/>
      <c r="I1102" s="1323"/>
      <c r="J1102" s="1323"/>
      <c r="K1102" s="1324"/>
      <c r="L1102" s="1325"/>
      <c r="M1102" s="1336"/>
      <c r="N1102" s="1338"/>
      <c r="O1102" s="1335"/>
      <c r="P1102" s="1316"/>
      <c r="R1102" s="1352"/>
      <c r="S1102" s="1352"/>
      <c r="T1102" s="1352">
        <f>+Tabla16[[#This Row],[CDPS A 31 JULIO 2022]]-Tabla16[[#This Row],[CDP]]</f>
        <v>0</v>
      </c>
      <c r="U1102" s="1352"/>
      <c r="V1102" s="1352"/>
      <c r="W1102" s="1352"/>
    </row>
    <row r="1103" spans="1:23" s="1317" customFormat="1" ht="45" hidden="1" customHeight="1" x14ac:dyDescent="0.3">
      <c r="A1103" s="1322"/>
      <c r="B1103" s="1339"/>
      <c r="C1103" s="1345"/>
      <c r="D1103" s="1334"/>
      <c r="E1103" s="1335"/>
      <c r="F1103" s="1335"/>
      <c r="G1103" s="1327"/>
      <c r="H1103" s="1327"/>
      <c r="I1103" s="1323"/>
      <c r="J1103" s="1323"/>
      <c r="K1103" s="1324"/>
      <c r="L1103" s="1325"/>
      <c r="M1103" s="1336"/>
      <c r="N1103" s="1338"/>
      <c r="O1103" s="1335"/>
      <c r="P1103" s="1316"/>
      <c r="R1103" s="1352"/>
      <c r="S1103" s="1352"/>
      <c r="T1103" s="1352">
        <f>+Tabla16[[#This Row],[CDPS A 31 JULIO 2022]]-Tabla16[[#This Row],[CDP]]</f>
        <v>0</v>
      </c>
      <c r="U1103" s="1352"/>
      <c r="V1103" s="1352"/>
      <c r="W1103" s="1352"/>
    </row>
    <row r="1104" spans="1:23" s="1317" customFormat="1" ht="45" hidden="1" customHeight="1" x14ac:dyDescent="0.3">
      <c r="A1104" s="1322"/>
      <c r="B1104" s="1339"/>
      <c r="C1104" s="1345"/>
      <c r="D1104" s="1334"/>
      <c r="E1104" s="1335"/>
      <c r="F1104" s="1335"/>
      <c r="G1104" s="1327"/>
      <c r="H1104" s="1327"/>
      <c r="I1104" s="1323"/>
      <c r="J1104" s="1323"/>
      <c r="K1104" s="1324"/>
      <c r="L1104" s="1325"/>
      <c r="M1104" s="1336"/>
      <c r="N1104" s="1338"/>
      <c r="O1104" s="1335"/>
      <c r="P1104" s="1316"/>
      <c r="R1104" s="1352"/>
      <c r="S1104" s="1352"/>
      <c r="T1104" s="1352">
        <f>+Tabla16[[#This Row],[CDPS A 31 JULIO 2022]]-Tabla16[[#This Row],[CDP]]</f>
        <v>0</v>
      </c>
      <c r="U1104" s="1352"/>
      <c r="V1104" s="1352"/>
      <c r="W1104" s="1352"/>
    </row>
    <row r="1105" spans="1:23" s="1317" customFormat="1" ht="45" hidden="1" customHeight="1" x14ac:dyDescent="0.3">
      <c r="A1105" s="1322"/>
      <c r="B1105" s="1339"/>
      <c r="C1105" s="1345"/>
      <c r="D1105" s="1334"/>
      <c r="E1105" s="1335"/>
      <c r="F1105" s="1335"/>
      <c r="G1105" s="1327"/>
      <c r="H1105" s="1327"/>
      <c r="I1105" s="1323"/>
      <c r="J1105" s="1323"/>
      <c r="K1105" s="1324"/>
      <c r="L1105" s="1325"/>
      <c r="M1105" s="1336"/>
      <c r="N1105" s="1338"/>
      <c r="O1105" s="1335"/>
      <c r="P1105" s="1316"/>
      <c r="R1105" s="1352"/>
      <c r="S1105" s="1352"/>
      <c r="T1105" s="1352">
        <f>+Tabla16[[#This Row],[CDPS A 31 JULIO 2022]]-Tabla16[[#This Row],[CDP]]</f>
        <v>0</v>
      </c>
      <c r="U1105" s="1352"/>
      <c r="V1105" s="1352"/>
      <c r="W1105" s="1352"/>
    </row>
    <row r="1106" spans="1:23" s="1317" customFormat="1" ht="45" hidden="1" customHeight="1" x14ac:dyDescent="0.3">
      <c r="A1106" s="1322"/>
      <c r="B1106" s="1339"/>
      <c r="C1106" s="1345"/>
      <c r="D1106" s="1334"/>
      <c r="E1106" s="1335"/>
      <c r="F1106" s="1335"/>
      <c r="G1106" s="1327"/>
      <c r="H1106" s="1327"/>
      <c r="I1106" s="1323"/>
      <c r="J1106" s="1323"/>
      <c r="K1106" s="1324"/>
      <c r="L1106" s="1325"/>
      <c r="M1106" s="1336"/>
      <c r="N1106" s="1338"/>
      <c r="O1106" s="1335"/>
      <c r="P1106" s="1316"/>
      <c r="R1106" s="1352"/>
      <c r="S1106" s="1352"/>
      <c r="T1106" s="1352">
        <f>+Tabla16[[#This Row],[CDPS A 31 JULIO 2022]]-Tabla16[[#This Row],[CDP]]</f>
        <v>0</v>
      </c>
      <c r="U1106" s="1352"/>
      <c r="V1106" s="1352"/>
      <c r="W1106" s="1352"/>
    </row>
    <row r="1107" spans="1:23" s="1317" customFormat="1" ht="45" hidden="1" customHeight="1" x14ac:dyDescent="0.3">
      <c r="A1107" s="1322"/>
      <c r="B1107" s="1339"/>
      <c r="C1107" s="1345"/>
      <c r="D1107" s="1334"/>
      <c r="E1107" s="1335"/>
      <c r="F1107" s="1335"/>
      <c r="G1107" s="1327"/>
      <c r="H1107" s="1327"/>
      <c r="I1107" s="1323"/>
      <c r="J1107" s="1323"/>
      <c r="K1107" s="1324"/>
      <c r="L1107" s="1325"/>
      <c r="M1107" s="1336"/>
      <c r="N1107" s="1338"/>
      <c r="O1107" s="1335"/>
      <c r="P1107" s="1316"/>
      <c r="R1107" s="1352"/>
      <c r="S1107" s="1352"/>
      <c r="T1107" s="1352">
        <f>+Tabla16[[#This Row],[CDPS A 31 JULIO 2022]]-Tabla16[[#This Row],[CDP]]</f>
        <v>0</v>
      </c>
      <c r="U1107" s="1352"/>
      <c r="V1107" s="1352"/>
      <c r="W1107" s="1352"/>
    </row>
    <row r="1108" spans="1:23" s="1317" customFormat="1" ht="45" hidden="1" customHeight="1" x14ac:dyDescent="0.3">
      <c r="A1108" s="1322"/>
      <c r="B1108" s="1339"/>
      <c r="C1108" s="1345"/>
      <c r="D1108" s="1334"/>
      <c r="E1108" s="1335"/>
      <c r="F1108" s="1335"/>
      <c r="G1108" s="1327"/>
      <c r="H1108" s="1327"/>
      <c r="I1108" s="1323"/>
      <c r="J1108" s="1323"/>
      <c r="K1108" s="1324"/>
      <c r="L1108" s="1325"/>
      <c r="M1108" s="1336"/>
      <c r="N1108" s="1338"/>
      <c r="O1108" s="1335"/>
      <c r="P1108" s="1316"/>
      <c r="R1108" s="1352"/>
      <c r="S1108" s="1352"/>
      <c r="T1108" s="1352">
        <f>+Tabla16[[#This Row],[CDPS A 31 JULIO 2022]]-Tabla16[[#This Row],[CDP]]</f>
        <v>0</v>
      </c>
      <c r="U1108" s="1352"/>
      <c r="V1108" s="1352"/>
      <c r="W1108" s="1352"/>
    </row>
    <row r="1109" spans="1:23" s="1317" customFormat="1" ht="45" hidden="1" customHeight="1" x14ac:dyDescent="0.3">
      <c r="A1109" s="1322"/>
      <c r="B1109" s="1339"/>
      <c r="C1109" s="1345"/>
      <c r="D1109" s="1334"/>
      <c r="E1109" s="1335"/>
      <c r="F1109" s="1335"/>
      <c r="G1109" s="1327"/>
      <c r="H1109" s="1327"/>
      <c r="I1109" s="1323"/>
      <c r="J1109" s="1323"/>
      <c r="K1109" s="1324"/>
      <c r="L1109" s="1325"/>
      <c r="M1109" s="1336"/>
      <c r="N1109" s="1338"/>
      <c r="O1109" s="1335"/>
      <c r="P1109" s="1316"/>
      <c r="R1109" s="1352"/>
      <c r="S1109" s="1352"/>
      <c r="T1109" s="1352">
        <f>+Tabla16[[#This Row],[CDPS A 31 JULIO 2022]]-Tabla16[[#This Row],[CDP]]</f>
        <v>0</v>
      </c>
      <c r="U1109" s="1352"/>
      <c r="V1109" s="1352"/>
      <c r="W1109" s="1352"/>
    </row>
    <row r="1110" spans="1:23" s="1317" customFormat="1" ht="45" hidden="1" customHeight="1" x14ac:dyDescent="0.3">
      <c r="A1110" s="1322"/>
      <c r="B1110" s="1339"/>
      <c r="C1110" s="1345"/>
      <c r="D1110" s="1334"/>
      <c r="E1110" s="1335"/>
      <c r="F1110" s="1335"/>
      <c r="G1110" s="1327"/>
      <c r="H1110" s="1327"/>
      <c r="I1110" s="1323"/>
      <c r="J1110" s="1323"/>
      <c r="K1110" s="1324"/>
      <c r="L1110" s="1325"/>
      <c r="M1110" s="1336"/>
      <c r="N1110" s="1338"/>
      <c r="O1110" s="1335"/>
      <c r="P1110" s="1316"/>
      <c r="R1110" s="1352"/>
      <c r="S1110" s="1352"/>
      <c r="T1110" s="1352">
        <f>+Tabla16[[#This Row],[CDPS A 31 JULIO 2022]]-Tabla16[[#This Row],[CDP]]</f>
        <v>0</v>
      </c>
      <c r="U1110" s="1352"/>
      <c r="V1110" s="1352"/>
      <c r="W1110" s="1352"/>
    </row>
    <row r="1111" spans="1:23" s="1317" customFormat="1" ht="45" hidden="1" customHeight="1" x14ac:dyDescent="0.3">
      <c r="A1111" s="1322"/>
      <c r="B1111" s="1339"/>
      <c r="C1111" s="1345"/>
      <c r="D1111" s="1334"/>
      <c r="E1111" s="1335"/>
      <c r="F1111" s="1335"/>
      <c r="G1111" s="1327"/>
      <c r="H1111" s="1327"/>
      <c r="I1111" s="1323"/>
      <c r="J1111" s="1323"/>
      <c r="K1111" s="1324"/>
      <c r="L1111" s="1325"/>
      <c r="M1111" s="1336"/>
      <c r="N1111" s="1338"/>
      <c r="O1111" s="1335"/>
      <c r="P1111" s="1316"/>
      <c r="R1111" s="1352"/>
      <c r="S1111" s="1352"/>
      <c r="T1111" s="1352">
        <f>+Tabla16[[#This Row],[CDPS A 31 JULIO 2022]]-Tabla16[[#This Row],[CDP]]</f>
        <v>0</v>
      </c>
      <c r="U1111" s="1352"/>
      <c r="V1111" s="1352"/>
      <c r="W1111" s="1352"/>
    </row>
    <row r="1112" spans="1:23" s="1317" customFormat="1" ht="45" hidden="1" customHeight="1" x14ac:dyDescent="0.3">
      <c r="A1112" s="1322"/>
      <c r="B1112" s="1339"/>
      <c r="C1112" s="1345"/>
      <c r="D1112" s="1334"/>
      <c r="E1112" s="1335"/>
      <c r="F1112" s="1335"/>
      <c r="G1112" s="1327"/>
      <c r="H1112" s="1327"/>
      <c r="I1112" s="1323"/>
      <c r="J1112" s="1323"/>
      <c r="K1112" s="1324"/>
      <c r="L1112" s="1325"/>
      <c r="M1112" s="1336"/>
      <c r="N1112" s="1338"/>
      <c r="O1112" s="1335"/>
      <c r="P1112" s="1316"/>
      <c r="R1112" s="1352"/>
      <c r="S1112" s="1352"/>
      <c r="T1112" s="1352">
        <f>+Tabla16[[#This Row],[CDPS A 31 JULIO 2022]]-Tabla16[[#This Row],[CDP]]</f>
        <v>0</v>
      </c>
      <c r="U1112" s="1352"/>
      <c r="V1112" s="1352"/>
      <c r="W1112" s="1352"/>
    </row>
    <row r="1113" spans="1:23" s="1317" customFormat="1" ht="45" hidden="1" customHeight="1" x14ac:dyDescent="0.3">
      <c r="A1113" s="1322"/>
      <c r="B1113" s="1339"/>
      <c r="C1113" s="1345"/>
      <c r="D1113" s="1334"/>
      <c r="E1113" s="1335"/>
      <c r="F1113" s="1335"/>
      <c r="G1113" s="1327"/>
      <c r="H1113" s="1327"/>
      <c r="I1113" s="1323"/>
      <c r="J1113" s="1323"/>
      <c r="K1113" s="1324"/>
      <c r="L1113" s="1325"/>
      <c r="M1113" s="1336"/>
      <c r="N1113" s="1338"/>
      <c r="O1113" s="1335"/>
      <c r="P1113" s="1316"/>
      <c r="R1113" s="1352"/>
      <c r="S1113" s="1352"/>
      <c r="T1113" s="1352">
        <f>+Tabla16[[#This Row],[CDPS A 31 JULIO 2022]]-Tabla16[[#This Row],[CDP]]</f>
        <v>0</v>
      </c>
      <c r="U1113" s="1352"/>
      <c r="V1113" s="1352"/>
      <c r="W1113" s="1352"/>
    </row>
    <row r="1114" spans="1:23" s="1317" customFormat="1" ht="45" hidden="1" customHeight="1" x14ac:dyDescent="0.3">
      <c r="A1114" s="1322"/>
      <c r="B1114" s="1339"/>
      <c r="C1114" s="1345"/>
      <c r="D1114" s="1334"/>
      <c r="E1114" s="1335"/>
      <c r="F1114" s="1335"/>
      <c r="G1114" s="1327"/>
      <c r="H1114" s="1327"/>
      <c r="I1114" s="1323"/>
      <c r="J1114" s="1323"/>
      <c r="K1114" s="1324"/>
      <c r="L1114" s="1325"/>
      <c r="M1114" s="1336"/>
      <c r="N1114" s="1338"/>
      <c r="O1114" s="1335"/>
      <c r="P1114" s="1316"/>
      <c r="R1114" s="1352"/>
      <c r="S1114" s="1352"/>
      <c r="T1114" s="1352">
        <f>+Tabla16[[#This Row],[CDPS A 31 JULIO 2022]]-Tabla16[[#This Row],[CDP]]</f>
        <v>0</v>
      </c>
      <c r="U1114" s="1352"/>
      <c r="V1114" s="1352"/>
      <c r="W1114" s="1352"/>
    </row>
    <row r="1115" spans="1:23" s="1317" customFormat="1" ht="45" hidden="1" customHeight="1" x14ac:dyDescent="0.3">
      <c r="A1115" s="1322"/>
      <c r="B1115" s="1339"/>
      <c r="C1115" s="1345"/>
      <c r="D1115" s="1334"/>
      <c r="E1115" s="1335"/>
      <c r="F1115" s="1335"/>
      <c r="G1115" s="1327"/>
      <c r="H1115" s="1327"/>
      <c r="I1115" s="1323"/>
      <c r="J1115" s="1323"/>
      <c r="K1115" s="1324"/>
      <c r="L1115" s="1325"/>
      <c r="M1115" s="1336"/>
      <c r="N1115" s="1338"/>
      <c r="O1115" s="1335"/>
      <c r="P1115" s="1316"/>
      <c r="R1115" s="1352"/>
      <c r="S1115" s="1352"/>
      <c r="T1115" s="1352">
        <f>+Tabla16[[#This Row],[CDPS A 31 JULIO 2022]]-Tabla16[[#This Row],[CDP]]</f>
        <v>0</v>
      </c>
      <c r="U1115" s="1352"/>
      <c r="V1115" s="1352"/>
      <c r="W1115" s="1352"/>
    </row>
    <row r="1116" spans="1:23" s="1317" customFormat="1" ht="45" hidden="1" customHeight="1" x14ac:dyDescent="0.3">
      <c r="A1116" s="1322"/>
      <c r="B1116" s="1339"/>
      <c r="C1116" s="1345"/>
      <c r="D1116" s="1334"/>
      <c r="E1116" s="1335"/>
      <c r="F1116" s="1335"/>
      <c r="G1116" s="1327"/>
      <c r="H1116" s="1327"/>
      <c r="I1116" s="1323"/>
      <c r="J1116" s="1323"/>
      <c r="K1116" s="1324"/>
      <c r="L1116" s="1325"/>
      <c r="M1116" s="1336"/>
      <c r="N1116" s="1338"/>
      <c r="O1116" s="1335"/>
      <c r="P1116" s="1316"/>
      <c r="R1116" s="1352"/>
      <c r="S1116" s="1352"/>
      <c r="T1116" s="1352">
        <f>+Tabla16[[#This Row],[CDPS A 31 JULIO 2022]]-Tabla16[[#This Row],[CDP]]</f>
        <v>0</v>
      </c>
      <c r="U1116" s="1352"/>
      <c r="V1116" s="1352"/>
      <c r="W1116" s="1352"/>
    </row>
    <row r="1117" spans="1:23" s="1317" customFormat="1" ht="45" hidden="1" customHeight="1" x14ac:dyDescent="0.3">
      <c r="A1117" s="1322"/>
      <c r="B1117" s="1339"/>
      <c r="C1117" s="1345"/>
      <c r="D1117" s="1334"/>
      <c r="E1117" s="1335"/>
      <c r="F1117" s="1335"/>
      <c r="G1117" s="1327"/>
      <c r="H1117" s="1327"/>
      <c r="I1117" s="1323"/>
      <c r="J1117" s="1323"/>
      <c r="K1117" s="1324"/>
      <c r="L1117" s="1325"/>
      <c r="M1117" s="1336"/>
      <c r="N1117" s="1338"/>
      <c r="O1117" s="1335"/>
      <c r="P1117" s="1316"/>
      <c r="R1117" s="1352"/>
      <c r="S1117" s="1352"/>
      <c r="T1117" s="1352">
        <f>+Tabla16[[#This Row],[CDPS A 31 JULIO 2022]]-Tabla16[[#This Row],[CDP]]</f>
        <v>0</v>
      </c>
      <c r="U1117" s="1352"/>
      <c r="V1117" s="1352"/>
      <c r="W1117" s="1352"/>
    </row>
    <row r="1118" spans="1:23" s="1317" customFormat="1" ht="45" hidden="1" customHeight="1" x14ac:dyDescent="0.3">
      <c r="A1118" s="1322"/>
      <c r="B1118" s="1339"/>
      <c r="C1118" s="1345"/>
      <c r="D1118" s="1334"/>
      <c r="E1118" s="1335"/>
      <c r="F1118" s="1335"/>
      <c r="G1118" s="1327"/>
      <c r="H1118" s="1327"/>
      <c r="I1118" s="1323"/>
      <c r="J1118" s="1323"/>
      <c r="K1118" s="1324"/>
      <c r="L1118" s="1325"/>
      <c r="M1118" s="1336"/>
      <c r="N1118" s="1338"/>
      <c r="O1118" s="1335"/>
      <c r="P1118" s="1316"/>
      <c r="R1118" s="1352"/>
      <c r="S1118" s="1352"/>
      <c r="T1118" s="1352">
        <f>+Tabla16[[#This Row],[CDPS A 31 JULIO 2022]]-Tabla16[[#This Row],[CDP]]</f>
        <v>0</v>
      </c>
      <c r="U1118" s="1352"/>
      <c r="V1118" s="1352"/>
      <c r="W1118" s="1352"/>
    </row>
    <row r="1119" spans="1:23" s="1317" customFormat="1" ht="45" hidden="1" customHeight="1" x14ac:dyDescent="0.3">
      <c r="A1119" s="1322"/>
      <c r="B1119" s="1339"/>
      <c r="C1119" s="1345"/>
      <c r="D1119" s="1334"/>
      <c r="E1119" s="1335"/>
      <c r="F1119" s="1335"/>
      <c r="G1119" s="1327"/>
      <c r="H1119" s="1327"/>
      <c r="I1119" s="1323"/>
      <c r="J1119" s="1323"/>
      <c r="K1119" s="1324"/>
      <c r="L1119" s="1325"/>
      <c r="M1119" s="1336"/>
      <c r="N1119" s="1338"/>
      <c r="O1119" s="1335"/>
      <c r="P1119" s="1316"/>
      <c r="R1119" s="1352"/>
      <c r="S1119" s="1352"/>
      <c r="T1119" s="1352">
        <f>+Tabla16[[#This Row],[CDPS A 31 JULIO 2022]]-Tabla16[[#This Row],[CDP]]</f>
        <v>0</v>
      </c>
      <c r="U1119" s="1352"/>
      <c r="V1119" s="1352"/>
      <c r="W1119" s="1352"/>
    </row>
    <row r="1120" spans="1:23" s="1317" customFormat="1" ht="45" hidden="1" customHeight="1" x14ac:dyDescent="0.3">
      <c r="A1120" s="1322"/>
      <c r="B1120" s="1339"/>
      <c r="C1120" s="1345"/>
      <c r="D1120" s="1334"/>
      <c r="E1120" s="1335"/>
      <c r="F1120" s="1335"/>
      <c r="G1120" s="1327"/>
      <c r="H1120" s="1327"/>
      <c r="I1120" s="1323"/>
      <c r="J1120" s="1323"/>
      <c r="K1120" s="1324"/>
      <c r="L1120" s="1325"/>
      <c r="M1120" s="1336"/>
      <c r="N1120" s="1338"/>
      <c r="O1120" s="1335"/>
      <c r="P1120" s="1316"/>
      <c r="R1120" s="1352"/>
      <c r="S1120" s="1352"/>
      <c r="T1120" s="1352">
        <f>+Tabla16[[#This Row],[CDPS A 31 JULIO 2022]]-Tabla16[[#This Row],[CDP]]</f>
        <v>0</v>
      </c>
      <c r="U1120" s="1352"/>
      <c r="V1120" s="1352"/>
      <c r="W1120" s="1352"/>
    </row>
    <row r="1121" spans="1:23" s="1317" customFormat="1" ht="45" hidden="1" customHeight="1" x14ac:dyDescent="0.3">
      <c r="A1121" s="1322"/>
      <c r="B1121" s="1339"/>
      <c r="C1121" s="1345"/>
      <c r="D1121" s="1334"/>
      <c r="E1121" s="1335"/>
      <c r="F1121" s="1335"/>
      <c r="G1121" s="1327"/>
      <c r="H1121" s="1327"/>
      <c r="I1121" s="1323"/>
      <c r="J1121" s="1323"/>
      <c r="K1121" s="1324"/>
      <c r="L1121" s="1325"/>
      <c r="M1121" s="1336"/>
      <c r="N1121" s="1338"/>
      <c r="O1121" s="1335"/>
      <c r="P1121" s="1316"/>
      <c r="R1121" s="1352"/>
      <c r="S1121" s="1352"/>
      <c r="T1121" s="1352">
        <f>+Tabla16[[#This Row],[CDPS A 31 JULIO 2022]]-Tabla16[[#This Row],[CDP]]</f>
        <v>0</v>
      </c>
      <c r="U1121" s="1352"/>
      <c r="V1121" s="1352"/>
      <c r="W1121" s="1352"/>
    </row>
    <row r="1122" spans="1:23" s="1317" customFormat="1" ht="45" hidden="1" customHeight="1" x14ac:dyDescent="0.3">
      <c r="A1122" s="1322"/>
      <c r="B1122" s="1339"/>
      <c r="C1122" s="1345"/>
      <c r="D1122" s="1334"/>
      <c r="E1122" s="1335"/>
      <c r="F1122" s="1335"/>
      <c r="G1122" s="1327"/>
      <c r="H1122" s="1327"/>
      <c r="I1122" s="1323"/>
      <c r="J1122" s="1323"/>
      <c r="K1122" s="1324"/>
      <c r="L1122" s="1325"/>
      <c r="M1122" s="1336"/>
      <c r="N1122" s="1338"/>
      <c r="O1122" s="1335"/>
      <c r="P1122" s="1316"/>
      <c r="R1122" s="1352"/>
      <c r="S1122" s="1352"/>
      <c r="T1122" s="1352">
        <f>+Tabla16[[#This Row],[CDPS A 31 JULIO 2022]]-Tabla16[[#This Row],[CDP]]</f>
        <v>0</v>
      </c>
      <c r="U1122" s="1352"/>
      <c r="V1122" s="1352"/>
      <c r="W1122" s="1352"/>
    </row>
    <row r="1123" spans="1:23" s="1317" customFormat="1" ht="45" hidden="1" customHeight="1" x14ac:dyDescent="0.3">
      <c r="A1123" s="1322"/>
      <c r="B1123" s="1339"/>
      <c r="C1123" s="1345"/>
      <c r="D1123" s="1334"/>
      <c r="E1123" s="1335"/>
      <c r="F1123" s="1335"/>
      <c r="G1123" s="1327"/>
      <c r="H1123" s="1327"/>
      <c r="I1123" s="1323"/>
      <c r="J1123" s="1323"/>
      <c r="K1123" s="1324"/>
      <c r="L1123" s="1325"/>
      <c r="M1123" s="1336"/>
      <c r="N1123" s="1338"/>
      <c r="O1123" s="1335"/>
      <c r="P1123" s="1316"/>
      <c r="R1123" s="1352"/>
      <c r="S1123" s="1352"/>
      <c r="T1123" s="1352">
        <f>+Tabla16[[#This Row],[CDPS A 31 JULIO 2022]]-Tabla16[[#This Row],[CDP]]</f>
        <v>0</v>
      </c>
      <c r="U1123" s="1352"/>
      <c r="V1123" s="1352"/>
      <c r="W1123" s="1352"/>
    </row>
    <row r="1124" spans="1:23" s="1317" customFormat="1" ht="45" hidden="1" customHeight="1" x14ac:dyDescent="0.3">
      <c r="A1124" s="1322"/>
      <c r="B1124" s="1339"/>
      <c r="C1124" s="1345"/>
      <c r="D1124" s="1334"/>
      <c r="E1124" s="1335"/>
      <c r="F1124" s="1335"/>
      <c r="G1124" s="1326"/>
      <c r="H1124" s="1326"/>
      <c r="I1124" s="1323"/>
      <c r="J1124" s="1323"/>
      <c r="K1124" s="1324"/>
      <c r="L1124" s="1325"/>
      <c r="M1124" s="1336"/>
      <c r="N1124" s="1338"/>
      <c r="O1124" s="1335"/>
      <c r="P1124" s="1316"/>
      <c r="R1124" s="1352"/>
      <c r="S1124" s="1352"/>
      <c r="T1124" s="1352">
        <f>+Tabla16[[#This Row],[CDPS A 31 JULIO 2022]]-Tabla16[[#This Row],[CDP]]</f>
        <v>0</v>
      </c>
      <c r="U1124" s="1352"/>
      <c r="V1124" s="1352"/>
      <c r="W1124" s="1352"/>
    </row>
    <row r="1125" spans="1:23" s="1317" customFormat="1" ht="45" hidden="1" customHeight="1" x14ac:dyDescent="0.3">
      <c r="A1125" s="1328"/>
      <c r="B1125" s="1340"/>
      <c r="C1125" s="1346"/>
      <c r="D1125" s="1341"/>
      <c r="E1125" s="1329"/>
      <c r="F1125" s="1329"/>
      <c r="G1125" s="1330"/>
      <c r="H1125" s="1330"/>
      <c r="I1125" s="1331"/>
      <c r="J1125" s="1331"/>
      <c r="K1125" s="1332"/>
      <c r="L1125" s="1333"/>
      <c r="M1125" s="1344"/>
      <c r="N1125" s="1342"/>
      <c r="O1125" s="1329"/>
      <c r="P1125" s="1316"/>
      <c r="R1125" s="1352"/>
      <c r="S1125" s="1352"/>
      <c r="T1125" s="1352">
        <f>+Tabla16[[#This Row],[CDPS A 31 JULIO 2022]]-Tabla16[[#This Row],[CDP]]</f>
        <v>0</v>
      </c>
      <c r="U1125" s="1352"/>
      <c r="V1125" s="1352"/>
      <c r="W1125" s="1352"/>
    </row>
    <row r="1126" spans="1:23" ht="42" hidden="1" customHeight="1" x14ac:dyDescent="0.3">
      <c r="A1126" s="1322"/>
      <c r="B1126" s="1417"/>
      <c r="C1126" s="1345"/>
      <c r="D1126" s="1334"/>
      <c r="E1126" s="1412"/>
      <c r="F1126" s="1335"/>
      <c r="G1126" s="1418"/>
      <c r="H1126" s="1326"/>
      <c r="I1126" s="1413"/>
      <c r="J1126" s="1414"/>
      <c r="K1126" s="1324"/>
      <c r="L1126" s="1415"/>
      <c r="M1126" s="1336"/>
      <c r="N1126" s="1338"/>
      <c r="O1126" s="1416"/>
      <c r="P1126" s="1163"/>
      <c r="R1126" s="1352"/>
      <c r="S1126" s="1352"/>
      <c r="T1126" s="1352">
        <f>+Tabla16[[#This Row],[CDPS A 31 JULIO 2022]]-Tabla16[[#This Row],[CDP]]</f>
        <v>0</v>
      </c>
      <c r="U1126" s="1352"/>
      <c r="V1126" s="1352"/>
      <c r="W1126" s="1352"/>
    </row>
    <row r="1127" spans="1:23" ht="35.25" hidden="1" customHeight="1" x14ac:dyDescent="0.3">
      <c r="A1127" s="1322"/>
      <c r="B1127" s="1417"/>
      <c r="C1127" s="1345"/>
      <c r="D1127" s="1334"/>
      <c r="E1127" s="1412"/>
      <c r="F1127" s="1335"/>
      <c r="G1127" s="1418"/>
      <c r="H1127" s="1326"/>
      <c r="I1127" s="1413"/>
      <c r="J1127" s="1414"/>
      <c r="K1127" s="1324"/>
      <c r="L1127" s="1415"/>
      <c r="M1127" s="1336"/>
      <c r="N1127" s="1338"/>
      <c r="O1127" s="1416"/>
      <c r="P1127" s="1163"/>
      <c r="R1127" s="1352"/>
      <c r="S1127" s="1352"/>
      <c r="T1127" s="1352">
        <f>+Tabla16[[#This Row],[CDPS A 31 JULIO 2022]]-Tabla16[[#This Row],[CDP]]</f>
        <v>0</v>
      </c>
      <c r="U1127" s="1352"/>
      <c r="V1127" s="1352"/>
      <c r="W1127" s="1352"/>
    </row>
    <row r="1128" spans="1:23" ht="45" hidden="1" customHeight="1" x14ac:dyDescent="0.3">
      <c r="A1128" s="1322"/>
      <c r="B1128" s="1417"/>
      <c r="C1128" s="1345"/>
      <c r="D1128" s="1334"/>
      <c r="E1128" s="1412"/>
      <c r="F1128" s="1335"/>
      <c r="G1128" s="1418"/>
      <c r="H1128" s="1326"/>
      <c r="I1128" s="1413"/>
      <c r="J1128" s="1414"/>
      <c r="K1128" s="1324"/>
      <c r="L1128" s="1415"/>
      <c r="M1128" s="1336"/>
      <c r="N1128" s="1338"/>
      <c r="O1128" s="1416"/>
      <c r="P1128" s="1163"/>
      <c r="R1128" s="1352"/>
      <c r="S1128" s="1352"/>
      <c r="T1128" s="1352">
        <f>+Tabla16[[#This Row],[CDPS A 31 JULIO 2022]]-Tabla16[[#This Row],[CDP]]</f>
        <v>0</v>
      </c>
      <c r="U1128" s="1352"/>
      <c r="V1128" s="1352"/>
      <c r="W1128" s="1352"/>
    </row>
    <row r="1129" spans="1:23" ht="45" hidden="1" customHeight="1" x14ac:dyDescent="0.3">
      <c r="A1129" s="1322"/>
      <c r="B1129" s="1417"/>
      <c r="C1129" s="1345"/>
      <c r="D1129" s="1334"/>
      <c r="E1129" s="1412"/>
      <c r="F1129" s="1335"/>
      <c r="G1129" s="1418"/>
      <c r="H1129" s="1326"/>
      <c r="I1129" s="1413"/>
      <c r="J1129" s="1414"/>
      <c r="K1129" s="1324"/>
      <c r="L1129" s="1415"/>
      <c r="M1129" s="1336"/>
      <c r="N1129" s="1338"/>
      <c r="O1129" s="1416"/>
      <c r="P1129" s="1163"/>
      <c r="R1129" s="1352"/>
      <c r="S1129" s="1352"/>
      <c r="T1129" s="1352">
        <f>+Tabla16[[#This Row],[CDPS A 31 JULIO 2022]]-Tabla16[[#This Row],[CDP]]</f>
        <v>0</v>
      </c>
      <c r="U1129" s="1352"/>
      <c r="V1129" s="1352"/>
      <c r="W1129" s="1352"/>
    </row>
    <row r="1130" spans="1:23" ht="45" hidden="1" customHeight="1" x14ac:dyDescent="0.3">
      <c r="A1130" s="1322"/>
      <c r="B1130" s="1417"/>
      <c r="C1130" s="1345"/>
      <c r="D1130" s="1334"/>
      <c r="E1130" s="1412"/>
      <c r="F1130" s="1335"/>
      <c r="G1130" s="1418"/>
      <c r="H1130" s="1326"/>
      <c r="I1130" s="1413"/>
      <c r="J1130" s="1414"/>
      <c r="K1130" s="1324"/>
      <c r="L1130" s="1415"/>
      <c r="M1130" s="1336"/>
      <c r="N1130" s="1338"/>
      <c r="O1130" s="1416"/>
      <c r="P1130" s="1163"/>
      <c r="R1130" s="1352"/>
      <c r="S1130" s="1352"/>
      <c r="T1130" s="1352">
        <f>+Tabla16[[#This Row],[CDPS A 31 JULIO 2022]]-Tabla16[[#This Row],[CDP]]</f>
        <v>0</v>
      </c>
      <c r="U1130" s="1352"/>
      <c r="V1130" s="1352"/>
      <c r="W1130" s="1352"/>
    </row>
    <row r="1131" spans="1:23" ht="45" hidden="1" customHeight="1" x14ac:dyDescent="0.3">
      <c r="A1131" s="1322"/>
      <c r="B1131" s="1417"/>
      <c r="C1131" s="1345"/>
      <c r="D1131" s="1334"/>
      <c r="E1131" s="1412"/>
      <c r="F1131" s="1335"/>
      <c r="G1131" s="1418"/>
      <c r="H1131" s="1326"/>
      <c r="I1131" s="1413"/>
      <c r="J1131" s="1414"/>
      <c r="K1131" s="1324"/>
      <c r="L1131" s="1415"/>
      <c r="M1131" s="1336"/>
      <c r="N1131" s="1338"/>
      <c r="O1131" s="1416"/>
      <c r="P1131" s="1163"/>
      <c r="R1131" s="1352"/>
      <c r="S1131" s="1352"/>
      <c r="T1131" s="1352">
        <f>+Tabla16[[#This Row],[CDPS A 31 JULIO 2022]]-Tabla16[[#This Row],[CDP]]</f>
        <v>0</v>
      </c>
      <c r="U1131" s="1352"/>
      <c r="V1131" s="1352"/>
      <c r="W1131" s="1352"/>
    </row>
    <row r="1132" spans="1:23" ht="45" hidden="1" customHeight="1" x14ac:dyDescent="0.3">
      <c r="A1132" s="1322"/>
      <c r="B1132" s="1417"/>
      <c r="C1132" s="1345"/>
      <c r="D1132" s="1334"/>
      <c r="E1132" s="1412"/>
      <c r="F1132" s="1335"/>
      <c r="G1132" s="1418"/>
      <c r="H1132" s="1326"/>
      <c r="I1132" s="1413"/>
      <c r="J1132" s="1414"/>
      <c r="K1132" s="1324"/>
      <c r="L1132" s="1415"/>
      <c r="M1132" s="1336"/>
      <c r="N1132" s="1338"/>
      <c r="O1132" s="1416"/>
      <c r="P1132" s="1163"/>
      <c r="R1132" s="1352"/>
      <c r="S1132" s="1352"/>
      <c r="T1132" s="1352">
        <f>+Tabla16[[#This Row],[CDPS A 31 JULIO 2022]]-Tabla16[[#This Row],[CDP]]</f>
        <v>0</v>
      </c>
      <c r="U1132" s="1352"/>
      <c r="V1132" s="1352"/>
      <c r="W1132" s="1352"/>
    </row>
    <row r="1133" spans="1:23" ht="45" customHeight="1" x14ac:dyDescent="0.35">
      <c r="A1133" s="1366"/>
      <c r="B1133" s="1367"/>
      <c r="C1133" s="1331"/>
      <c r="D1133" s="1368"/>
      <c r="E1133" s="1369"/>
      <c r="F1133" s="1331"/>
      <c r="G1133" s="1370"/>
      <c r="H1133" s="1330"/>
      <c r="I1133" s="1371"/>
      <c r="J1133" s="1372"/>
      <c r="K1133" s="1331"/>
      <c r="L1133" s="1373"/>
      <c r="M1133" s="1374"/>
      <c r="N1133" s="1323"/>
      <c r="Q1133"/>
      <c r="R1133"/>
      <c r="S1133"/>
      <c r="T1133"/>
      <c r="U1133" s="1362"/>
      <c r="V1133" s="1362"/>
      <c r="W1133"/>
    </row>
    <row r="1134" spans="1:23" ht="45" customHeight="1" x14ac:dyDescent="0.3">
      <c r="F1134" s="1163" t="s">
        <v>1407</v>
      </c>
      <c r="L1134" s="1365"/>
      <c r="M1134" s="1347"/>
      <c r="R1134" s="1397">
        <f>SUM(R7:R740)</f>
        <v>45840538894</v>
      </c>
    </row>
    <row r="1135" spans="1:23" ht="45" customHeight="1" x14ac:dyDescent="0.3">
      <c r="M1135" s="1348"/>
      <c r="N1135" s="1347"/>
    </row>
    <row r="1136" spans="1:23" ht="45" customHeight="1" x14ac:dyDescent="0.3">
      <c r="J1136" s="1347"/>
      <c r="M1136" s="1348"/>
    </row>
    <row r="1137" spans="10:13" ht="45" customHeight="1" x14ac:dyDescent="0.3">
      <c r="J1137" s="1347"/>
      <c r="M1137" s="1348"/>
    </row>
  </sheetData>
  <protectedRanges>
    <protectedRange sqref="F27" name="Rango1_4_4_1_2"/>
  </protectedRanges>
  <mergeCells count="3">
    <mergeCell ref="A1:L1"/>
    <mergeCell ref="A2:L2"/>
    <mergeCell ref="M4:N4"/>
  </mergeCells>
  <phoneticPr fontId="108" type="noConversion"/>
  <dataValidations count="16">
    <dataValidation type="list" allowBlank="1" showInputMessage="1" showErrorMessage="1" sqref="O649" xr:uid="{00000000-0002-0000-0700-000000000000}">
      <formula1>$AK$38:$AK$43</formula1>
    </dataValidation>
    <dataValidation type="list" allowBlank="1" showInputMessage="1" showErrorMessage="1" sqref="N649" xr:uid="{00000000-0002-0000-0700-000001000000}">
      <formula1>$AL$38:$AL$49</formula1>
    </dataValidation>
    <dataValidation type="list" allowBlank="1" showInputMessage="1" showErrorMessage="1" sqref="O642 O655:O656" xr:uid="{00000000-0002-0000-0700-000002000000}">
      <formula1>$AK$40:$AK$45</formula1>
    </dataValidation>
    <dataValidation type="list" allowBlank="1" showInputMessage="1" showErrorMessage="1" sqref="N642 N655:N656" xr:uid="{00000000-0002-0000-0700-000003000000}">
      <formula1>$AL$40:$AL$51</formula1>
    </dataValidation>
    <dataValidation type="list" allowBlank="1" showInputMessage="1" showErrorMessage="1" sqref="O643:O648 O650:O654 O7:O385 O388:O641 O657:O1125" xr:uid="{00000000-0002-0000-0700-000004000000}">
      <formula1>$AK$39:$AK$44</formula1>
    </dataValidation>
    <dataValidation type="list" allowBlank="1" showInputMessage="1" showErrorMessage="1" sqref="N643:N648 N650:N654 N7:N385 N388:N641 N657:N1125" xr:uid="{00000000-0002-0000-0700-000005000000}">
      <formula1>$AL$39:$AL$50</formula1>
    </dataValidation>
    <dataValidation type="list" allowBlank="1" showInputMessage="1" showErrorMessage="1" sqref="B7:B385 B388:B1128" xr:uid="{00000000-0002-0000-0700-000006000000}">
      <formula1>$AJ$5:$AJ$8</formula1>
    </dataValidation>
    <dataValidation type="list" allowBlank="1" showInputMessage="1" showErrorMessage="1" sqref="C7:C385 C388:C1128" xr:uid="{00000000-0002-0000-0700-000007000000}">
      <formula1>$AK$5:$AK$7</formula1>
    </dataValidation>
    <dataValidation type="list" allowBlank="1" showInputMessage="1" showErrorMessage="1" sqref="D7:D385 D388:D1128" xr:uid="{00000000-0002-0000-0700-000008000000}">
      <formula1>$AL$5:$AL$14</formula1>
    </dataValidation>
    <dataValidation type="list" allowBlank="1" showInputMessage="1" showErrorMessage="1" sqref="J7:J385 J388:J1128" xr:uid="{00000000-0002-0000-0700-000009000000}">
      <formula1>$AM$5:$AM$23</formula1>
    </dataValidation>
    <dataValidation type="list" allowBlank="1" showInputMessage="1" showErrorMessage="1" sqref="J386:J387" xr:uid="{00000000-0002-0000-0700-00000A000000}">
      <formula1>$AL$5:$AL$23</formula1>
    </dataValidation>
    <dataValidation type="list" allowBlank="1" showInputMessage="1" showErrorMessage="1" sqref="D386:D387" xr:uid="{00000000-0002-0000-0700-00000B000000}">
      <formula1>$AK$5:$AK$14</formula1>
    </dataValidation>
    <dataValidation type="list" allowBlank="1" showInputMessage="1" showErrorMessage="1" sqref="C386:C387" xr:uid="{00000000-0002-0000-0700-00000C000000}">
      <formula1>$AJ$5:$AJ$7</formula1>
    </dataValidation>
    <dataValidation type="list" allowBlank="1" showInputMessage="1" showErrorMessage="1" sqref="B386:B387" xr:uid="{00000000-0002-0000-0700-00000D000000}">
      <formula1>$AI$5:$AI$8</formula1>
    </dataValidation>
    <dataValidation type="list" allowBlank="1" showInputMessage="1" showErrorMessage="1" sqref="N386:N387" xr:uid="{00000000-0002-0000-0700-00000E000000}">
      <formula1>$AK$41:$AK$52</formula1>
    </dataValidation>
    <dataValidation type="list" allowBlank="1" showInputMessage="1" showErrorMessage="1" sqref="O386:O387" xr:uid="{00000000-0002-0000-0700-00000F000000}">
      <formula1>$AJ$41:$AJ$46</formula1>
    </dataValidation>
  </dataValidations>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53125" defaultRowHeight="12.5" x14ac:dyDescent="0.25"/>
  <cols>
    <col min="1" max="1" width="9.54296875" style="1001" customWidth="1"/>
    <col min="2" max="2" width="14" style="1002" customWidth="1"/>
    <col min="3" max="3" width="21.7265625" style="1001" customWidth="1"/>
    <col min="4" max="4" width="16.453125" style="1103" customWidth="1"/>
    <col min="5" max="5" width="14.81640625" style="1002" customWidth="1"/>
    <col min="6" max="6" width="39.7265625" style="1126" customWidth="1"/>
    <col min="7" max="7" width="20.26953125" style="1103" customWidth="1"/>
    <col min="8" max="8" width="17.7265625" style="1103" customWidth="1"/>
    <col min="9" max="9" width="13.26953125" style="1103" customWidth="1"/>
    <col min="10" max="10" width="17.7265625" style="1103" customWidth="1"/>
    <col min="11" max="11" width="15.7265625" style="1103" customWidth="1"/>
    <col min="12" max="12" width="19.54296875" style="1127" customWidth="1"/>
    <col min="13" max="13" width="20.453125" style="1103" bestFit="1" customWidth="1"/>
    <col min="14" max="14" width="21.81640625" style="1103" customWidth="1"/>
    <col min="15" max="15" width="32.7265625" style="1103" customWidth="1"/>
    <col min="16" max="16" width="12.453125" style="1103" bestFit="1" customWidth="1"/>
    <col min="17" max="17" width="18.453125" style="1127" customWidth="1"/>
    <col min="18" max="19" width="11.453125" style="1127"/>
    <col min="20" max="20" width="16.453125" style="1157" bestFit="1" customWidth="1"/>
    <col min="21" max="16384" width="11.453125" style="1103"/>
  </cols>
  <sheetData>
    <row r="1" spans="1:20" s="995" customFormat="1" ht="26.5" customHeight="1" x14ac:dyDescent="0.35">
      <c r="A1" s="991"/>
      <c r="B1" s="992"/>
      <c r="C1" s="992"/>
      <c r="D1" s="992"/>
      <c r="E1" s="993"/>
      <c r="F1" s="1450" t="s">
        <v>641</v>
      </c>
      <c r="G1" s="1450"/>
      <c r="H1" s="1450"/>
      <c r="I1" s="992"/>
      <c r="J1" s="992"/>
      <c r="K1" s="992"/>
      <c r="L1" s="992"/>
      <c r="M1" s="992"/>
      <c r="N1" s="992"/>
      <c r="O1" s="992"/>
      <c r="P1" s="992"/>
      <c r="Q1" s="994"/>
      <c r="R1" s="994"/>
      <c r="S1" s="994"/>
      <c r="T1" s="1154"/>
    </row>
    <row r="2" spans="1:20" s="995" customFormat="1" x14ac:dyDescent="0.35">
      <c r="A2" s="992"/>
      <c r="B2" s="992"/>
      <c r="C2" s="992"/>
      <c r="D2" s="992"/>
      <c r="E2" s="993"/>
      <c r="F2" s="996"/>
      <c r="G2" s="997"/>
      <c r="H2" s="992"/>
      <c r="I2" s="992"/>
      <c r="J2" s="992"/>
      <c r="K2" s="992"/>
      <c r="L2" s="992"/>
      <c r="M2" s="992"/>
      <c r="N2" s="992"/>
      <c r="O2" s="992"/>
      <c r="P2" s="992"/>
      <c r="Q2" s="994"/>
      <c r="R2" s="994"/>
      <c r="S2" s="994"/>
      <c r="T2" s="1154"/>
    </row>
    <row r="3" spans="1:20" s="995" customFormat="1" x14ac:dyDescent="0.35">
      <c r="B3" s="992"/>
      <c r="C3" s="992"/>
      <c r="D3" s="992"/>
      <c r="E3" s="993"/>
      <c r="F3" s="996" t="s">
        <v>1408</v>
      </c>
      <c r="G3" s="997"/>
      <c r="I3" s="992"/>
      <c r="J3" s="992"/>
      <c r="K3" s="992"/>
      <c r="L3" s="992"/>
      <c r="M3" s="992"/>
      <c r="N3" s="992"/>
      <c r="O3" s="992"/>
      <c r="P3" s="992"/>
      <c r="Q3" s="994"/>
      <c r="R3" s="994"/>
      <c r="S3" s="994"/>
      <c r="T3" s="1154"/>
    </row>
    <row r="4" spans="1:20" s="995" customFormat="1" x14ac:dyDescent="0.35">
      <c r="B4" s="994"/>
      <c r="D4" s="998"/>
      <c r="E4" s="994"/>
      <c r="F4" s="999"/>
      <c r="G4" s="998"/>
      <c r="H4" s="998"/>
      <c r="I4" s="998"/>
      <c r="J4" s="998"/>
      <c r="K4" s="998"/>
      <c r="L4" s="1000"/>
      <c r="M4" s="1451" t="s">
        <v>1409</v>
      </c>
      <c r="N4" s="1451"/>
      <c r="Q4" s="994"/>
      <c r="R4" s="994"/>
      <c r="S4" s="994"/>
      <c r="T4" s="1154"/>
    </row>
    <row r="5" spans="1:20" s="995" customFormat="1" x14ac:dyDescent="0.35">
      <c r="A5" s="1001"/>
      <c r="B5" s="1002"/>
      <c r="C5" s="1001"/>
      <c r="D5" s="1001"/>
      <c r="E5" s="994"/>
      <c r="F5" s="999"/>
      <c r="K5" s="1003"/>
      <c r="L5" s="1004"/>
      <c r="M5" s="1005">
        <f>+SUBTOTAL(9,M7:M616)</f>
        <v>67248064999.699997</v>
      </c>
      <c r="N5" s="1006"/>
      <c r="Q5" s="994"/>
      <c r="R5" s="994"/>
      <c r="S5" s="994"/>
      <c r="T5" s="1154"/>
    </row>
    <row r="6" spans="1:20" s="1012" customFormat="1" ht="62.5" x14ac:dyDescent="0.35">
      <c r="A6" s="1007" t="s">
        <v>646</v>
      </c>
      <c r="B6" s="1007" t="s">
        <v>642</v>
      </c>
      <c r="C6" s="1007" t="s">
        <v>647</v>
      </c>
      <c r="D6" s="1007" t="s">
        <v>648</v>
      </c>
      <c r="E6" s="1007" t="s">
        <v>649</v>
      </c>
      <c r="F6" s="1008" t="s">
        <v>650</v>
      </c>
      <c r="G6" s="1009" t="s">
        <v>651</v>
      </c>
      <c r="H6" s="1009" t="s">
        <v>652</v>
      </c>
      <c r="I6" s="1007" t="s">
        <v>1410</v>
      </c>
      <c r="J6" s="1007" t="s">
        <v>654</v>
      </c>
      <c r="K6" s="1007" t="s">
        <v>655</v>
      </c>
      <c r="L6" s="1010" t="s">
        <v>656</v>
      </c>
      <c r="M6" s="1007" t="s">
        <v>657</v>
      </c>
      <c r="N6" s="1007" t="s">
        <v>658</v>
      </c>
      <c r="O6" s="1007" t="s">
        <v>1411</v>
      </c>
      <c r="P6" s="1011" t="s">
        <v>664</v>
      </c>
      <c r="Q6" s="1007" t="s">
        <v>1412</v>
      </c>
      <c r="R6" s="1012" t="s">
        <v>663</v>
      </c>
      <c r="S6" s="1012" t="s">
        <v>665</v>
      </c>
      <c r="T6" s="1155" t="s">
        <v>1413</v>
      </c>
    </row>
    <row r="7" spans="1:20" s="1022" customFormat="1" ht="100" x14ac:dyDescent="0.35">
      <c r="A7" s="1013">
        <v>2022001</v>
      </c>
      <c r="B7" s="1013">
        <v>7637</v>
      </c>
      <c r="C7" s="1013" t="s">
        <v>643</v>
      </c>
      <c r="D7" s="1014" t="s">
        <v>671</v>
      </c>
      <c r="E7" s="1015">
        <v>80111600</v>
      </c>
      <c r="F7" s="1016" t="s">
        <v>672</v>
      </c>
      <c r="G7" s="1017" t="s">
        <v>1414</v>
      </c>
      <c r="H7" s="1017" t="s">
        <v>1414</v>
      </c>
      <c r="I7" s="1017">
        <v>11</v>
      </c>
      <c r="J7" s="1017" t="s">
        <v>1415</v>
      </c>
      <c r="K7" s="1018" t="s">
        <v>674</v>
      </c>
      <c r="L7" s="1019" t="s">
        <v>675</v>
      </c>
      <c r="M7" s="1020">
        <f>93500000-23400000</f>
        <v>70100000</v>
      </c>
      <c r="N7" s="1021" t="s">
        <v>732</v>
      </c>
      <c r="O7" s="1021" t="s">
        <v>1416</v>
      </c>
      <c r="P7" s="1021"/>
      <c r="Q7" s="1017"/>
      <c r="S7" s="1130"/>
      <c r="T7" s="1156"/>
    </row>
    <row r="8" spans="1:20" s="995" customFormat="1" ht="87.5" x14ac:dyDescent="0.35">
      <c r="A8" s="1023">
        <v>2022002</v>
      </c>
      <c r="B8" s="1023">
        <v>7637</v>
      </c>
      <c r="C8" s="1023" t="s">
        <v>643</v>
      </c>
      <c r="D8" s="1024" t="s">
        <v>671</v>
      </c>
      <c r="E8" s="1025">
        <v>80111600</v>
      </c>
      <c r="F8" s="1026" t="s">
        <v>681</v>
      </c>
      <c r="G8" s="1027" t="s">
        <v>1414</v>
      </c>
      <c r="H8" s="1027" t="s">
        <v>1414</v>
      </c>
      <c r="I8" s="1027">
        <v>11</v>
      </c>
      <c r="J8" s="1027" t="s">
        <v>1415</v>
      </c>
      <c r="K8" s="1028" t="s">
        <v>674</v>
      </c>
      <c r="L8" s="1029" t="s">
        <v>675</v>
      </c>
      <c r="M8" s="1030">
        <v>77000000</v>
      </c>
      <c r="N8" s="1031" t="s">
        <v>732</v>
      </c>
      <c r="O8" s="1031" t="s">
        <v>1416</v>
      </c>
      <c r="P8" s="1031"/>
      <c r="Q8" s="1027"/>
      <c r="R8" s="1022"/>
      <c r="S8" s="1130">
        <v>259</v>
      </c>
      <c r="T8" s="1156">
        <v>74800000</v>
      </c>
    </row>
    <row r="9" spans="1:20" s="995" customFormat="1" ht="87.5" x14ac:dyDescent="0.35">
      <c r="A9" s="1023">
        <v>2022003</v>
      </c>
      <c r="B9" s="1023">
        <v>7637</v>
      </c>
      <c r="C9" s="1023" t="s">
        <v>643</v>
      </c>
      <c r="D9" s="1024" t="s">
        <v>671</v>
      </c>
      <c r="E9" s="1025">
        <v>80111600</v>
      </c>
      <c r="F9" s="1026" t="s">
        <v>684</v>
      </c>
      <c r="G9" s="1027" t="s">
        <v>1414</v>
      </c>
      <c r="H9" s="1027" t="s">
        <v>1414</v>
      </c>
      <c r="I9" s="1027">
        <v>11</v>
      </c>
      <c r="J9" s="1027" t="s">
        <v>1415</v>
      </c>
      <c r="K9" s="1028" t="s">
        <v>674</v>
      </c>
      <c r="L9" s="1029" t="s">
        <v>675</v>
      </c>
      <c r="M9" s="1030">
        <v>77000000</v>
      </c>
      <c r="N9" s="1031" t="s">
        <v>738</v>
      </c>
      <c r="O9" s="1031" t="s">
        <v>1416</v>
      </c>
      <c r="P9" s="1031"/>
      <c r="Q9" s="1027"/>
      <c r="R9" s="1022"/>
      <c r="S9" s="1130">
        <v>404</v>
      </c>
      <c r="T9" s="1156">
        <v>49600000</v>
      </c>
    </row>
    <row r="10" spans="1:20" s="995" customFormat="1" ht="87.5" x14ac:dyDescent="0.35">
      <c r="A10" s="1023">
        <v>2022004</v>
      </c>
      <c r="B10" s="1023">
        <v>7637</v>
      </c>
      <c r="C10" s="1023" t="s">
        <v>643</v>
      </c>
      <c r="D10" s="1024" t="s">
        <v>671</v>
      </c>
      <c r="E10" s="1025">
        <v>80111600</v>
      </c>
      <c r="F10" s="1026" t="s">
        <v>688</v>
      </c>
      <c r="G10" s="1027" t="s">
        <v>1414</v>
      </c>
      <c r="H10" s="1027" t="s">
        <v>1414</v>
      </c>
      <c r="I10" s="1027">
        <v>11</v>
      </c>
      <c r="J10" s="1027" t="s">
        <v>1415</v>
      </c>
      <c r="K10" s="1028" t="s">
        <v>674</v>
      </c>
      <c r="L10" s="1029" t="s">
        <v>675</v>
      </c>
      <c r="M10" s="1030">
        <v>77000000</v>
      </c>
      <c r="N10" s="1031" t="s">
        <v>732</v>
      </c>
      <c r="O10" s="1031" t="s">
        <v>1416</v>
      </c>
      <c r="P10" s="1031"/>
      <c r="Q10" s="1027"/>
      <c r="R10" s="1022"/>
      <c r="S10" s="1130">
        <v>311</v>
      </c>
      <c r="T10" s="1156">
        <v>74800000</v>
      </c>
    </row>
    <row r="11" spans="1:20" s="995" customFormat="1" ht="87.5" x14ac:dyDescent="0.35">
      <c r="A11" s="1023">
        <v>2022005</v>
      </c>
      <c r="B11" s="1023">
        <v>7637</v>
      </c>
      <c r="C11" s="1023" t="s">
        <v>643</v>
      </c>
      <c r="D11" s="1024" t="s">
        <v>671</v>
      </c>
      <c r="E11" s="1025">
        <v>80111600</v>
      </c>
      <c r="F11" s="1026" t="s">
        <v>691</v>
      </c>
      <c r="G11" s="1027" t="s">
        <v>1414</v>
      </c>
      <c r="H11" s="1027" t="s">
        <v>1414</v>
      </c>
      <c r="I11" s="1027">
        <v>11</v>
      </c>
      <c r="J11" s="1027" t="s">
        <v>1415</v>
      </c>
      <c r="K11" s="1028" t="s">
        <v>674</v>
      </c>
      <c r="L11" s="1029" t="s">
        <v>675</v>
      </c>
      <c r="M11" s="1030">
        <v>77000000</v>
      </c>
      <c r="N11" s="1031" t="s">
        <v>732</v>
      </c>
      <c r="O11" s="1031" t="s">
        <v>1416</v>
      </c>
      <c r="P11" s="1031"/>
      <c r="Q11" s="1027"/>
      <c r="R11" s="1022"/>
      <c r="S11" s="1130">
        <v>452</v>
      </c>
      <c r="T11" s="1156">
        <v>40800000</v>
      </c>
    </row>
    <row r="12" spans="1:20" s="995" customFormat="1" ht="87.5" x14ac:dyDescent="0.35">
      <c r="A12" s="1023">
        <v>2022006</v>
      </c>
      <c r="B12" s="1023">
        <v>7637</v>
      </c>
      <c r="C12" s="1023" t="s">
        <v>643</v>
      </c>
      <c r="D12" s="1024" t="s">
        <v>671</v>
      </c>
      <c r="E12" s="1025">
        <v>80111600</v>
      </c>
      <c r="F12" s="1026" t="s">
        <v>694</v>
      </c>
      <c r="G12" s="1027" t="s">
        <v>1414</v>
      </c>
      <c r="H12" s="1027" t="s">
        <v>1414</v>
      </c>
      <c r="I12" s="1027">
        <v>11</v>
      </c>
      <c r="J12" s="1027" t="s">
        <v>1415</v>
      </c>
      <c r="K12" s="1028" t="s">
        <v>674</v>
      </c>
      <c r="L12" s="1029" t="s">
        <v>675</v>
      </c>
      <c r="M12" s="1030">
        <v>66000000</v>
      </c>
      <c r="N12" s="1031" t="s">
        <v>732</v>
      </c>
      <c r="O12" s="1031" t="s">
        <v>1416</v>
      </c>
      <c r="P12" s="1031"/>
      <c r="Q12" s="1027"/>
      <c r="R12" s="1022"/>
      <c r="S12" s="1130">
        <v>474</v>
      </c>
      <c r="T12" s="1156">
        <v>48000000</v>
      </c>
    </row>
    <row r="13" spans="1:20" s="995" customFormat="1" ht="87.5" x14ac:dyDescent="0.35">
      <c r="A13" s="1023">
        <v>2022007</v>
      </c>
      <c r="B13" s="1023">
        <v>7637</v>
      </c>
      <c r="C13" s="1023" t="s">
        <v>643</v>
      </c>
      <c r="D13" s="1024" t="s">
        <v>671</v>
      </c>
      <c r="E13" s="1025">
        <v>80111600</v>
      </c>
      <c r="F13" s="1026" t="s">
        <v>697</v>
      </c>
      <c r="G13" s="1027" t="s">
        <v>1414</v>
      </c>
      <c r="H13" s="1027" t="s">
        <v>1414</v>
      </c>
      <c r="I13" s="1027">
        <v>11</v>
      </c>
      <c r="J13" s="1027" t="s">
        <v>1415</v>
      </c>
      <c r="K13" s="1028" t="s">
        <v>674</v>
      </c>
      <c r="L13" s="1029" t="s">
        <v>675</v>
      </c>
      <c r="M13" s="1030">
        <v>77000000</v>
      </c>
      <c r="N13" s="1031" t="s">
        <v>732</v>
      </c>
      <c r="O13" s="1031" t="s">
        <v>1416</v>
      </c>
      <c r="P13" s="1031"/>
      <c r="Q13" s="1027"/>
      <c r="R13" s="1022"/>
      <c r="S13" s="1130">
        <v>260</v>
      </c>
      <c r="T13" s="1156">
        <v>74800000</v>
      </c>
    </row>
    <row r="14" spans="1:20" s="995" customFormat="1" ht="87.5" x14ac:dyDescent="0.35">
      <c r="A14" s="1023">
        <v>2022008</v>
      </c>
      <c r="B14" s="1023">
        <v>7637</v>
      </c>
      <c r="C14" s="1023" t="s">
        <v>643</v>
      </c>
      <c r="D14" s="1024" t="s">
        <v>671</v>
      </c>
      <c r="E14" s="1025">
        <v>80111600</v>
      </c>
      <c r="F14" s="1026" t="s">
        <v>700</v>
      </c>
      <c r="G14" s="1027" t="s">
        <v>1414</v>
      </c>
      <c r="H14" s="1027" t="s">
        <v>1414</v>
      </c>
      <c r="I14" s="1027">
        <v>11</v>
      </c>
      <c r="J14" s="1027" t="s">
        <v>1415</v>
      </c>
      <c r="K14" s="1028" t="s">
        <v>674</v>
      </c>
      <c r="L14" s="1029" t="s">
        <v>675</v>
      </c>
      <c r="M14" s="1030">
        <v>77000000</v>
      </c>
      <c r="N14" s="1031" t="s">
        <v>732</v>
      </c>
      <c r="O14" s="1031" t="s">
        <v>1416</v>
      </c>
      <c r="P14" s="1031"/>
      <c r="Q14" s="1027"/>
      <c r="R14" s="1022"/>
      <c r="S14" s="1130">
        <v>310</v>
      </c>
      <c r="T14" s="1156">
        <v>74800000</v>
      </c>
    </row>
    <row r="15" spans="1:20" s="995" customFormat="1" ht="87.5" x14ac:dyDescent="0.35">
      <c r="A15" s="1023">
        <v>2022009</v>
      </c>
      <c r="B15" s="1023">
        <v>7637</v>
      </c>
      <c r="C15" s="1023" t="s">
        <v>643</v>
      </c>
      <c r="D15" s="1024" t="s">
        <v>671</v>
      </c>
      <c r="E15" s="1025">
        <v>80111600</v>
      </c>
      <c r="F15" s="1026" t="s">
        <v>703</v>
      </c>
      <c r="G15" s="1027" t="s">
        <v>1414</v>
      </c>
      <c r="H15" s="1027" t="s">
        <v>1414</v>
      </c>
      <c r="I15" s="1027">
        <v>11</v>
      </c>
      <c r="J15" s="1027" t="s">
        <v>1415</v>
      </c>
      <c r="K15" s="1028" t="s">
        <v>674</v>
      </c>
      <c r="L15" s="1029" t="s">
        <v>675</v>
      </c>
      <c r="M15" s="1030">
        <v>77000000</v>
      </c>
      <c r="N15" s="1031" t="s">
        <v>736</v>
      </c>
      <c r="O15" s="1031" t="s">
        <v>1416</v>
      </c>
      <c r="P15" s="1031"/>
      <c r="Q15" s="1027"/>
      <c r="R15" s="1022"/>
      <c r="S15" s="1130">
        <v>459</v>
      </c>
      <c r="T15" s="1156">
        <v>49600000</v>
      </c>
    </row>
    <row r="16" spans="1:20" s="995" customFormat="1" ht="87.5" x14ac:dyDescent="0.35">
      <c r="A16" s="1023">
        <v>2022010</v>
      </c>
      <c r="B16" s="1023">
        <v>7637</v>
      </c>
      <c r="C16" s="1023" t="s">
        <v>643</v>
      </c>
      <c r="D16" s="1024" t="s">
        <v>671</v>
      </c>
      <c r="E16" s="1025">
        <v>80111600</v>
      </c>
      <c r="F16" s="1026" t="s">
        <v>706</v>
      </c>
      <c r="G16" s="1027" t="s">
        <v>1414</v>
      </c>
      <c r="H16" s="1027" t="s">
        <v>1414</v>
      </c>
      <c r="I16" s="1027">
        <v>11</v>
      </c>
      <c r="J16" s="1027" t="s">
        <v>1415</v>
      </c>
      <c r="K16" s="1028" t="s">
        <v>674</v>
      </c>
      <c r="L16" s="1029" t="s">
        <v>675</v>
      </c>
      <c r="M16" s="1030">
        <v>66000000</v>
      </c>
      <c r="N16" s="1031" t="s">
        <v>732</v>
      </c>
      <c r="O16" s="1031" t="s">
        <v>1416</v>
      </c>
      <c r="P16" s="1031"/>
      <c r="Q16" s="1027"/>
      <c r="R16" s="1022"/>
      <c r="S16" s="1130">
        <v>449</v>
      </c>
      <c r="T16" s="1156">
        <v>49600000</v>
      </c>
    </row>
    <row r="17" spans="1:20" s="995" customFormat="1" ht="87.5" x14ac:dyDescent="0.35">
      <c r="A17" s="1023">
        <v>2022011</v>
      </c>
      <c r="B17" s="1023">
        <v>7637</v>
      </c>
      <c r="C17" s="1023" t="s">
        <v>643</v>
      </c>
      <c r="D17" s="1024" t="s">
        <v>671</v>
      </c>
      <c r="E17" s="1025">
        <v>80111600</v>
      </c>
      <c r="F17" s="1026" t="s">
        <v>708</v>
      </c>
      <c r="G17" s="1027" t="s">
        <v>1414</v>
      </c>
      <c r="H17" s="1027" t="s">
        <v>1414</v>
      </c>
      <c r="I17" s="1027">
        <v>11</v>
      </c>
      <c r="J17" s="1027" t="s">
        <v>1415</v>
      </c>
      <c r="K17" s="1028" t="s">
        <v>674</v>
      </c>
      <c r="L17" s="1029" t="s">
        <v>675</v>
      </c>
      <c r="M17" s="1030">
        <v>33000000</v>
      </c>
      <c r="N17" s="1031" t="s">
        <v>732</v>
      </c>
      <c r="O17" s="1031" t="s">
        <v>1416</v>
      </c>
      <c r="P17" s="1031"/>
      <c r="Q17" s="1027"/>
      <c r="R17" s="1022"/>
      <c r="S17" s="1130">
        <v>372</v>
      </c>
      <c r="T17" s="1156">
        <v>24000000</v>
      </c>
    </row>
    <row r="18" spans="1:20" s="995" customFormat="1" ht="87.5" x14ac:dyDescent="0.35">
      <c r="A18" s="1023">
        <v>2022012</v>
      </c>
      <c r="B18" s="1023">
        <v>7637</v>
      </c>
      <c r="C18" s="1023" t="s">
        <v>643</v>
      </c>
      <c r="D18" s="1024" t="s">
        <v>671</v>
      </c>
      <c r="E18" s="1025">
        <v>80111600</v>
      </c>
      <c r="F18" s="1026" t="s">
        <v>710</v>
      </c>
      <c r="G18" s="1027" t="s">
        <v>1414</v>
      </c>
      <c r="H18" s="1027" t="s">
        <v>1414</v>
      </c>
      <c r="I18" s="1027">
        <v>11</v>
      </c>
      <c r="J18" s="1027" t="s">
        <v>1415</v>
      </c>
      <c r="K18" s="1028" t="s">
        <v>674</v>
      </c>
      <c r="L18" s="1029" t="s">
        <v>675</v>
      </c>
      <c r="M18" s="1030">
        <v>49500000</v>
      </c>
      <c r="N18" s="1031" t="s">
        <v>732</v>
      </c>
      <c r="O18" s="1031" t="s">
        <v>1416</v>
      </c>
      <c r="P18" s="1031"/>
      <c r="Q18" s="1027"/>
      <c r="R18" s="1022"/>
      <c r="S18" s="1130">
        <v>209</v>
      </c>
      <c r="T18" s="1156">
        <v>49500000</v>
      </c>
    </row>
    <row r="19" spans="1:20" s="995" customFormat="1" ht="87.5" x14ac:dyDescent="0.35">
      <c r="A19" s="1023">
        <v>2022013</v>
      </c>
      <c r="B19" s="1023">
        <v>7637</v>
      </c>
      <c r="C19" s="1023" t="s">
        <v>643</v>
      </c>
      <c r="D19" s="1024" t="s">
        <v>671</v>
      </c>
      <c r="E19" s="1025">
        <v>80111600</v>
      </c>
      <c r="F19" s="1026" t="s">
        <v>712</v>
      </c>
      <c r="G19" s="1027" t="s">
        <v>1414</v>
      </c>
      <c r="H19" s="1027" t="s">
        <v>1414</v>
      </c>
      <c r="I19" s="1027">
        <v>11</v>
      </c>
      <c r="J19" s="1027" t="s">
        <v>1415</v>
      </c>
      <c r="K19" s="1028" t="s">
        <v>674</v>
      </c>
      <c r="L19" s="1029" t="s">
        <v>675</v>
      </c>
      <c r="M19" s="1030">
        <v>49500000</v>
      </c>
      <c r="N19" s="1031" t="s">
        <v>732</v>
      </c>
      <c r="O19" s="1031" t="s">
        <v>1416</v>
      </c>
      <c r="P19" s="1031"/>
      <c r="Q19" s="1027"/>
      <c r="R19" s="1022"/>
      <c r="S19" s="1130">
        <v>448</v>
      </c>
      <c r="T19" s="1156">
        <v>49500000</v>
      </c>
    </row>
    <row r="20" spans="1:20" s="995" customFormat="1" ht="87.5" x14ac:dyDescent="0.35">
      <c r="A20" s="1023">
        <v>2022014</v>
      </c>
      <c r="B20" s="1023">
        <v>7637</v>
      </c>
      <c r="C20" s="1023" t="s">
        <v>643</v>
      </c>
      <c r="D20" s="1024" t="s">
        <v>671</v>
      </c>
      <c r="E20" s="1025">
        <v>80111600</v>
      </c>
      <c r="F20" s="1026" t="s">
        <v>714</v>
      </c>
      <c r="G20" s="1027" t="s">
        <v>1414</v>
      </c>
      <c r="H20" s="1027" t="s">
        <v>1414</v>
      </c>
      <c r="I20" s="1027">
        <v>11</v>
      </c>
      <c r="J20" s="1027" t="s">
        <v>1415</v>
      </c>
      <c r="K20" s="1028" t="s">
        <v>674</v>
      </c>
      <c r="L20" s="1029" t="s">
        <v>675</v>
      </c>
      <c r="M20" s="1030">
        <v>77000000</v>
      </c>
      <c r="N20" s="1031" t="s">
        <v>736</v>
      </c>
      <c r="O20" s="1031" t="s">
        <v>1416</v>
      </c>
      <c r="P20" s="1031"/>
      <c r="Q20" s="1027"/>
      <c r="R20" s="1022"/>
      <c r="S20" s="1130">
        <v>74</v>
      </c>
      <c r="T20" s="1156">
        <v>54400000</v>
      </c>
    </row>
    <row r="21" spans="1:20" s="995" customFormat="1" ht="87.5" x14ac:dyDescent="0.35">
      <c r="A21" s="1023">
        <v>2022015</v>
      </c>
      <c r="B21" s="1023">
        <v>7637</v>
      </c>
      <c r="C21" s="1023" t="s">
        <v>643</v>
      </c>
      <c r="D21" s="1024" t="s">
        <v>671</v>
      </c>
      <c r="E21" s="1025">
        <v>80111600</v>
      </c>
      <c r="F21" s="1026" t="s">
        <v>716</v>
      </c>
      <c r="G21" s="1027" t="s">
        <v>1414</v>
      </c>
      <c r="H21" s="1027" t="s">
        <v>1414</v>
      </c>
      <c r="I21" s="1027">
        <v>11</v>
      </c>
      <c r="J21" s="1027" t="s">
        <v>1415</v>
      </c>
      <c r="K21" s="1028" t="s">
        <v>674</v>
      </c>
      <c r="L21" s="1029" t="s">
        <v>675</v>
      </c>
      <c r="M21" s="1030">
        <v>77000000</v>
      </c>
      <c r="N21" s="1031" t="s">
        <v>732</v>
      </c>
      <c r="O21" s="1031" t="s">
        <v>1416</v>
      </c>
      <c r="P21" s="1031"/>
      <c r="Q21" s="1027"/>
      <c r="R21" s="1022"/>
      <c r="S21" s="1130">
        <v>387</v>
      </c>
      <c r="T21" s="1156">
        <v>54400000</v>
      </c>
    </row>
    <row r="22" spans="1:20" s="995" customFormat="1" ht="87.5" x14ac:dyDescent="0.35">
      <c r="A22" s="1023">
        <v>2022016</v>
      </c>
      <c r="B22" s="1023">
        <v>7637</v>
      </c>
      <c r="C22" s="1023" t="s">
        <v>643</v>
      </c>
      <c r="D22" s="1024" t="s">
        <v>671</v>
      </c>
      <c r="E22" s="1025">
        <v>80111600</v>
      </c>
      <c r="F22" s="1026" t="s">
        <v>718</v>
      </c>
      <c r="G22" s="1027" t="s">
        <v>1414</v>
      </c>
      <c r="H22" s="1027" t="s">
        <v>1414</v>
      </c>
      <c r="I22" s="1027">
        <v>9.9</v>
      </c>
      <c r="J22" s="1027" t="s">
        <v>1415</v>
      </c>
      <c r="K22" s="1028" t="s">
        <v>674</v>
      </c>
      <c r="L22" s="1029" t="s">
        <v>675</v>
      </c>
      <c r="M22" s="1030">
        <v>49500000</v>
      </c>
      <c r="N22" s="1031" t="s">
        <v>736</v>
      </c>
      <c r="O22" s="1031" t="s">
        <v>1416</v>
      </c>
      <c r="P22" s="1031"/>
      <c r="Q22" s="1027"/>
      <c r="R22" s="1022"/>
      <c r="S22" s="1130">
        <v>472</v>
      </c>
      <c r="T22" s="1156">
        <v>30000000</v>
      </c>
    </row>
    <row r="23" spans="1:20" s="995" customFormat="1" ht="87.5" x14ac:dyDescent="0.35">
      <c r="A23" s="1023">
        <v>2022017</v>
      </c>
      <c r="B23" s="1023">
        <v>7637</v>
      </c>
      <c r="C23" s="1023" t="s">
        <v>643</v>
      </c>
      <c r="D23" s="1024" t="s">
        <v>671</v>
      </c>
      <c r="E23" s="1025">
        <v>80111600</v>
      </c>
      <c r="F23" s="1026" t="s">
        <v>719</v>
      </c>
      <c r="G23" s="1027" t="s">
        <v>1414</v>
      </c>
      <c r="H23" s="1027" t="s">
        <v>1414</v>
      </c>
      <c r="I23" s="1027">
        <v>11</v>
      </c>
      <c r="J23" s="1027" t="s">
        <v>1415</v>
      </c>
      <c r="K23" s="1028" t="s">
        <v>674</v>
      </c>
      <c r="L23" s="1029" t="s">
        <v>675</v>
      </c>
      <c r="M23" s="1030">
        <v>33000000</v>
      </c>
      <c r="N23" s="1031" t="s">
        <v>732</v>
      </c>
      <c r="O23" s="1031" t="s">
        <v>1416</v>
      </c>
      <c r="P23" s="1031"/>
      <c r="Q23" s="1027"/>
      <c r="R23" s="1022"/>
      <c r="S23" s="1130">
        <v>313</v>
      </c>
      <c r="T23" s="1156">
        <v>16800000</v>
      </c>
    </row>
    <row r="24" spans="1:20" s="995" customFormat="1" ht="87.5" x14ac:dyDescent="0.35">
      <c r="A24" s="1023">
        <v>2022018</v>
      </c>
      <c r="B24" s="1023">
        <v>7637</v>
      </c>
      <c r="C24" s="1027" t="s">
        <v>643</v>
      </c>
      <c r="D24" s="1024" t="s">
        <v>671</v>
      </c>
      <c r="E24" s="1025">
        <v>80111600</v>
      </c>
      <c r="F24" s="1026" t="s">
        <v>721</v>
      </c>
      <c r="G24" s="1027" t="s">
        <v>1414</v>
      </c>
      <c r="H24" s="1027" t="s">
        <v>1414</v>
      </c>
      <c r="I24" s="1027" t="s">
        <v>1417</v>
      </c>
      <c r="J24" s="1027" t="s">
        <v>1415</v>
      </c>
      <c r="K24" s="1027" t="s">
        <v>674</v>
      </c>
      <c r="L24" s="1027" t="s">
        <v>675</v>
      </c>
      <c r="M24" s="1030">
        <f>33000000-3500000</f>
        <v>29500000</v>
      </c>
      <c r="N24" s="1031" t="s">
        <v>732</v>
      </c>
      <c r="O24" s="1031" t="s">
        <v>1416</v>
      </c>
      <c r="P24" s="1031"/>
      <c r="Q24" s="1027"/>
      <c r="R24" s="1022"/>
      <c r="S24" s="1130">
        <v>451</v>
      </c>
      <c r="T24" s="1156">
        <v>24000000</v>
      </c>
    </row>
    <row r="25" spans="1:20" s="995" customFormat="1" ht="87.5" x14ac:dyDescent="0.35">
      <c r="A25" s="1023">
        <v>2022019</v>
      </c>
      <c r="B25" s="1023">
        <v>7637</v>
      </c>
      <c r="C25" s="1023" t="s">
        <v>643</v>
      </c>
      <c r="D25" s="1024" t="s">
        <v>671</v>
      </c>
      <c r="E25" s="1025">
        <v>80111600</v>
      </c>
      <c r="F25" s="1026" t="s">
        <v>723</v>
      </c>
      <c r="G25" s="1027" t="s">
        <v>1414</v>
      </c>
      <c r="H25" s="1027" t="s">
        <v>1414</v>
      </c>
      <c r="I25" s="1027">
        <v>11</v>
      </c>
      <c r="J25" s="1027" t="s">
        <v>1415</v>
      </c>
      <c r="K25" s="1027" t="s">
        <v>674</v>
      </c>
      <c r="L25" s="1029" t="s">
        <v>675</v>
      </c>
      <c r="M25" s="1030">
        <v>68200000</v>
      </c>
      <c r="N25" s="1031" t="s">
        <v>732</v>
      </c>
      <c r="O25" s="1031" t="s">
        <v>1416</v>
      </c>
      <c r="P25" s="1031"/>
      <c r="Q25" s="1027"/>
      <c r="R25" s="1022"/>
      <c r="S25" s="1130">
        <v>415</v>
      </c>
      <c r="T25" s="1156">
        <v>41400000</v>
      </c>
    </row>
    <row r="26" spans="1:20" s="995" customFormat="1" ht="87.5" x14ac:dyDescent="0.35">
      <c r="A26" s="1023">
        <v>2022020</v>
      </c>
      <c r="B26" s="1023">
        <v>7637</v>
      </c>
      <c r="C26" s="1023" t="s">
        <v>643</v>
      </c>
      <c r="D26" s="1024" t="s">
        <v>671</v>
      </c>
      <c r="E26" s="1025">
        <v>80111600</v>
      </c>
      <c r="F26" s="1026" t="s">
        <v>725</v>
      </c>
      <c r="G26" s="1027" t="s">
        <v>1414</v>
      </c>
      <c r="H26" s="1027" t="s">
        <v>1414</v>
      </c>
      <c r="I26" s="1027">
        <v>11</v>
      </c>
      <c r="J26" s="1027" t="s">
        <v>1415</v>
      </c>
      <c r="K26" s="1027" t="s">
        <v>674</v>
      </c>
      <c r="L26" s="1029" t="s">
        <v>675</v>
      </c>
      <c r="M26" s="1030">
        <v>49500000</v>
      </c>
      <c r="N26" s="1031" t="s">
        <v>732</v>
      </c>
      <c r="O26" s="1031" t="s">
        <v>1416</v>
      </c>
      <c r="P26" s="1031"/>
      <c r="Q26" s="1027"/>
      <c r="R26" s="1022"/>
      <c r="S26" s="1130">
        <v>284</v>
      </c>
      <c r="T26" s="1156">
        <v>36000000</v>
      </c>
    </row>
    <row r="27" spans="1:20" s="995" customFormat="1" ht="87.5" x14ac:dyDescent="0.35">
      <c r="A27" s="1013">
        <v>2022021</v>
      </c>
      <c r="B27" s="1013">
        <v>7637</v>
      </c>
      <c r="C27" s="1013" t="s">
        <v>643</v>
      </c>
      <c r="D27" s="1019" t="s">
        <v>671</v>
      </c>
      <c r="E27" s="1032" t="s">
        <v>1418</v>
      </c>
      <c r="F27" s="1016" t="s">
        <v>1419</v>
      </c>
      <c r="G27" s="1017" t="s">
        <v>1420</v>
      </c>
      <c r="H27" s="1017" t="s">
        <v>1421</v>
      </c>
      <c r="I27" s="1017">
        <v>6</v>
      </c>
      <c r="J27" s="1017" t="s">
        <v>1422</v>
      </c>
      <c r="K27" s="1017" t="s">
        <v>674</v>
      </c>
      <c r="L27" s="1019" t="s">
        <v>729</v>
      </c>
      <c r="M27" s="1020">
        <v>60000000</v>
      </c>
      <c r="N27" s="1021" t="s">
        <v>732</v>
      </c>
      <c r="O27" s="1021" t="s">
        <v>1416</v>
      </c>
      <c r="P27" s="1021"/>
      <c r="Q27" s="1017"/>
      <c r="R27" s="1022"/>
      <c r="S27" s="1130"/>
      <c r="T27" s="1156"/>
    </row>
    <row r="28" spans="1:20" s="995" customFormat="1" ht="87.5" x14ac:dyDescent="0.35">
      <c r="A28" s="1013">
        <v>2022022</v>
      </c>
      <c r="B28" s="1013">
        <v>7637</v>
      </c>
      <c r="C28" s="1013" t="s">
        <v>643</v>
      </c>
      <c r="D28" s="1019" t="s">
        <v>671</v>
      </c>
      <c r="E28" s="1032" t="s">
        <v>1423</v>
      </c>
      <c r="F28" s="1016" t="s">
        <v>728</v>
      </c>
      <c r="G28" s="1017" t="s">
        <v>1414</v>
      </c>
      <c r="H28" s="1017" t="s">
        <v>1424</v>
      </c>
      <c r="I28" s="1017">
        <v>1</v>
      </c>
      <c r="J28" s="1017" t="s">
        <v>1425</v>
      </c>
      <c r="K28" s="1017" t="s">
        <v>674</v>
      </c>
      <c r="L28" s="1019" t="s">
        <v>729</v>
      </c>
      <c r="M28" s="1020">
        <v>600000000</v>
      </c>
      <c r="N28" s="1021" t="s">
        <v>732</v>
      </c>
      <c r="O28" s="1021" t="s">
        <v>1416</v>
      </c>
      <c r="P28" s="1021"/>
      <c r="Q28" s="1017"/>
      <c r="R28" s="1022"/>
      <c r="S28" s="1130"/>
      <c r="T28" s="1156"/>
    </row>
    <row r="29" spans="1:20" s="995" customFormat="1" ht="87.5" x14ac:dyDescent="0.35">
      <c r="A29" s="1013">
        <v>2022023</v>
      </c>
      <c r="B29" s="1013">
        <v>7637</v>
      </c>
      <c r="C29" s="1013" t="s">
        <v>643</v>
      </c>
      <c r="D29" s="1019" t="s">
        <v>671</v>
      </c>
      <c r="E29" s="1032">
        <v>81112401</v>
      </c>
      <c r="F29" s="1016" t="s">
        <v>731</v>
      </c>
      <c r="G29" s="1017" t="s">
        <v>1420</v>
      </c>
      <c r="H29" s="1017" t="s">
        <v>1420</v>
      </c>
      <c r="I29" s="1017">
        <v>3</v>
      </c>
      <c r="J29" s="1017" t="s">
        <v>1425</v>
      </c>
      <c r="K29" s="1017" t="s">
        <v>674</v>
      </c>
      <c r="L29" s="1019" t="s">
        <v>729</v>
      </c>
      <c r="M29" s="1020">
        <v>195700000</v>
      </c>
      <c r="N29" s="1021" t="s">
        <v>732</v>
      </c>
      <c r="O29" s="1021" t="s">
        <v>1416</v>
      </c>
      <c r="P29" s="1021"/>
      <c r="Q29" s="1017"/>
      <c r="R29" s="1022"/>
      <c r="S29" s="1130"/>
      <c r="T29" s="1156"/>
    </row>
    <row r="30" spans="1:20" s="995" customFormat="1" ht="87.5" x14ac:dyDescent="0.35">
      <c r="A30" s="1013">
        <v>2022024</v>
      </c>
      <c r="B30" s="1013">
        <v>7637</v>
      </c>
      <c r="C30" s="1013" t="s">
        <v>643</v>
      </c>
      <c r="D30" s="1019" t="s">
        <v>671</v>
      </c>
      <c r="E30" s="1032" t="s">
        <v>1426</v>
      </c>
      <c r="F30" s="1016" t="s">
        <v>1427</v>
      </c>
      <c r="G30" s="1017" t="s">
        <v>1424</v>
      </c>
      <c r="H30" s="1017" t="s">
        <v>1421</v>
      </c>
      <c r="I30" s="1017">
        <v>6</v>
      </c>
      <c r="J30" s="1017" t="s">
        <v>1422</v>
      </c>
      <c r="K30" s="1017" t="s">
        <v>674</v>
      </c>
      <c r="L30" s="1019" t="s">
        <v>675</v>
      </c>
      <c r="M30" s="1020">
        <v>114000000</v>
      </c>
      <c r="N30" s="1021" t="s">
        <v>732</v>
      </c>
      <c r="O30" s="1021" t="s">
        <v>1416</v>
      </c>
      <c r="P30" s="1021"/>
      <c r="Q30" s="1017"/>
      <c r="R30" s="1022"/>
      <c r="S30" s="1130"/>
      <c r="T30" s="1156"/>
    </row>
    <row r="31" spans="1:20" s="995" customFormat="1" ht="87.5" x14ac:dyDescent="0.35">
      <c r="A31" s="1013">
        <v>2022025</v>
      </c>
      <c r="B31" s="1013">
        <v>7637</v>
      </c>
      <c r="C31" s="1013" t="s">
        <v>643</v>
      </c>
      <c r="D31" s="1019" t="s">
        <v>671</v>
      </c>
      <c r="E31" s="1032">
        <v>81112217</v>
      </c>
      <c r="F31" s="1016" t="s">
        <v>737</v>
      </c>
      <c r="G31" s="1017" t="s">
        <v>1428</v>
      </c>
      <c r="H31" s="1017" t="s">
        <v>1429</v>
      </c>
      <c r="I31" s="1017">
        <v>12</v>
      </c>
      <c r="J31" s="1017" t="s">
        <v>1425</v>
      </c>
      <c r="K31" s="1017" t="s">
        <v>674</v>
      </c>
      <c r="L31" s="1019" t="s">
        <v>1430</v>
      </c>
      <c r="M31" s="1020">
        <v>50000000</v>
      </c>
      <c r="N31" s="1021" t="s">
        <v>738</v>
      </c>
      <c r="O31" s="1021" t="s">
        <v>1416</v>
      </c>
      <c r="P31" s="1021"/>
      <c r="Q31" s="1017"/>
      <c r="R31" s="1022"/>
      <c r="S31" s="1130"/>
      <c r="T31" s="1156"/>
    </row>
    <row r="32" spans="1:20" s="995" customFormat="1" ht="87.5" x14ac:dyDescent="0.35">
      <c r="A32" s="1023">
        <v>2022026</v>
      </c>
      <c r="B32" s="1023">
        <v>7637</v>
      </c>
      <c r="C32" s="1023" t="s">
        <v>643</v>
      </c>
      <c r="D32" s="1029" t="s">
        <v>671</v>
      </c>
      <c r="E32" s="1033" t="s">
        <v>1431</v>
      </c>
      <c r="F32" s="1026" t="s">
        <v>740</v>
      </c>
      <c r="G32" s="1027" t="s">
        <v>1428</v>
      </c>
      <c r="H32" s="1027" t="s">
        <v>1429</v>
      </c>
      <c r="I32" s="1027">
        <v>12</v>
      </c>
      <c r="J32" s="1027" t="s">
        <v>1425</v>
      </c>
      <c r="K32" s="1027" t="s">
        <v>674</v>
      </c>
      <c r="L32" s="1029" t="s">
        <v>1430</v>
      </c>
      <c r="M32" s="1030">
        <v>150000000</v>
      </c>
      <c r="N32" s="1031" t="s">
        <v>732</v>
      </c>
      <c r="O32" s="1031" t="s">
        <v>1416</v>
      </c>
      <c r="P32" s="1031"/>
      <c r="Q32" s="1027"/>
      <c r="R32" s="1022"/>
      <c r="S32" s="1130">
        <v>465</v>
      </c>
      <c r="T32" s="1156">
        <v>142667750</v>
      </c>
    </row>
    <row r="33" spans="1:103" s="995" customFormat="1" ht="87.5" x14ac:dyDescent="0.35">
      <c r="A33" s="1013">
        <v>2022027</v>
      </c>
      <c r="B33" s="1013">
        <v>7637</v>
      </c>
      <c r="C33" s="1013" t="s">
        <v>643</v>
      </c>
      <c r="D33" s="1019" t="s">
        <v>671</v>
      </c>
      <c r="E33" s="1032">
        <v>81161712</v>
      </c>
      <c r="F33" s="1016" t="s">
        <v>742</v>
      </c>
      <c r="G33" s="1017" t="s">
        <v>1421</v>
      </c>
      <c r="H33" s="1017" t="s">
        <v>1428</v>
      </c>
      <c r="I33" s="1017">
        <v>1</v>
      </c>
      <c r="J33" s="1017" t="s">
        <v>1432</v>
      </c>
      <c r="K33" s="1017" t="s">
        <v>674</v>
      </c>
      <c r="L33" s="1019" t="s">
        <v>743</v>
      </c>
      <c r="M33" s="1020">
        <v>10000000</v>
      </c>
      <c r="N33" s="1021" t="s">
        <v>732</v>
      </c>
      <c r="O33" s="1021" t="s">
        <v>1416</v>
      </c>
      <c r="P33" s="1021"/>
      <c r="Q33" s="1017"/>
      <c r="R33" s="1022"/>
      <c r="S33" s="1130"/>
      <c r="T33" s="1156"/>
    </row>
    <row r="34" spans="1:103" s="1034" customFormat="1" ht="87.5" x14ac:dyDescent="0.35">
      <c r="A34" s="1023">
        <v>2022028</v>
      </c>
      <c r="B34" s="1023">
        <v>7637</v>
      </c>
      <c r="C34" s="1023" t="s">
        <v>643</v>
      </c>
      <c r="D34" s="1029" t="s">
        <v>671</v>
      </c>
      <c r="E34" s="1033" t="s">
        <v>1433</v>
      </c>
      <c r="F34" s="1026" t="s">
        <v>746</v>
      </c>
      <c r="G34" s="1027" t="s">
        <v>1420</v>
      </c>
      <c r="H34" s="1027" t="s">
        <v>1420</v>
      </c>
      <c r="I34" s="1027">
        <v>5</v>
      </c>
      <c r="J34" s="1024"/>
      <c r="K34" s="1027" t="s">
        <v>674</v>
      </c>
      <c r="L34" s="1029" t="s">
        <v>747</v>
      </c>
      <c r="M34" s="1030">
        <v>81000000</v>
      </c>
      <c r="N34" s="1031" t="s">
        <v>732</v>
      </c>
      <c r="O34" s="1031" t="s">
        <v>1416</v>
      </c>
      <c r="P34" s="1031"/>
      <c r="Q34" s="1027"/>
      <c r="R34" s="1022"/>
      <c r="S34" s="1130">
        <v>548</v>
      </c>
      <c r="T34" s="1156">
        <v>47970328</v>
      </c>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c r="CD34" s="995"/>
      <c r="CE34" s="995"/>
      <c r="CF34" s="995"/>
      <c r="CG34" s="995"/>
      <c r="CH34" s="995"/>
      <c r="CI34" s="995"/>
      <c r="CJ34" s="995"/>
      <c r="CK34" s="995"/>
      <c r="CL34" s="995"/>
      <c r="CM34" s="995"/>
      <c r="CN34" s="995"/>
      <c r="CO34" s="995"/>
      <c r="CP34" s="995"/>
      <c r="CQ34" s="995"/>
      <c r="CR34" s="995"/>
      <c r="CS34" s="995"/>
      <c r="CT34" s="995"/>
      <c r="CU34" s="995"/>
      <c r="CV34" s="995"/>
      <c r="CW34" s="995"/>
      <c r="CX34" s="995"/>
      <c r="CY34" s="995"/>
    </row>
    <row r="35" spans="1:103" s="995" customFormat="1" ht="87.5" x14ac:dyDescent="0.35">
      <c r="A35" s="1013">
        <v>2022029</v>
      </c>
      <c r="B35" s="1013">
        <v>7637</v>
      </c>
      <c r="C35" s="1013" t="s">
        <v>643</v>
      </c>
      <c r="D35" s="1019" t="s">
        <v>671</v>
      </c>
      <c r="E35" s="1032" t="s">
        <v>1433</v>
      </c>
      <c r="F35" s="1016" t="s">
        <v>751</v>
      </c>
      <c r="G35" s="1017" t="s">
        <v>1429</v>
      </c>
      <c r="H35" s="1017" t="s">
        <v>1434</v>
      </c>
      <c r="I35" s="1017">
        <v>4</v>
      </c>
      <c r="J35" s="1017" t="s">
        <v>1435</v>
      </c>
      <c r="K35" s="1017" t="s">
        <v>674</v>
      </c>
      <c r="L35" s="1019" t="s">
        <v>747</v>
      </c>
      <c r="M35" s="1020">
        <v>80000000</v>
      </c>
      <c r="N35" s="1021" t="s">
        <v>732</v>
      </c>
      <c r="O35" s="1021" t="s">
        <v>1416</v>
      </c>
      <c r="P35" s="1021"/>
      <c r="Q35" s="1017"/>
      <c r="R35" s="1022"/>
      <c r="S35" s="1130"/>
      <c r="T35" s="1156"/>
    </row>
    <row r="36" spans="1:103" s="995" customFormat="1" ht="87.5" x14ac:dyDescent="0.35">
      <c r="A36" s="1013">
        <v>2022030</v>
      </c>
      <c r="B36" s="1013">
        <v>7637</v>
      </c>
      <c r="C36" s="1013" t="s">
        <v>643</v>
      </c>
      <c r="D36" s="1019" t="s">
        <v>671</v>
      </c>
      <c r="E36" s="1032">
        <v>81111700</v>
      </c>
      <c r="F36" s="1016" t="s">
        <v>1436</v>
      </c>
      <c r="G36" s="1017" t="s">
        <v>1424</v>
      </c>
      <c r="H36" s="1017" t="s">
        <v>1424</v>
      </c>
      <c r="I36" s="1017">
        <v>10</v>
      </c>
      <c r="J36" s="1017" t="s">
        <v>1425</v>
      </c>
      <c r="K36" s="1017" t="s">
        <v>674</v>
      </c>
      <c r="L36" s="1019" t="s">
        <v>675</v>
      </c>
      <c r="M36" s="1020">
        <v>20000000</v>
      </c>
      <c r="N36" s="1021" t="s">
        <v>732</v>
      </c>
      <c r="O36" s="1021" t="s">
        <v>1416</v>
      </c>
      <c r="P36" s="1021"/>
      <c r="Q36" s="1017"/>
      <c r="R36" s="1022"/>
      <c r="S36" s="1130"/>
      <c r="T36" s="1156"/>
    </row>
    <row r="37" spans="1:103" s="1034" customFormat="1" ht="87.5" x14ac:dyDescent="0.35">
      <c r="A37" s="1131">
        <v>2022031</v>
      </c>
      <c r="B37" s="1131">
        <v>7637</v>
      </c>
      <c r="C37" s="1131" t="s">
        <v>643</v>
      </c>
      <c r="D37" s="1132" t="s">
        <v>671</v>
      </c>
      <c r="E37" s="1133" t="s">
        <v>1437</v>
      </c>
      <c r="F37" s="1134" t="s">
        <v>754</v>
      </c>
      <c r="G37" s="1135" t="s">
        <v>1414</v>
      </c>
      <c r="H37" s="1017" t="s">
        <v>1424</v>
      </c>
      <c r="I37" s="1135">
        <v>1</v>
      </c>
      <c r="J37" s="1135" t="s">
        <v>1438</v>
      </c>
      <c r="K37" s="1135" t="s">
        <v>674</v>
      </c>
      <c r="L37" s="1132" t="s">
        <v>675</v>
      </c>
      <c r="M37" s="1136">
        <v>72100000</v>
      </c>
      <c r="N37" s="1137" t="s">
        <v>736</v>
      </c>
      <c r="O37" s="1137" t="s">
        <v>1416</v>
      </c>
      <c r="P37" s="1137"/>
      <c r="Q37" s="1135"/>
      <c r="R37" s="1130">
        <v>349</v>
      </c>
      <c r="S37" s="1130"/>
      <c r="T37" s="1156"/>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c r="CD37" s="995"/>
      <c r="CE37" s="995"/>
      <c r="CF37" s="995"/>
      <c r="CG37" s="995"/>
      <c r="CH37" s="995"/>
      <c r="CI37" s="995"/>
      <c r="CJ37" s="995"/>
      <c r="CK37" s="995"/>
      <c r="CL37" s="995"/>
      <c r="CM37" s="995"/>
      <c r="CN37" s="995"/>
      <c r="CO37" s="995"/>
      <c r="CP37" s="995"/>
      <c r="CQ37" s="995"/>
      <c r="CR37" s="995"/>
      <c r="CS37" s="995"/>
      <c r="CT37" s="995"/>
      <c r="CU37" s="995"/>
      <c r="CV37" s="995"/>
      <c r="CW37" s="995"/>
      <c r="CX37" s="995"/>
      <c r="CY37" s="995"/>
    </row>
    <row r="38" spans="1:103" s="995" customFormat="1" ht="87.5" x14ac:dyDescent="0.35">
      <c r="A38" s="1013">
        <v>2022032</v>
      </c>
      <c r="B38" s="1013">
        <v>7637</v>
      </c>
      <c r="C38" s="1013" t="s">
        <v>643</v>
      </c>
      <c r="D38" s="1019" t="s">
        <v>671</v>
      </c>
      <c r="E38" s="1032">
        <v>81112222</v>
      </c>
      <c r="F38" s="1016" t="s">
        <v>1439</v>
      </c>
      <c r="G38" s="1017" t="s">
        <v>1434</v>
      </c>
      <c r="H38" s="1017" t="s">
        <v>1440</v>
      </c>
      <c r="I38" s="1017">
        <v>12</v>
      </c>
      <c r="J38" s="1017" t="s">
        <v>1435</v>
      </c>
      <c r="K38" s="1017" t="s">
        <v>674</v>
      </c>
      <c r="L38" s="1019" t="s">
        <v>675</v>
      </c>
      <c r="M38" s="1020">
        <v>120000000</v>
      </c>
      <c r="N38" s="1021" t="s">
        <v>732</v>
      </c>
      <c r="O38" s="1021" t="s">
        <v>1416</v>
      </c>
      <c r="P38" s="1021"/>
      <c r="Q38" s="1017"/>
      <c r="R38" s="1022"/>
      <c r="S38" s="1130"/>
      <c r="T38" s="1156"/>
    </row>
    <row r="39" spans="1:103" s="995" customFormat="1" ht="87.5" x14ac:dyDescent="0.35">
      <c r="A39" s="1013">
        <v>2022033</v>
      </c>
      <c r="B39" s="1013">
        <v>7637</v>
      </c>
      <c r="C39" s="1013" t="s">
        <v>643</v>
      </c>
      <c r="D39" s="1019" t="s">
        <v>671</v>
      </c>
      <c r="E39" s="1032" t="s">
        <v>1441</v>
      </c>
      <c r="F39" s="1016" t="s">
        <v>1442</v>
      </c>
      <c r="G39" s="1017" t="s">
        <v>1428</v>
      </c>
      <c r="H39" s="1017" t="s">
        <v>1429</v>
      </c>
      <c r="I39" s="1017">
        <v>3</v>
      </c>
      <c r="J39" s="1017" t="s">
        <v>1435</v>
      </c>
      <c r="K39" s="1017" t="s">
        <v>674</v>
      </c>
      <c r="L39" s="1019" t="s">
        <v>1430</v>
      </c>
      <c r="M39" s="1020">
        <v>50000000</v>
      </c>
      <c r="N39" s="1021" t="s">
        <v>732</v>
      </c>
      <c r="O39" s="1021" t="s">
        <v>1416</v>
      </c>
      <c r="P39" s="1021"/>
      <c r="Q39" s="1017"/>
      <c r="R39" s="1022"/>
      <c r="S39" s="1130"/>
      <c r="T39" s="1156"/>
    </row>
    <row r="40" spans="1:103" s="995" customFormat="1" ht="87.5" x14ac:dyDescent="0.35">
      <c r="A40" s="1013">
        <v>2022034</v>
      </c>
      <c r="B40" s="1013">
        <v>7637</v>
      </c>
      <c r="C40" s="1013" t="s">
        <v>643</v>
      </c>
      <c r="D40" s="1019" t="s">
        <v>671</v>
      </c>
      <c r="E40" s="1032">
        <v>81112217</v>
      </c>
      <c r="F40" s="1016" t="s">
        <v>1443</v>
      </c>
      <c r="G40" s="1017" t="s">
        <v>1444</v>
      </c>
      <c r="H40" s="1017" t="s">
        <v>1445</v>
      </c>
      <c r="I40" s="1017">
        <v>1</v>
      </c>
      <c r="J40" s="1017" t="s">
        <v>1438</v>
      </c>
      <c r="K40" s="1017" t="s">
        <v>674</v>
      </c>
      <c r="L40" s="1019" t="s">
        <v>675</v>
      </c>
      <c r="M40" s="1020">
        <v>35077000</v>
      </c>
      <c r="N40" s="1014" t="s">
        <v>736</v>
      </c>
      <c r="O40" s="1021" t="s">
        <v>1416</v>
      </c>
      <c r="P40" s="1021"/>
      <c r="Q40" s="1017"/>
      <c r="R40" s="1022"/>
      <c r="S40" s="1130"/>
      <c r="T40" s="1156"/>
    </row>
    <row r="41" spans="1:103" s="995" customFormat="1" ht="87.5" x14ac:dyDescent="0.35">
      <c r="A41" s="1013">
        <v>2022035</v>
      </c>
      <c r="B41" s="1013">
        <v>7637</v>
      </c>
      <c r="C41" s="1013" t="s">
        <v>643</v>
      </c>
      <c r="D41" s="1019" t="s">
        <v>671</v>
      </c>
      <c r="E41" s="1035" t="s">
        <v>1304</v>
      </c>
      <c r="F41" s="1016" t="s">
        <v>1446</v>
      </c>
      <c r="G41" s="1017" t="s">
        <v>1421</v>
      </c>
      <c r="H41" s="1017" t="s">
        <v>1428</v>
      </c>
      <c r="I41" s="1017">
        <v>8</v>
      </c>
      <c r="J41" s="1017" t="s">
        <v>1438</v>
      </c>
      <c r="K41" s="1017" t="s">
        <v>674</v>
      </c>
      <c r="L41" s="1019" t="s">
        <v>675</v>
      </c>
      <c r="M41" s="1020">
        <v>70000000</v>
      </c>
      <c r="N41" s="1021" t="s">
        <v>732</v>
      </c>
      <c r="O41" s="1021" t="s">
        <v>1416</v>
      </c>
      <c r="P41" s="1021"/>
      <c r="Q41" s="1017"/>
      <c r="R41" s="1022"/>
      <c r="S41" s="1130"/>
      <c r="T41" s="1156"/>
    </row>
    <row r="42" spans="1:103" s="995" customFormat="1" ht="87.5" x14ac:dyDescent="0.35">
      <c r="A42" s="1023">
        <v>2022036</v>
      </c>
      <c r="B42" s="1023">
        <v>7637</v>
      </c>
      <c r="C42" s="1023" t="s">
        <v>643</v>
      </c>
      <c r="D42" s="1029" t="s">
        <v>671</v>
      </c>
      <c r="E42" s="1036" t="s">
        <v>1447</v>
      </c>
      <c r="F42" s="1036" t="s">
        <v>761</v>
      </c>
      <c r="G42" s="1027" t="s">
        <v>1414</v>
      </c>
      <c r="H42" s="1027" t="s">
        <v>1414</v>
      </c>
      <c r="I42" s="1027">
        <v>11</v>
      </c>
      <c r="J42" s="1027" t="s">
        <v>1435</v>
      </c>
      <c r="K42" s="1027" t="s">
        <v>674</v>
      </c>
      <c r="L42" s="1029" t="s">
        <v>1430</v>
      </c>
      <c r="M42" s="1030">
        <v>487640000</v>
      </c>
      <c r="N42" s="1031" t="s">
        <v>732</v>
      </c>
      <c r="O42" s="1031" t="s">
        <v>1416</v>
      </c>
      <c r="P42" s="1031"/>
      <c r="Q42" s="1027"/>
      <c r="R42" s="1022"/>
      <c r="S42" s="1130">
        <v>440</v>
      </c>
      <c r="T42" s="1156">
        <v>232050000</v>
      </c>
    </row>
    <row r="43" spans="1:103" s="1034" customFormat="1" ht="87.5" x14ac:dyDescent="0.35">
      <c r="A43" s="1131">
        <v>2022037</v>
      </c>
      <c r="B43" s="1131">
        <v>7637</v>
      </c>
      <c r="C43" s="1131" t="s">
        <v>643</v>
      </c>
      <c r="D43" s="1132" t="s">
        <v>671</v>
      </c>
      <c r="E43" s="1138" t="s">
        <v>1448</v>
      </c>
      <c r="F43" s="1134" t="s">
        <v>763</v>
      </c>
      <c r="G43" s="1135" t="s">
        <v>1414</v>
      </c>
      <c r="H43" s="1017" t="s">
        <v>1414</v>
      </c>
      <c r="I43" s="1135">
        <v>12</v>
      </c>
      <c r="J43" s="1135" t="s">
        <v>1438</v>
      </c>
      <c r="K43" s="1135" t="s">
        <v>674</v>
      </c>
      <c r="L43" s="1132" t="s">
        <v>729</v>
      </c>
      <c r="M43" s="1136">
        <v>104794000</v>
      </c>
      <c r="N43" s="1137" t="s">
        <v>732</v>
      </c>
      <c r="O43" s="1137" t="s">
        <v>1416</v>
      </c>
      <c r="P43" s="1137"/>
      <c r="Q43" s="1135"/>
      <c r="R43" s="1130">
        <v>338</v>
      </c>
      <c r="S43" s="1130"/>
      <c r="T43" s="1156"/>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c r="CD43" s="995"/>
      <c r="CE43" s="995"/>
      <c r="CF43" s="995"/>
      <c r="CG43" s="995"/>
      <c r="CH43" s="995"/>
      <c r="CI43" s="995"/>
      <c r="CJ43" s="995"/>
      <c r="CK43" s="995"/>
      <c r="CL43" s="995"/>
      <c r="CM43" s="995"/>
      <c r="CN43" s="995"/>
      <c r="CO43" s="995"/>
      <c r="CP43" s="995"/>
      <c r="CQ43" s="995"/>
      <c r="CR43" s="995"/>
      <c r="CS43" s="995"/>
      <c r="CT43" s="995"/>
      <c r="CU43" s="995"/>
      <c r="CV43" s="995"/>
      <c r="CW43" s="995"/>
      <c r="CX43" s="995"/>
      <c r="CY43" s="995"/>
    </row>
    <row r="44" spans="1:103" s="995" customFormat="1" ht="87.5" x14ac:dyDescent="0.35">
      <c r="A44" s="1013">
        <v>2022038</v>
      </c>
      <c r="B44" s="1013">
        <v>7637</v>
      </c>
      <c r="C44" s="1013" t="s">
        <v>643</v>
      </c>
      <c r="D44" s="1019" t="s">
        <v>671</v>
      </c>
      <c r="E44" s="1015">
        <v>81111812</v>
      </c>
      <c r="F44" s="1016" t="s">
        <v>1449</v>
      </c>
      <c r="G44" s="1017" t="s">
        <v>1424</v>
      </c>
      <c r="H44" s="1017" t="s">
        <v>1420</v>
      </c>
      <c r="I44" s="1017">
        <v>12</v>
      </c>
      <c r="J44" s="1017" t="s">
        <v>1438</v>
      </c>
      <c r="K44" s="1017" t="s">
        <v>674</v>
      </c>
      <c r="L44" s="1019" t="s">
        <v>675</v>
      </c>
      <c r="M44" s="1020">
        <v>38500000</v>
      </c>
      <c r="N44" s="1021" t="s">
        <v>732</v>
      </c>
      <c r="O44" s="1021" t="s">
        <v>1416</v>
      </c>
      <c r="P44" s="1021"/>
      <c r="Q44" s="1017"/>
      <c r="R44" s="1022"/>
      <c r="S44" s="1130"/>
      <c r="T44" s="1156"/>
    </row>
    <row r="45" spans="1:103" s="995" customFormat="1" ht="87.5" x14ac:dyDescent="0.35">
      <c r="A45" s="1013">
        <v>2022039</v>
      </c>
      <c r="B45" s="1013">
        <v>7637</v>
      </c>
      <c r="C45" s="1013" t="s">
        <v>643</v>
      </c>
      <c r="D45" s="1019" t="s">
        <v>671</v>
      </c>
      <c r="E45" s="1032">
        <v>43233200</v>
      </c>
      <c r="F45" s="1016" t="s">
        <v>1450</v>
      </c>
      <c r="G45" s="1017" t="s">
        <v>1428</v>
      </c>
      <c r="H45" s="1017" t="s">
        <v>1428</v>
      </c>
      <c r="I45" s="1017">
        <v>3</v>
      </c>
      <c r="J45" s="1017" t="s">
        <v>1425</v>
      </c>
      <c r="K45" s="1017" t="s">
        <v>770</v>
      </c>
      <c r="L45" s="1019" t="s">
        <v>1430</v>
      </c>
      <c r="M45" s="1020">
        <v>170000000</v>
      </c>
      <c r="N45" s="1037" t="s">
        <v>736</v>
      </c>
      <c r="O45" s="1021" t="s">
        <v>1416</v>
      </c>
      <c r="P45" s="1021"/>
      <c r="Q45" s="1017"/>
      <c r="R45" s="1022"/>
      <c r="S45" s="1130"/>
      <c r="T45" s="1156"/>
    </row>
    <row r="46" spans="1:103" s="995" customFormat="1" ht="87.5" x14ac:dyDescent="0.35">
      <c r="A46" s="1013">
        <v>2022040</v>
      </c>
      <c r="B46" s="1013">
        <v>7637</v>
      </c>
      <c r="C46" s="1013" t="s">
        <v>643</v>
      </c>
      <c r="D46" s="1019" t="s">
        <v>671</v>
      </c>
      <c r="E46" s="1032">
        <v>43222600</v>
      </c>
      <c r="F46" s="1016" t="s">
        <v>1451</v>
      </c>
      <c r="G46" s="1017" t="s">
        <v>1421</v>
      </c>
      <c r="H46" s="1017" t="s">
        <v>1421</v>
      </c>
      <c r="I46" s="1017">
        <v>3</v>
      </c>
      <c r="J46" s="1017" t="s">
        <v>1438</v>
      </c>
      <c r="K46" s="1017" t="s">
        <v>770</v>
      </c>
      <c r="L46" s="1019" t="s">
        <v>1430</v>
      </c>
      <c r="M46" s="1020">
        <v>600000000</v>
      </c>
      <c r="N46" s="1021" t="s">
        <v>732</v>
      </c>
      <c r="O46" s="1021" t="s">
        <v>1416</v>
      </c>
      <c r="P46" s="1021"/>
      <c r="Q46" s="1017"/>
      <c r="R46" s="1022"/>
      <c r="S46" s="1130"/>
      <c r="T46" s="1156"/>
    </row>
    <row r="47" spans="1:103" s="995" customFormat="1" ht="87.5" x14ac:dyDescent="0.35">
      <c r="A47" s="1013">
        <v>2022041</v>
      </c>
      <c r="B47" s="1013">
        <v>7637</v>
      </c>
      <c r="C47" s="1013" t="s">
        <v>643</v>
      </c>
      <c r="D47" s="1019" t="s">
        <v>671</v>
      </c>
      <c r="E47" s="1035" t="s">
        <v>1452</v>
      </c>
      <c r="F47" s="1016" t="s">
        <v>1453</v>
      </c>
      <c r="G47" s="1017" t="s">
        <v>1421</v>
      </c>
      <c r="H47" s="1017" t="s">
        <v>1428</v>
      </c>
      <c r="I47" s="1017">
        <v>3</v>
      </c>
      <c r="J47" s="1017" t="s">
        <v>1438</v>
      </c>
      <c r="K47" s="1017" t="s">
        <v>770</v>
      </c>
      <c r="L47" s="1019" t="s">
        <v>1430</v>
      </c>
      <c r="M47" s="1020">
        <v>600000000</v>
      </c>
      <c r="N47" s="1021" t="s">
        <v>732</v>
      </c>
      <c r="O47" s="1021" t="s">
        <v>1416</v>
      </c>
      <c r="P47" s="1021"/>
      <c r="Q47" s="1017"/>
      <c r="R47" s="1022"/>
      <c r="S47" s="1130"/>
      <c r="T47" s="1156"/>
    </row>
    <row r="48" spans="1:103" s="995" customFormat="1" ht="87.5" x14ac:dyDescent="0.35">
      <c r="A48" s="1013">
        <v>2022042</v>
      </c>
      <c r="B48" s="1013">
        <v>7637</v>
      </c>
      <c r="C48" s="1013" t="s">
        <v>643</v>
      </c>
      <c r="D48" s="1019" t="s">
        <v>671</v>
      </c>
      <c r="E48" s="1015"/>
      <c r="F48" s="1016" t="s">
        <v>777</v>
      </c>
      <c r="G48" s="1017"/>
      <c r="H48" s="1017"/>
      <c r="I48" s="1017"/>
      <c r="J48" s="1017"/>
      <c r="K48" s="1017" t="s">
        <v>674</v>
      </c>
      <c r="L48" s="1019" t="s">
        <v>675</v>
      </c>
      <c r="M48" s="1020">
        <v>22500000</v>
      </c>
      <c r="N48" s="1038" t="s">
        <v>732</v>
      </c>
      <c r="O48" s="1038" t="s">
        <v>1416</v>
      </c>
      <c r="P48" s="1038"/>
      <c r="Q48" s="1017"/>
      <c r="R48" s="1022"/>
      <c r="S48" s="1130"/>
      <c r="T48" s="1156"/>
    </row>
    <row r="49" spans="1:20" s="995" customFormat="1" ht="87.5" x14ac:dyDescent="0.35">
      <c r="A49" s="1023">
        <v>2022043</v>
      </c>
      <c r="B49" s="1023">
        <v>7655</v>
      </c>
      <c r="C49" s="1023" t="s">
        <v>668</v>
      </c>
      <c r="D49" s="1039" t="s">
        <v>689</v>
      </c>
      <c r="E49" s="1040" t="s">
        <v>780</v>
      </c>
      <c r="F49" s="1026" t="s">
        <v>781</v>
      </c>
      <c r="G49" s="1041">
        <v>44575</v>
      </c>
      <c r="H49" s="1041">
        <v>44575</v>
      </c>
      <c r="I49" s="1042" t="s">
        <v>1454</v>
      </c>
      <c r="J49" s="1043" t="s">
        <v>1455</v>
      </c>
      <c r="K49" s="1027" t="s">
        <v>674</v>
      </c>
      <c r="L49" s="1029" t="s">
        <v>782</v>
      </c>
      <c r="M49" s="1030">
        <v>92000000</v>
      </c>
      <c r="N49" s="1044" t="s">
        <v>730</v>
      </c>
      <c r="O49" s="1044" t="s">
        <v>1456</v>
      </c>
      <c r="P49" s="1044"/>
      <c r="Q49" s="1027"/>
      <c r="R49" s="1022"/>
      <c r="S49" s="1130">
        <v>84</v>
      </c>
      <c r="T49" s="1156">
        <v>92000000</v>
      </c>
    </row>
    <row r="50" spans="1:20" s="995" customFormat="1" ht="62.5" x14ac:dyDescent="0.35">
      <c r="A50" s="1023">
        <v>2022044</v>
      </c>
      <c r="B50" s="1023">
        <v>7655</v>
      </c>
      <c r="C50" s="1023" t="s">
        <v>668</v>
      </c>
      <c r="D50" s="1039" t="s">
        <v>689</v>
      </c>
      <c r="E50" s="1040" t="s">
        <v>780</v>
      </c>
      <c r="F50" s="1026" t="s">
        <v>785</v>
      </c>
      <c r="G50" s="1041">
        <v>44575</v>
      </c>
      <c r="H50" s="1041">
        <v>44575</v>
      </c>
      <c r="I50" s="1042" t="s">
        <v>1454</v>
      </c>
      <c r="J50" s="1043" t="s">
        <v>1455</v>
      </c>
      <c r="K50" s="1027" t="s">
        <v>674</v>
      </c>
      <c r="L50" s="1029" t="s">
        <v>782</v>
      </c>
      <c r="M50" s="1030">
        <v>103500000</v>
      </c>
      <c r="N50" s="1044" t="s">
        <v>730</v>
      </c>
      <c r="O50" s="1044" t="s">
        <v>1456</v>
      </c>
      <c r="P50" s="1044"/>
      <c r="Q50" s="1027"/>
      <c r="R50" s="1022"/>
      <c r="S50" s="1130">
        <v>61</v>
      </c>
      <c r="T50" s="1156">
        <v>103500000</v>
      </c>
    </row>
    <row r="51" spans="1:20" s="995" customFormat="1" ht="75" x14ac:dyDescent="0.35">
      <c r="A51" s="1023">
        <v>2022045</v>
      </c>
      <c r="B51" s="1023">
        <v>7655</v>
      </c>
      <c r="C51" s="1023" t="s">
        <v>668</v>
      </c>
      <c r="D51" s="1039" t="s">
        <v>689</v>
      </c>
      <c r="E51" s="1040" t="s">
        <v>780</v>
      </c>
      <c r="F51" s="1026" t="s">
        <v>787</v>
      </c>
      <c r="G51" s="1041">
        <v>44575</v>
      </c>
      <c r="H51" s="1041">
        <v>44575</v>
      </c>
      <c r="I51" s="1042" t="s">
        <v>1454</v>
      </c>
      <c r="J51" s="1043" t="s">
        <v>1455</v>
      </c>
      <c r="K51" s="1027" t="s">
        <v>674</v>
      </c>
      <c r="L51" s="1029" t="s">
        <v>675</v>
      </c>
      <c r="M51" s="1030">
        <v>57500000</v>
      </c>
      <c r="N51" s="1044" t="s">
        <v>730</v>
      </c>
      <c r="O51" s="1044" t="s">
        <v>1456</v>
      </c>
      <c r="P51" s="1044"/>
      <c r="Q51" s="1027"/>
      <c r="R51" s="1022"/>
      <c r="S51" s="1130">
        <v>95</v>
      </c>
      <c r="T51" s="1156">
        <v>57500000</v>
      </c>
    </row>
    <row r="52" spans="1:20" s="995" customFormat="1" ht="75" x14ac:dyDescent="0.35">
      <c r="A52" s="1023">
        <v>2022046</v>
      </c>
      <c r="B52" s="1023">
        <v>7655</v>
      </c>
      <c r="C52" s="1023" t="s">
        <v>668</v>
      </c>
      <c r="D52" s="1039" t="s">
        <v>689</v>
      </c>
      <c r="E52" s="1040" t="s">
        <v>780</v>
      </c>
      <c r="F52" s="1026" t="s">
        <v>789</v>
      </c>
      <c r="G52" s="1041">
        <v>44575</v>
      </c>
      <c r="H52" s="1041">
        <v>44575</v>
      </c>
      <c r="I52" s="1042" t="s">
        <v>1454</v>
      </c>
      <c r="J52" s="1043" t="s">
        <v>1455</v>
      </c>
      <c r="K52" s="1027" t="s">
        <v>674</v>
      </c>
      <c r="L52" s="1029" t="s">
        <v>675</v>
      </c>
      <c r="M52" s="1030">
        <v>78200000</v>
      </c>
      <c r="N52" s="1044" t="s">
        <v>730</v>
      </c>
      <c r="O52" s="1044" t="s">
        <v>1456</v>
      </c>
      <c r="P52" s="1044"/>
      <c r="Q52" s="1027"/>
      <c r="R52" s="1022"/>
      <c r="S52" s="1130">
        <v>203</v>
      </c>
      <c r="T52" s="1156">
        <v>78200000</v>
      </c>
    </row>
    <row r="53" spans="1:20" s="995" customFormat="1" ht="62.5" x14ac:dyDescent="0.35">
      <c r="A53" s="1023">
        <v>2022047</v>
      </c>
      <c r="B53" s="1023">
        <v>7655</v>
      </c>
      <c r="C53" s="1023" t="s">
        <v>668</v>
      </c>
      <c r="D53" s="1039" t="s">
        <v>689</v>
      </c>
      <c r="E53" s="1040" t="s">
        <v>780</v>
      </c>
      <c r="F53" s="1026" t="s">
        <v>791</v>
      </c>
      <c r="G53" s="1041">
        <v>44575</v>
      </c>
      <c r="H53" s="1041">
        <v>44575</v>
      </c>
      <c r="I53" s="1042" t="s">
        <v>1454</v>
      </c>
      <c r="J53" s="1043" t="s">
        <v>1455</v>
      </c>
      <c r="K53" s="1027" t="s">
        <v>674</v>
      </c>
      <c r="L53" s="1029" t="s">
        <v>675</v>
      </c>
      <c r="M53" s="1030">
        <v>38525000</v>
      </c>
      <c r="N53" s="1044" t="s">
        <v>730</v>
      </c>
      <c r="O53" s="1044" t="s">
        <v>1456</v>
      </c>
      <c r="P53" s="1044"/>
      <c r="Q53" s="1027"/>
      <c r="R53" s="1022"/>
      <c r="S53" s="1130">
        <v>65</v>
      </c>
      <c r="T53" s="1156">
        <v>38525000</v>
      </c>
    </row>
    <row r="54" spans="1:20" s="995" customFormat="1" ht="75" x14ac:dyDescent="0.35">
      <c r="A54" s="1023">
        <v>2022048</v>
      </c>
      <c r="B54" s="1023">
        <v>7655</v>
      </c>
      <c r="C54" s="1023" t="s">
        <v>668</v>
      </c>
      <c r="D54" s="1039" t="s">
        <v>689</v>
      </c>
      <c r="E54" s="1040" t="s">
        <v>780</v>
      </c>
      <c r="F54" s="1026" t="s">
        <v>792</v>
      </c>
      <c r="G54" s="1041">
        <v>44575</v>
      </c>
      <c r="H54" s="1041">
        <v>44575</v>
      </c>
      <c r="I54" s="1042" t="s">
        <v>1454</v>
      </c>
      <c r="J54" s="1043" t="s">
        <v>1455</v>
      </c>
      <c r="K54" s="1027" t="s">
        <v>674</v>
      </c>
      <c r="L54" s="1029" t="s">
        <v>782</v>
      </c>
      <c r="M54" s="1030">
        <v>92000000</v>
      </c>
      <c r="N54" s="1044" t="s">
        <v>730</v>
      </c>
      <c r="O54" s="1044" t="s">
        <v>1456</v>
      </c>
      <c r="P54" s="1044"/>
      <c r="Q54" s="1027"/>
      <c r="R54" s="1022"/>
      <c r="S54" s="1130">
        <v>66</v>
      </c>
      <c r="T54" s="1156">
        <v>92000000</v>
      </c>
    </row>
    <row r="55" spans="1:20" s="995" customFormat="1" ht="62.5" x14ac:dyDescent="0.35">
      <c r="A55" s="1023">
        <v>2022049</v>
      </c>
      <c r="B55" s="1023">
        <v>7655</v>
      </c>
      <c r="C55" s="1023" t="s">
        <v>668</v>
      </c>
      <c r="D55" s="1039" t="s">
        <v>689</v>
      </c>
      <c r="E55" s="1040" t="s">
        <v>780</v>
      </c>
      <c r="F55" s="1026" t="s">
        <v>1331</v>
      </c>
      <c r="G55" s="1041">
        <v>44575</v>
      </c>
      <c r="H55" s="1041">
        <v>44575</v>
      </c>
      <c r="I55" s="1042" t="s">
        <v>1457</v>
      </c>
      <c r="J55" s="1043" t="s">
        <v>1455</v>
      </c>
      <c r="K55" s="1027" t="s">
        <v>674</v>
      </c>
      <c r="L55" s="1029" t="s">
        <v>675</v>
      </c>
      <c r="M55" s="1030">
        <v>16800000</v>
      </c>
      <c r="N55" s="1044" t="s">
        <v>730</v>
      </c>
      <c r="O55" s="1044" t="s">
        <v>1456</v>
      </c>
      <c r="P55" s="1044"/>
      <c r="Q55" s="1027"/>
      <c r="R55" s="1022"/>
      <c r="S55" s="1130">
        <v>83</v>
      </c>
      <c r="T55" s="1156">
        <v>16800000</v>
      </c>
    </row>
    <row r="56" spans="1:20" s="995" customFormat="1" ht="62.5" x14ac:dyDescent="0.35">
      <c r="A56" s="1023">
        <v>2022050</v>
      </c>
      <c r="B56" s="1023">
        <v>7655</v>
      </c>
      <c r="C56" s="1023" t="s">
        <v>668</v>
      </c>
      <c r="D56" s="1039" t="s">
        <v>689</v>
      </c>
      <c r="E56" s="1040" t="s">
        <v>780</v>
      </c>
      <c r="F56" s="1026" t="s">
        <v>793</v>
      </c>
      <c r="G56" s="1041">
        <v>44575</v>
      </c>
      <c r="H56" s="1041">
        <v>44575</v>
      </c>
      <c r="I56" s="1042" t="s">
        <v>1458</v>
      </c>
      <c r="J56" s="1043" t="s">
        <v>1455</v>
      </c>
      <c r="K56" s="1027" t="s">
        <v>674</v>
      </c>
      <c r="L56" s="1029" t="s">
        <v>675</v>
      </c>
      <c r="M56" s="1030">
        <v>38500000</v>
      </c>
      <c r="N56" s="1044" t="s">
        <v>730</v>
      </c>
      <c r="O56" s="1044" t="s">
        <v>1456</v>
      </c>
      <c r="P56" s="1044"/>
      <c r="Q56" s="1027"/>
      <c r="R56" s="1022"/>
      <c r="S56" s="1130">
        <v>361</v>
      </c>
      <c r="T56" s="1156">
        <v>38500000</v>
      </c>
    </row>
    <row r="57" spans="1:20" s="995" customFormat="1" ht="62.5" x14ac:dyDescent="0.35">
      <c r="A57" s="1023">
        <v>2022051</v>
      </c>
      <c r="B57" s="1023">
        <v>7655</v>
      </c>
      <c r="C57" s="1023" t="s">
        <v>668</v>
      </c>
      <c r="D57" s="1039" t="s">
        <v>689</v>
      </c>
      <c r="E57" s="1040" t="s">
        <v>780</v>
      </c>
      <c r="F57" s="1026" t="s">
        <v>794</v>
      </c>
      <c r="G57" s="1041">
        <v>44575</v>
      </c>
      <c r="H57" s="1041">
        <v>44575</v>
      </c>
      <c r="I57" s="1042" t="s">
        <v>1454</v>
      </c>
      <c r="J57" s="1043" t="s">
        <v>1455</v>
      </c>
      <c r="K57" s="1027" t="s">
        <v>674</v>
      </c>
      <c r="L57" s="1029" t="s">
        <v>675</v>
      </c>
      <c r="M57" s="1030">
        <v>20700000</v>
      </c>
      <c r="N57" s="1044" t="s">
        <v>730</v>
      </c>
      <c r="O57" s="1044" t="s">
        <v>1456</v>
      </c>
      <c r="P57" s="1044"/>
      <c r="Q57" s="1027"/>
      <c r="R57" s="1022"/>
      <c r="S57" s="1130">
        <v>87</v>
      </c>
      <c r="T57" s="1156">
        <v>20700000</v>
      </c>
    </row>
    <row r="58" spans="1:20" s="995" customFormat="1" ht="75" x14ac:dyDescent="0.35">
      <c r="A58" s="1023">
        <v>2022052</v>
      </c>
      <c r="B58" s="1023">
        <v>7655</v>
      </c>
      <c r="C58" s="1023" t="s">
        <v>668</v>
      </c>
      <c r="D58" s="1039" t="s">
        <v>689</v>
      </c>
      <c r="E58" s="1040" t="s">
        <v>780</v>
      </c>
      <c r="F58" s="1026" t="s">
        <v>795</v>
      </c>
      <c r="G58" s="1041">
        <v>44575</v>
      </c>
      <c r="H58" s="1041">
        <v>44575</v>
      </c>
      <c r="I58" s="1042" t="s">
        <v>1454</v>
      </c>
      <c r="J58" s="1043" t="s">
        <v>1455</v>
      </c>
      <c r="K58" s="1027" t="s">
        <v>674</v>
      </c>
      <c r="L58" s="1029" t="s">
        <v>675</v>
      </c>
      <c r="M58" s="1030">
        <v>83950000</v>
      </c>
      <c r="N58" s="1044" t="s">
        <v>730</v>
      </c>
      <c r="O58" s="1044" t="s">
        <v>1456</v>
      </c>
      <c r="P58" s="1044"/>
      <c r="Q58" s="1027"/>
      <c r="R58" s="1022"/>
      <c r="S58" s="1130">
        <v>82</v>
      </c>
      <c r="T58" s="1156">
        <v>83950000</v>
      </c>
    </row>
    <row r="59" spans="1:20" s="995" customFormat="1" ht="62.5" x14ac:dyDescent="0.35">
      <c r="A59" s="1023">
        <v>2022053</v>
      </c>
      <c r="B59" s="1023">
        <v>7655</v>
      </c>
      <c r="C59" s="1023" t="s">
        <v>668</v>
      </c>
      <c r="D59" s="1039" t="s">
        <v>689</v>
      </c>
      <c r="E59" s="1040" t="s">
        <v>780</v>
      </c>
      <c r="F59" s="1026" t="s">
        <v>796</v>
      </c>
      <c r="G59" s="1041">
        <v>44575</v>
      </c>
      <c r="H59" s="1041">
        <v>44575</v>
      </c>
      <c r="I59" s="1042" t="s">
        <v>1454</v>
      </c>
      <c r="J59" s="1043" t="s">
        <v>1455</v>
      </c>
      <c r="K59" s="1027" t="s">
        <v>674</v>
      </c>
      <c r="L59" s="1029" t="s">
        <v>675</v>
      </c>
      <c r="M59" s="1030">
        <v>38525000</v>
      </c>
      <c r="N59" s="1044" t="s">
        <v>730</v>
      </c>
      <c r="O59" s="1044" t="s">
        <v>1456</v>
      </c>
      <c r="P59" s="1044"/>
      <c r="Q59" s="1027"/>
      <c r="R59" s="1022"/>
      <c r="S59" s="1130">
        <v>375</v>
      </c>
      <c r="T59" s="1156">
        <v>38525000</v>
      </c>
    </row>
    <row r="60" spans="1:20" s="995" customFormat="1" ht="62.5" x14ac:dyDescent="0.35">
      <c r="A60" s="1023">
        <v>2022054</v>
      </c>
      <c r="B60" s="1023">
        <v>7655</v>
      </c>
      <c r="C60" s="1023" t="s">
        <v>668</v>
      </c>
      <c r="D60" s="1039" t="s">
        <v>689</v>
      </c>
      <c r="E60" s="1040" t="s">
        <v>780</v>
      </c>
      <c r="F60" s="1026" t="s">
        <v>797</v>
      </c>
      <c r="G60" s="1041">
        <v>44575</v>
      </c>
      <c r="H60" s="1041">
        <v>44575</v>
      </c>
      <c r="I60" s="1042" t="s">
        <v>1457</v>
      </c>
      <c r="J60" s="1043" t="s">
        <v>1455</v>
      </c>
      <c r="K60" s="1027" t="s">
        <v>674</v>
      </c>
      <c r="L60" s="1029" t="s">
        <v>675</v>
      </c>
      <c r="M60" s="1030">
        <v>27000000</v>
      </c>
      <c r="N60" s="1044" t="s">
        <v>730</v>
      </c>
      <c r="O60" s="1044" t="s">
        <v>1456</v>
      </c>
      <c r="P60" s="1044"/>
      <c r="Q60" s="1027"/>
      <c r="R60" s="1022"/>
      <c r="S60" s="1130">
        <v>352</v>
      </c>
      <c r="T60" s="1156">
        <v>27000000</v>
      </c>
    </row>
    <row r="61" spans="1:20" s="995" customFormat="1" ht="62.5" x14ac:dyDescent="0.35">
      <c r="A61" s="1023">
        <v>2022055</v>
      </c>
      <c r="B61" s="1023">
        <v>7655</v>
      </c>
      <c r="C61" s="1023" t="s">
        <v>668</v>
      </c>
      <c r="D61" s="1039" t="s">
        <v>689</v>
      </c>
      <c r="E61" s="1040" t="s">
        <v>780</v>
      </c>
      <c r="F61" s="1026" t="s">
        <v>798</v>
      </c>
      <c r="G61" s="1041">
        <v>44575</v>
      </c>
      <c r="H61" s="1041">
        <v>44575</v>
      </c>
      <c r="I61" s="1042" t="s">
        <v>1454</v>
      </c>
      <c r="J61" s="1043" t="s">
        <v>1455</v>
      </c>
      <c r="K61" s="1027" t="s">
        <v>674</v>
      </c>
      <c r="L61" s="1029" t="s">
        <v>675</v>
      </c>
      <c r="M61" s="1030">
        <v>51750000</v>
      </c>
      <c r="N61" s="1044" t="s">
        <v>730</v>
      </c>
      <c r="O61" s="1044" t="s">
        <v>1456</v>
      </c>
      <c r="P61" s="1044"/>
      <c r="Q61" s="1027"/>
      <c r="R61" s="1022"/>
      <c r="S61" s="1130">
        <v>417</v>
      </c>
      <c r="T61" s="1156">
        <v>51750000</v>
      </c>
    </row>
    <row r="62" spans="1:20" s="995" customFormat="1" ht="62.5" x14ac:dyDescent="0.35">
      <c r="A62" s="1013">
        <v>2022056</v>
      </c>
      <c r="B62" s="1013">
        <v>7655</v>
      </c>
      <c r="C62" s="1013" t="s">
        <v>668</v>
      </c>
      <c r="D62" s="1045" t="s">
        <v>689</v>
      </c>
      <c r="E62" s="1046">
        <v>80111600</v>
      </c>
      <c r="F62" s="1016" t="s">
        <v>799</v>
      </c>
      <c r="G62" s="1047">
        <v>44575</v>
      </c>
      <c r="H62" s="1047">
        <v>44575</v>
      </c>
      <c r="I62" s="1048" t="s">
        <v>1454</v>
      </c>
      <c r="J62" s="1049" t="s">
        <v>1455</v>
      </c>
      <c r="K62" s="1017" t="s">
        <v>674</v>
      </c>
      <c r="L62" s="1017" t="s">
        <v>675</v>
      </c>
      <c r="M62" s="1020">
        <v>0</v>
      </c>
      <c r="N62" s="1050" t="s">
        <v>730</v>
      </c>
      <c r="O62" s="1050" t="s">
        <v>1456</v>
      </c>
      <c r="P62" s="1050"/>
      <c r="Q62" s="1017"/>
      <c r="R62" s="1022"/>
      <c r="S62" s="1130"/>
      <c r="T62" s="1156"/>
    </row>
    <row r="63" spans="1:20" s="995" customFormat="1" ht="62.5" x14ac:dyDescent="0.35">
      <c r="A63" s="1023">
        <v>2022057</v>
      </c>
      <c r="B63" s="1023">
        <v>7655</v>
      </c>
      <c r="C63" s="1023" t="s">
        <v>668</v>
      </c>
      <c r="D63" s="1039" t="s">
        <v>689</v>
      </c>
      <c r="E63" s="1040" t="s">
        <v>780</v>
      </c>
      <c r="F63" s="1026" t="s">
        <v>800</v>
      </c>
      <c r="G63" s="1041">
        <v>44575</v>
      </c>
      <c r="H63" s="1041">
        <v>44575</v>
      </c>
      <c r="I63" s="1042" t="s">
        <v>1454</v>
      </c>
      <c r="J63" s="1043" t="s">
        <v>1455</v>
      </c>
      <c r="K63" s="1027" t="s">
        <v>674</v>
      </c>
      <c r="L63" s="1029" t="s">
        <v>675</v>
      </c>
      <c r="M63" s="1030">
        <v>38525000</v>
      </c>
      <c r="N63" s="1044" t="s">
        <v>730</v>
      </c>
      <c r="O63" s="1044" t="s">
        <v>1456</v>
      </c>
      <c r="P63" s="1044"/>
      <c r="Q63" s="1027"/>
      <c r="R63" s="1022"/>
      <c r="S63" s="1130">
        <v>239</v>
      </c>
      <c r="T63" s="1156">
        <v>38525000</v>
      </c>
    </row>
    <row r="64" spans="1:20" s="995" customFormat="1" ht="62.5" x14ac:dyDescent="0.35">
      <c r="A64" s="1023">
        <v>2022058</v>
      </c>
      <c r="B64" s="1023">
        <v>7655</v>
      </c>
      <c r="C64" s="1023" t="s">
        <v>668</v>
      </c>
      <c r="D64" s="1039" t="s">
        <v>689</v>
      </c>
      <c r="E64" s="1040" t="s">
        <v>780</v>
      </c>
      <c r="F64" s="1026" t="s">
        <v>801</v>
      </c>
      <c r="G64" s="1041">
        <v>44575</v>
      </c>
      <c r="H64" s="1041">
        <v>44575</v>
      </c>
      <c r="I64" s="1042" t="s">
        <v>1454</v>
      </c>
      <c r="J64" s="1043" t="s">
        <v>1455</v>
      </c>
      <c r="K64" s="1027" t="s">
        <v>674</v>
      </c>
      <c r="L64" s="1029" t="s">
        <v>675</v>
      </c>
      <c r="M64" s="1030">
        <v>28175000</v>
      </c>
      <c r="N64" s="1044" t="s">
        <v>730</v>
      </c>
      <c r="O64" s="1044" t="s">
        <v>1456</v>
      </c>
      <c r="P64" s="1044"/>
      <c r="Q64" s="1027"/>
      <c r="R64" s="1022"/>
      <c r="S64" s="1130">
        <v>89</v>
      </c>
      <c r="T64" s="1156">
        <v>28175000</v>
      </c>
    </row>
    <row r="65" spans="1:103" s="995" customFormat="1" ht="62.5" x14ac:dyDescent="0.35">
      <c r="A65" s="1023">
        <v>2022059</v>
      </c>
      <c r="B65" s="1023">
        <v>7655</v>
      </c>
      <c r="C65" s="1023" t="s">
        <v>668</v>
      </c>
      <c r="D65" s="1039" t="s">
        <v>689</v>
      </c>
      <c r="E65" s="1040" t="s">
        <v>780</v>
      </c>
      <c r="F65" s="1026" t="s">
        <v>802</v>
      </c>
      <c r="G65" s="1041">
        <v>44575</v>
      </c>
      <c r="H65" s="1041">
        <v>44575</v>
      </c>
      <c r="I65" s="1042" t="s">
        <v>1454</v>
      </c>
      <c r="J65" s="1043" t="s">
        <v>1455</v>
      </c>
      <c r="K65" s="1027" t="s">
        <v>674</v>
      </c>
      <c r="L65" s="1029" t="s">
        <v>675</v>
      </c>
      <c r="M65" s="1030">
        <v>44275000</v>
      </c>
      <c r="N65" s="1044" t="s">
        <v>730</v>
      </c>
      <c r="O65" s="1044" t="s">
        <v>1456</v>
      </c>
      <c r="P65" s="1044"/>
      <c r="Q65" s="1027"/>
      <c r="R65" s="1022"/>
      <c r="S65" s="1130">
        <v>140</v>
      </c>
      <c r="T65" s="1156">
        <v>44275000</v>
      </c>
    </row>
    <row r="66" spans="1:103" s="995" customFormat="1" ht="62.5" x14ac:dyDescent="0.35">
      <c r="A66" s="1023">
        <v>2022060</v>
      </c>
      <c r="B66" s="1023">
        <v>7655</v>
      </c>
      <c r="C66" s="1023" t="s">
        <v>668</v>
      </c>
      <c r="D66" s="1039" t="s">
        <v>689</v>
      </c>
      <c r="E66" s="1040" t="s">
        <v>780</v>
      </c>
      <c r="F66" s="1026" t="s">
        <v>802</v>
      </c>
      <c r="G66" s="1041">
        <v>44575</v>
      </c>
      <c r="H66" s="1041">
        <v>44575</v>
      </c>
      <c r="I66" s="1042" t="s">
        <v>1454</v>
      </c>
      <c r="J66" s="1043" t="s">
        <v>1455</v>
      </c>
      <c r="K66" s="1027" t="s">
        <v>674</v>
      </c>
      <c r="L66" s="1029" t="s">
        <v>675</v>
      </c>
      <c r="M66" s="1030">
        <v>44275000</v>
      </c>
      <c r="N66" s="1044" t="s">
        <v>730</v>
      </c>
      <c r="O66" s="1044" t="s">
        <v>1456</v>
      </c>
      <c r="P66" s="1044"/>
      <c r="Q66" s="1027"/>
      <c r="R66" s="1022"/>
      <c r="S66" s="1130">
        <v>248</v>
      </c>
      <c r="T66" s="1156">
        <v>44275000</v>
      </c>
    </row>
    <row r="67" spans="1:103" s="995" customFormat="1" ht="75" x14ac:dyDescent="0.35">
      <c r="A67" s="1023">
        <v>2022061</v>
      </c>
      <c r="B67" s="1023">
        <v>7655</v>
      </c>
      <c r="C67" s="1023" t="s">
        <v>668</v>
      </c>
      <c r="D67" s="1039" t="s">
        <v>689</v>
      </c>
      <c r="E67" s="1040" t="s">
        <v>780</v>
      </c>
      <c r="F67" s="1026" t="s">
        <v>803</v>
      </c>
      <c r="G67" s="1041">
        <v>44575</v>
      </c>
      <c r="H67" s="1041">
        <v>44575</v>
      </c>
      <c r="I67" s="1042" t="s">
        <v>1454</v>
      </c>
      <c r="J67" s="1043" t="s">
        <v>1455</v>
      </c>
      <c r="K67" s="1027" t="s">
        <v>674</v>
      </c>
      <c r="L67" s="1029" t="s">
        <v>675</v>
      </c>
      <c r="M67" s="1030">
        <v>51750000</v>
      </c>
      <c r="N67" s="1044" t="s">
        <v>730</v>
      </c>
      <c r="O67" s="1044" t="s">
        <v>1456</v>
      </c>
      <c r="P67" s="1044"/>
      <c r="Q67" s="1027"/>
      <c r="R67" s="1022"/>
      <c r="S67" s="1130">
        <v>309</v>
      </c>
      <c r="T67" s="1156">
        <v>51750000</v>
      </c>
    </row>
    <row r="68" spans="1:103" s="995" customFormat="1" ht="87.5" x14ac:dyDescent="0.35">
      <c r="A68" s="1023">
        <v>2022062</v>
      </c>
      <c r="B68" s="1023">
        <v>7655</v>
      </c>
      <c r="C68" s="1023" t="s">
        <v>668</v>
      </c>
      <c r="D68" s="1039" t="s">
        <v>689</v>
      </c>
      <c r="E68" s="1040" t="s">
        <v>780</v>
      </c>
      <c r="F68" s="1026" t="s">
        <v>804</v>
      </c>
      <c r="G68" s="1041">
        <v>44575</v>
      </c>
      <c r="H68" s="1041">
        <v>44575</v>
      </c>
      <c r="I68" s="1042" t="s">
        <v>1458</v>
      </c>
      <c r="J68" s="1043" t="s">
        <v>1455</v>
      </c>
      <c r="K68" s="1027" t="s">
        <v>674</v>
      </c>
      <c r="L68" s="1029" t="s">
        <v>675</v>
      </c>
      <c r="M68" s="1030">
        <v>51100000</v>
      </c>
      <c r="N68" s="1044" t="s">
        <v>730</v>
      </c>
      <c r="O68" s="1044" t="s">
        <v>1456</v>
      </c>
      <c r="P68" s="1044"/>
      <c r="Q68" s="1027"/>
      <c r="R68" s="1022"/>
      <c r="S68" s="1130">
        <v>265</v>
      </c>
      <c r="T68" s="1156">
        <v>51100000</v>
      </c>
    </row>
    <row r="69" spans="1:103" s="995" customFormat="1" ht="62.5" x14ac:dyDescent="0.35">
      <c r="A69" s="1013">
        <v>2022063</v>
      </c>
      <c r="B69" s="1013">
        <v>7655</v>
      </c>
      <c r="C69" s="1013" t="s">
        <v>668</v>
      </c>
      <c r="D69" s="1045" t="s">
        <v>689</v>
      </c>
      <c r="E69" s="1051" t="s">
        <v>805</v>
      </c>
      <c r="F69" s="1016" t="s">
        <v>806</v>
      </c>
      <c r="G69" s="1047">
        <v>44630</v>
      </c>
      <c r="H69" s="1047">
        <v>44630</v>
      </c>
      <c r="I69" s="1048" t="s">
        <v>1367</v>
      </c>
      <c r="J69" s="1049" t="s">
        <v>1432</v>
      </c>
      <c r="K69" s="1017" t="s">
        <v>674</v>
      </c>
      <c r="L69" s="1019" t="s">
        <v>807</v>
      </c>
      <c r="M69" s="1020">
        <v>20000000</v>
      </c>
      <c r="N69" s="1050" t="s">
        <v>730</v>
      </c>
      <c r="O69" s="1050" t="s">
        <v>1456</v>
      </c>
      <c r="P69" s="1050"/>
      <c r="Q69" s="1017"/>
      <c r="R69" s="1022"/>
      <c r="S69" s="1130"/>
      <c r="T69" s="1156"/>
    </row>
    <row r="70" spans="1:103" s="1034" customFormat="1" ht="62.5" x14ac:dyDescent="0.35">
      <c r="A70" s="1023">
        <v>2022064</v>
      </c>
      <c r="B70" s="1023">
        <v>7655</v>
      </c>
      <c r="C70" s="1023" t="s">
        <v>668</v>
      </c>
      <c r="D70" s="1039" t="s">
        <v>689</v>
      </c>
      <c r="E70" s="1086" t="s">
        <v>808</v>
      </c>
      <c r="F70" s="1026" t="s">
        <v>809</v>
      </c>
      <c r="G70" s="1041">
        <v>44576</v>
      </c>
      <c r="H70" s="1041">
        <v>44576</v>
      </c>
      <c r="I70" s="1042" t="s">
        <v>97</v>
      </c>
      <c r="J70" s="1043" t="s">
        <v>1422</v>
      </c>
      <c r="K70" s="1027" t="s">
        <v>674</v>
      </c>
      <c r="L70" s="1029" t="s">
        <v>675</v>
      </c>
      <c r="M70" s="1030">
        <v>20000000</v>
      </c>
      <c r="N70" s="1044" t="s">
        <v>730</v>
      </c>
      <c r="O70" s="1044" t="s">
        <v>1456</v>
      </c>
      <c r="P70" s="1044"/>
      <c r="Q70" s="1027"/>
      <c r="R70" s="1130"/>
      <c r="S70" s="1130">
        <v>542</v>
      </c>
      <c r="T70" s="1156">
        <v>16142292</v>
      </c>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row>
    <row r="71" spans="1:103" s="995" customFormat="1" ht="62.5" x14ac:dyDescent="0.35">
      <c r="A71" s="1131">
        <v>2022065</v>
      </c>
      <c r="B71" s="1131">
        <v>7655</v>
      </c>
      <c r="C71" s="1131" t="s">
        <v>668</v>
      </c>
      <c r="D71" s="1139" t="s">
        <v>689</v>
      </c>
      <c r="E71" s="1140" t="s">
        <v>808</v>
      </c>
      <c r="F71" s="1134" t="s">
        <v>810</v>
      </c>
      <c r="G71" s="1141">
        <v>44607</v>
      </c>
      <c r="H71" s="1141">
        <v>44607</v>
      </c>
      <c r="I71" s="1048" t="s">
        <v>1459</v>
      </c>
      <c r="J71" s="1143" t="s">
        <v>1422</v>
      </c>
      <c r="K71" s="1135" t="s">
        <v>674</v>
      </c>
      <c r="L71" s="1132" t="s">
        <v>675</v>
      </c>
      <c r="M71" s="1136">
        <v>140000000</v>
      </c>
      <c r="N71" s="1144" t="s">
        <v>730</v>
      </c>
      <c r="O71" s="1144" t="s">
        <v>1456</v>
      </c>
      <c r="P71" s="1144"/>
      <c r="Q71" s="1135"/>
      <c r="R71" s="1130">
        <v>595</v>
      </c>
      <c r="S71" s="1130"/>
      <c r="T71" s="1156"/>
    </row>
    <row r="72" spans="1:103" s="995" customFormat="1" ht="62.5" x14ac:dyDescent="0.35">
      <c r="A72" s="1013">
        <v>2022066</v>
      </c>
      <c r="B72" s="1013">
        <v>7655</v>
      </c>
      <c r="C72" s="1013" t="s">
        <v>668</v>
      </c>
      <c r="D72" s="1045" t="s">
        <v>689</v>
      </c>
      <c r="E72" s="1046">
        <v>76121900</v>
      </c>
      <c r="F72" s="1016" t="s">
        <v>811</v>
      </c>
      <c r="G72" s="1047">
        <v>44635</v>
      </c>
      <c r="H72" s="1047">
        <v>44635</v>
      </c>
      <c r="I72" s="1048" t="s">
        <v>1460</v>
      </c>
      <c r="J72" s="1049" t="s">
        <v>1432</v>
      </c>
      <c r="K72" s="1017" t="s">
        <v>674</v>
      </c>
      <c r="L72" s="1019" t="s">
        <v>675</v>
      </c>
      <c r="M72" s="1020">
        <v>2060000</v>
      </c>
      <c r="N72" s="1050" t="s">
        <v>730</v>
      </c>
      <c r="O72" s="1050" t="s">
        <v>1456</v>
      </c>
      <c r="P72" s="1050"/>
      <c r="Q72" s="1017"/>
      <c r="R72" s="1022"/>
      <c r="S72" s="1130"/>
      <c r="T72" s="1156"/>
    </row>
    <row r="73" spans="1:103" s="995" customFormat="1" ht="62.5" x14ac:dyDescent="0.35">
      <c r="A73" s="1013">
        <v>2022067</v>
      </c>
      <c r="B73" s="1013">
        <v>7655</v>
      </c>
      <c r="C73" s="1013" t="s">
        <v>668</v>
      </c>
      <c r="D73" s="1045" t="s">
        <v>689</v>
      </c>
      <c r="E73" s="1051" t="s">
        <v>812</v>
      </c>
      <c r="F73" s="1016" t="s">
        <v>813</v>
      </c>
      <c r="G73" s="1047">
        <v>44635</v>
      </c>
      <c r="H73" s="1047">
        <v>44635</v>
      </c>
      <c r="I73" s="1049" t="s">
        <v>814</v>
      </c>
      <c r="J73" s="1049" t="s">
        <v>814</v>
      </c>
      <c r="K73" s="1017" t="s">
        <v>674</v>
      </c>
      <c r="L73" s="1019" t="s">
        <v>675</v>
      </c>
      <c r="M73" s="1020">
        <v>1110000</v>
      </c>
      <c r="N73" s="1050" t="s">
        <v>730</v>
      </c>
      <c r="O73" s="1050" t="s">
        <v>1456</v>
      </c>
      <c r="P73" s="1050"/>
      <c r="Q73" s="1017"/>
      <c r="R73" s="1022"/>
      <c r="S73" s="1130"/>
      <c r="T73" s="1156"/>
    </row>
    <row r="74" spans="1:103" s="995" customFormat="1" ht="75" x14ac:dyDescent="0.35">
      <c r="A74" s="1023">
        <v>2022068</v>
      </c>
      <c r="B74" s="1023">
        <v>7655</v>
      </c>
      <c r="C74" s="1023" t="s">
        <v>668</v>
      </c>
      <c r="D74" s="1039" t="s">
        <v>689</v>
      </c>
      <c r="E74" s="1040" t="s">
        <v>780</v>
      </c>
      <c r="F74" s="1026" t="s">
        <v>815</v>
      </c>
      <c r="G74" s="1041">
        <v>44575</v>
      </c>
      <c r="H74" s="1041">
        <v>44575</v>
      </c>
      <c r="I74" s="1042" t="s">
        <v>1454</v>
      </c>
      <c r="J74" s="1043" t="s">
        <v>1455</v>
      </c>
      <c r="K74" s="1027" t="s">
        <v>674</v>
      </c>
      <c r="L74" s="1029" t="s">
        <v>675</v>
      </c>
      <c r="M74" s="1030">
        <v>44275000</v>
      </c>
      <c r="N74" s="1044" t="s">
        <v>730</v>
      </c>
      <c r="O74" s="1044" t="s">
        <v>1456</v>
      </c>
      <c r="P74" s="1044"/>
      <c r="Q74" s="1027"/>
      <c r="R74" s="1022"/>
      <c r="S74" s="1130">
        <v>382</v>
      </c>
      <c r="T74" s="1156">
        <v>44275000</v>
      </c>
    </row>
    <row r="75" spans="1:103" s="995" customFormat="1" ht="62.5" x14ac:dyDescent="0.35">
      <c r="A75" s="1023">
        <v>2022069</v>
      </c>
      <c r="B75" s="1023">
        <v>7655</v>
      </c>
      <c r="C75" s="1023" t="s">
        <v>668</v>
      </c>
      <c r="D75" s="1039" t="s">
        <v>689</v>
      </c>
      <c r="E75" s="1040" t="s">
        <v>780</v>
      </c>
      <c r="F75" s="1026" t="s">
        <v>816</v>
      </c>
      <c r="G75" s="1041">
        <v>44575</v>
      </c>
      <c r="H75" s="1041">
        <v>44575</v>
      </c>
      <c r="I75" s="1042" t="s">
        <v>1454</v>
      </c>
      <c r="J75" s="1043" t="s">
        <v>1455</v>
      </c>
      <c r="K75" s="1027" t="s">
        <v>674</v>
      </c>
      <c r="L75" s="1029" t="s">
        <v>782</v>
      </c>
      <c r="M75" s="1030">
        <v>47150000</v>
      </c>
      <c r="N75" s="1044" t="s">
        <v>730</v>
      </c>
      <c r="O75" s="1044" t="s">
        <v>1456</v>
      </c>
      <c r="P75" s="1044"/>
      <c r="Q75" s="1027"/>
      <c r="R75" s="1022"/>
      <c r="S75" s="1130">
        <v>212</v>
      </c>
      <c r="T75" s="1156">
        <v>47150000</v>
      </c>
    </row>
    <row r="76" spans="1:103" s="995" customFormat="1" ht="62.5" x14ac:dyDescent="0.35">
      <c r="A76" s="1023">
        <v>2022070</v>
      </c>
      <c r="B76" s="1023">
        <v>7655</v>
      </c>
      <c r="C76" s="1023" t="s">
        <v>668</v>
      </c>
      <c r="D76" s="1039" t="s">
        <v>689</v>
      </c>
      <c r="E76" s="1040" t="s">
        <v>780</v>
      </c>
      <c r="F76" s="1026" t="s">
        <v>816</v>
      </c>
      <c r="G76" s="1041">
        <v>44575</v>
      </c>
      <c r="H76" s="1041">
        <v>44575</v>
      </c>
      <c r="I76" s="1042" t="s">
        <v>1454</v>
      </c>
      <c r="J76" s="1043" t="s">
        <v>1455</v>
      </c>
      <c r="K76" s="1027" t="s">
        <v>674</v>
      </c>
      <c r="L76" s="1029" t="s">
        <v>675</v>
      </c>
      <c r="M76" s="1030">
        <v>63250000</v>
      </c>
      <c r="N76" s="1044" t="s">
        <v>730</v>
      </c>
      <c r="O76" s="1044" t="s">
        <v>1456</v>
      </c>
      <c r="P76" s="1044"/>
      <c r="Q76" s="1027"/>
      <c r="R76" s="1022"/>
      <c r="S76" s="1130">
        <v>122</v>
      </c>
      <c r="T76" s="1156">
        <v>63250000</v>
      </c>
    </row>
    <row r="77" spans="1:103" s="995" customFormat="1" ht="62.5" x14ac:dyDescent="0.35">
      <c r="A77" s="1023">
        <v>2022071</v>
      </c>
      <c r="B77" s="1023">
        <v>7655</v>
      </c>
      <c r="C77" s="1023" t="s">
        <v>668</v>
      </c>
      <c r="D77" s="1039" t="s">
        <v>689</v>
      </c>
      <c r="E77" s="1040" t="s">
        <v>780</v>
      </c>
      <c r="F77" s="1026" t="s">
        <v>816</v>
      </c>
      <c r="G77" s="1041">
        <v>44575</v>
      </c>
      <c r="H77" s="1041">
        <v>44575</v>
      </c>
      <c r="I77" s="1042" t="s">
        <v>1454</v>
      </c>
      <c r="J77" s="1043" t="s">
        <v>1455</v>
      </c>
      <c r="K77" s="1027" t="s">
        <v>674</v>
      </c>
      <c r="L77" s="1029" t="s">
        <v>675</v>
      </c>
      <c r="M77" s="1030">
        <v>63250000</v>
      </c>
      <c r="N77" s="1044" t="s">
        <v>730</v>
      </c>
      <c r="O77" s="1044" t="s">
        <v>1456</v>
      </c>
      <c r="P77" s="1044"/>
      <c r="Q77" s="1027"/>
      <c r="R77" s="1022"/>
      <c r="S77" s="1130">
        <v>205</v>
      </c>
      <c r="T77" s="1156">
        <v>63250000</v>
      </c>
    </row>
    <row r="78" spans="1:103" s="995" customFormat="1" ht="75" x14ac:dyDescent="0.35">
      <c r="A78" s="1023">
        <v>2022072</v>
      </c>
      <c r="B78" s="1023">
        <v>7655</v>
      </c>
      <c r="C78" s="1023" t="s">
        <v>668</v>
      </c>
      <c r="D78" s="1039" t="s">
        <v>689</v>
      </c>
      <c r="E78" s="1040" t="s">
        <v>780</v>
      </c>
      <c r="F78" s="1026" t="s">
        <v>817</v>
      </c>
      <c r="G78" s="1041">
        <v>44575</v>
      </c>
      <c r="H78" s="1041">
        <v>44575</v>
      </c>
      <c r="I78" s="1042" t="s">
        <v>1457</v>
      </c>
      <c r="J78" s="1043" t="s">
        <v>1455</v>
      </c>
      <c r="K78" s="1027" t="s">
        <v>674</v>
      </c>
      <c r="L78" s="1029" t="s">
        <v>675</v>
      </c>
      <c r="M78" s="1030">
        <v>16500000</v>
      </c>
      <c r="N78" s="1044" t="s">
        <v>730</v>
      </c>
      <c r="O78" s="1044" t="s">
        <v>1456</v>
      </c>
      <c r="P78" s="1044"/>
      <c r="Q78" s="1027"/>
      <c r="R78" s="1022"/>
      <c r="S78" s="1130">
        <v>280</v>
      </c>
      <c r="T78" s="1156">
        <v>16500000</v>
      </c>
    </row>
    <row r="79" spans="1:103" s="995" customFormat="1" ht="62.5" x14ac:dyDescent="0.35">
      <c r="A79" s="1023">
        <v>2022073</v>
      </c>
      <c r="B79" s="1023">
        <v>7655</v>
      </c>
      <c r="C79" s="1023" t="s">
        <v>668</v>
      </c>
      <c r="D79" s="1039" t="s">
        <v>689</v>
      </c>
      <c r="E79" s="1040" t="s">
        <v>780</v>
      </c>
      <c r="F79" s="1026" t="s">
        <v>816</v>
      </c>
      <c r="G79" s="1041">
        <v>44575</v>
      </c>
      <c r="H79" s="1041">
        <v>44575</v>
      </c>
      <c r="I79" s="1042" t="s">
        <v>1454</v>
      </c>
      <c r="J79" s="1043" t="s">
        <v>1455</v>
      </c>
      <c r="K79" s="1027" t="s">
        <v>674</v>
      </c>
      <c r="L79" s="1029" t="s">
        <v>675</v>
      </c>
      <c r="M79" s="1030">
        <v>63250000</v>
      </c>
      <c r="N79" s="1044" t="s">
        <v>730</v>
      </c>
      <c r="O79" s="1044" t="s">
        <v>1456</v>
      </c>
      <c r="P79" s="1044"/>
      <c r="Q79" s="1027"/>
      <c r="R79" s="1022"/>
      <c r="S79" s="1130">
        <v>408</v>
      </c>
      <c r="T79" s="1156">
        <v>63250000</v>
      </c>
    </row>
    <row r="80" spans="1:103" s="995" customFormat="1" ht="62.5" x14ac:dyDescent="0.35">
      <c r="A80" s="1023">
        <v>2022074</v>
      </c>
      <c r="B80" s="1023">
        <v>7655</v>
      </c>
      <c r="C80" s="1023" t="s">
        <v>668</v>
      </c>
      <c r="D80" s="1039" t="s">
        <v>689</v>
      </c>
      <c r="E80" s="1040" t="s">
        <v>780</v>
      </c>
      <c r="F80" s="1026" t="s">
        <v>816</v>
      </c>
      <c r="G80" s="1041">
        <v>44575</v>
      </c>
      <c r="H80" s="1041">
        <v>44575</v>
      </c>
      <c r="I80" s="1042" t="s">
        <v>1454</v>
      </c>
      <c r="J80" s="1043" t="s">
        <v>1455</v>
      </c>
      <c r="K80" s="1027" t="s">
        <v>674</v>
      </c>
      <c r="L80" s="1029" t="s">
        <v>675</v>
      </c>
      <c r="M80" s="1030">
        <v>58650000</v>
      </c>
      <c r="N80" s="1044" t="s">
        <v>730</v>
      </c>
      <c r="O80" s="1044" t="s">
        <v>1456</v>
      </c>
      <c r="P80" s="1044"/>
      <c r="Q80" s="1027"/>
      <c r="R80" s="1022"/>
      <c r="S80" s="1130">
        <v>424</v>
      </c>
      <c r="T80" s="1156">
        <v>58650000</v>
      </c>
    </row>
    <row r="81" spans="1:20" s="995" customFormat="1" ht="75" x14ac:dyDescent="0.35">
      <c r="A81" s="1023">
        <v>2022075</v>
      </c>
      <c r="B81" s="1023">
        <v>7655</v>
      </c>
      <c r="C81" s="1023" t="s">
        <v>668</v>
      </c>
      <c r="D81" s="1039" t="s">
        <v>689</v>
      </c>
      <c r="E81" s="1040" t="s">
        <v>780</v>
      </c>
      <c r="F81" s="1026" t="s">
        <v>817</v>
      </c>
      <c r="G81" s="1041">
        <v>44575</v>
      </c>
      <c r="H81" s="1041">
        <v>44575</v>
      </c>
      <c r="I81" s="1042" t="s">
        <v>1454</v>
      </c>
      <c r="J81" s="1043" t="s">
        <v>1455</v>
      </c>
      <c r="K81" s="1027" t="s">
        <v>674</v>
      </c>
      <c r="L81" s="1029" t="s">
        <v>675</v>
      </c>
      <c r="M81" s="1030">
        <v>31625000</v>
      </c>
      <c r="N81" s="1044" t="s">
        <v>730</v>
      </c>
      <c r="O81" s="1044" t="s">
        <v>1456</v>
      </c>
      <c r="P81" s="1044"/>
      <c r="Q81" s="1027"/>
      <c r="R81" s="1022"/>
      <c r="S81" s="1130">
        <v>324</v>
      </c>
      <c r="T81" s="1156">
        <v>31625000</v>
      </c>
    </row>
    <row r="82" spans="1:20" s="995" customFormat="1" ht="62.5" x14ac:dyDescent="0.35">
      <c r="A82" s="1023">
        <v>2022076</v>
      </c>
      <c r="B82" s="1023">
        <v>7655</v>
      </c>
      <c r="C82" s="1023" t="s">
        <v>668</v>
      </c>
      <c r="D82" s="1039" t="s">
        <v>689</v>
      </c>
      <c r="E82" s="1040" t="s">
        <v>780</v>
      </c>
      <c r="F82" s="1026" t="s">
        <v>818</v>
      </c>
      <c r="G82" s="1041">
        <v>44575</v>
      </c>
      <c r="H82" s="1041">
        <v>44575</v>
      </c>
      <c r="I82" s="1042" t="s">
        <v>1454</v>
      </c>
      <c r="J82" s="1043" t="s">
        <v>1455</v>
      </c>
      <c r="K82" s="1027" t="s">
        <v>674</v>
      </c>
      <c r="L82" s="1029" t="s">
        <v>675</v>
      </c>
      <c r="M82" s="1030">
        <v>28175000</v>
      </c>
      <c r="N82" s="1044" t="s">
        <v>730</v>
      </c>
      <c r="O82" s="1044" t="s">
        <v>1456</v>
      </c>
      <c r="P82" s="1044"/>
      <c r="Q82" s="1027"/>
      <c r="R82" s="1022"/>
      <c r="S82" s="1130">
        <v>268</v>
      </c>
      <c r="T82" s="1156">
        <v>28175000</v>
      </c>
    </row>
    <row r="83" spans="1:20" s="995" customFormat="1" ht="62.5" x14ac:dyDescent="0.35">
      <c r="A83" s="1023">
        <v>2022077</v>
      </c>
      <c r="B83" s="1023">
        <v>7655</v>
      </c>
      <c r="C83" s="1023" t="s">
        <v>668</v>
      </c>
      <c r="D83" s="1039" t="s">
        <v>689</v>
      </c>
      <c r="E83" s="1040" t="s">
        <v>780</v>
      </c>
      <c r="F83" s="1026" t="s">
        <v>818</v>
      </c>
      <c r="G83" s="1041">
        <v>44575</v>
      </c>
      <c r="H83" s="1041">
        <v>44575</v>
      </c>
      <c r="I83" s="1042" t="s">
        <v>1454</v>
      </c>
      <c r="J83" s="1043" t="s">
        <v>1455</v>
      </c>
      <c r="K83" s="1027" t="s">
        <v>674</v>
      </c>
      <c r="L83" s="1029" t="s">
        <v>675</v>
      </c>
      <c r="M83" s="1030">
        <v>28175000</v>
      </c>
      <c r="N83" s="1044" t="s">
        <v>730</v>
      </c>
      <c r="O83" s="1044" t="s">
        <v>1456</v>
      </c>
      <c r="P83" s="1044"/>
      <c r="Q83" s="1027"/>
      <c r="R83" s="1022"/>
      <c r="S83" s="1130">
        <v>240</v>
      </c>
      <c r="T83" s="1156">
        <v>28175000</v>
      </c>
    </row>
    <row r="84" spans="1:20" s="995" customFormat="1" ht="62.5" x14ac:dyDescent="0.35">
      <c r="A84" s="1023">
        <v>2022078</v>
      </c>
      <c r="B84" s="1023">
        <v>7655</v>
      </c>
      <c r="C84" s="1023" t="s">
        <v>668</v>
      </c>
      <c r="D84" s="1039" t="s">
        <v>689</v>
      </c>
      <c r="E84" s="1040" t="s">
        <v>780</v>
      </c>
      <c r="F84" s="1026" t="s">
        <v>819</v>
      </c>
      <c r="G84" s="1041">
        <v>44575</v>
      </c>
      <c r="H84" s="1041">
        <v>44575</v>
      </c>
      <c r="I84" s="1042" t="s">
        <v>1454</v>
      </c>
      <c r="J84" s="1043" t="s">
        <v>1455</v>
      </c>
      <c r="K84" s="1027" t="s">
        <v>674</v>
      </c>
      <c r="L84" s="1029" t="s">
        <v>675</v>
      </c>
      <c r="M84" s="1030">
        <v>24150000</v>
      </c>
      <c r="N84" s="1044" t="s">
        <v>730</v>
      </c>
      <c r="O84" s="1044" t="s">
        <v>1456</v>
      </c>
      <c r="P84" s="1044"/>
      <c r="Q84" s="1027"/>
      <c r="R84" s="1022"/>
      <c r="S84" s="1130">
        <v>236</v>
      </c>
      <c r="T84" s="1156">
        <v>24150000</v>
      </c>
    </row>
    <row r="85" spans="1:20" s="995" customFormat="1" ht="62.5" x14ac:dyDescent="0.35">
      <c r="A85" s="1023">
        <v>2022079</v>
      </c>
      <c r="B85" s="1023">
        <v>7655</v>
      </c>
      <c r="C85" s="1023" t="s">
        <v>668</v>
      </c>
      <c r="D85" s="1039" t="s">
        <v>689</v>
      </c>
      <c r="E85" s="1040" t="s">
        <v>780</v>
      </c>
      <c r="F85" s="1026" t="s">
        <v>820</v>
      </c>
      <c r="G85" s="1041">
        <v>44575</v>
      </c>
      <c r="H85" s="1041">
        <v>44575</v>
      </c>
      <c r="I85" s="1042" t="s">
        <v>1454</v>
      </c>
      <c r="J85" s="1043" t="s">
        <v>1455</v>
      </c>
      <c r="K85" s="1027" t="s">
        <v>674</v>
      </c>
      <c r="L85" s="1029" t="s">
        <v>675</v>
      </c>
      <c r="M85" s="1030">
        <v>57500000</v>
      </c>
      <c r="N85" s="1044" t="s">
        <v>730</v>
      </c>
      <c r="O85" s="1044" t="s">
        <v>1456</v>
      </c>
      <c r="P85" s="1044"/>
      <c r="Q85" s="1027"/>
      <c r="R85" s="1022"/>
      <c r="S85" s="1130">
        <v>90</v>
      </c>
      <c r="T85" s="1156">
        <v>57500000</v>
      </c>
    </row>
    <row r="86" spans="1:20" s="995" customFormat="1" ht="62.5" x14ac:dyDescent="0.35">
      <c r="A86" s="1023">
        <v>2022080</v>
      </c>
      <c r="B86" s="1023">
        <v>7655</v>
      </c>
      <c r="C86" s="1023" t="s">
        <v>668</v>
      </c>
      <c r="D86" s="1039" t="s">
        <v>689</v>
      </c>
      <c r="E86" s="1040" t="s">
        <v>780</v>
      </c>
      <c r="F86" s="1026" t="s">
        <v>821</v>
      </c>
      <c r="G86" s="1041">
        <v>44575</v>
      </c>
      <c r="H86" s="1041">
        <v>44575</v>
      </c>
      <c r="I86" s="1042" t="s">
        <v>1454</v>
      </c>
      <c r="J86" s="1043" t="s">
        <v>1455</v>
      </c>
      <c r="K86" s="1027" t="s">
        <v>674</v>
      </c>
      <c r="L86" s="1029" t="s">
        <v>675</v>
      </c>
      <c r="M86" s="1030">
        <v>83950000</v>
      </c>
      <c r="N86" s="1044" t="s">
        <v>730</v>
      </c>
      <c r="O86" s="1044" t="s">
        <v>1456</v>
      </c>
      <c r="P86" s="1044"/>
      <c r="Q86" s="1027"/>
      <c r="R86" s="1022"/>
      <c r="S86" s="1130">
        <v>124</v>
      </c>
      <c r="T86" s="1156">
        <v>83950000</v>
      </c>
    </row>
    <row r="87" spans="1:20" s="995" customFormat="1" ht="62.5" x14ac:dyDescent="0.35">
      <c r="A87" s="1023">
        <v>2022081</v>
      </c>
      <c r="B87" s="1023">
        <v>7655</v>
      </c>
      <c r="C87" s="1023" t="s">
        <v>668</v>
      </c>
      <c r="D87" s="1039" t="s">
        <v>689</v>
      </c>
      <c r="E87" s="1040" t="s">
        <v>780</v>
      </c>
      <c r="F87" s="1026" t="s">
        <v>822</v>
      </c>
      <c r="G87" s="1041">
        <v>44575</v>
      </c>
      <c r="H87" s="1041">
        <v>44575</v>
      </c>
      <c r="I87" s="1042" t="s">
        <v>1454</v>
      </c>
      <c r="J87" s="1043" t="s">
        <v>1455</v>
      </c>
      <c r="K87" s="1027" t="s">
        <v>674</v>
      </c>
      <c r="L87" s="1029" t="s">
        <v>675</v>
      </c>
      <c r="M87" s="1030">
        <v>28175000</v>
      </c>
      <c r="N87" s="1044" t="s">
        <v>730</v>
      </c>
      <c r="O87" s="1044" t="s">
        <v>1456</v>
      </c>
      <c r="P87" s="1044"/>
      <c r="Q87" s="1027"/>
      <c r="R87" s="1022"/>
      <c r="S87" s="1130">
        <v>318</v>
      </c>
      <c r="T87" s="1156">
        <v>28175000</v>
      </c>
    </row>
    <row r="88" spans="1:20" s="995" customFormat="1" ht="62.5" x14ac:dyDescent="0.35">
      <c r="A88" s="1023">
        <v>2022082</v>
      </c>
      <c r="B88" s="1023">
        <v>7655</v>
      </c>
      <c r="C88" s="1023" t="s">
        <v>668</v>
      </c>
      <c r="D88" s="1039" t="s">
        <v>689</v>
      </c>
      <c r="E88" s="1040" t="s">
        <v>780</v>
      </c>
      <c r="F88" s="1026" t="s">
        <v>818</v>
      </c>
      <c r="G88" s="1041">
        <v>44575</v>
      </c>
      <c r="H88" s="1041">
        <v>44575</v>
      </c>
      <c r="I88" s="1042" t="s">
        <v>1454</v>
      </c>
      <c r="J88" s="1043" t="s">
        <v>1455</v>
      </c>
      <c r="K88" s="1027" t="s">
        <v>674</v>
      </c>
      <c r="L88" s="1029" t="s">
        <v>675</v>
      </c>
      <c r="M88" s="1030">
        <v>28175000</v>
      </c>
      <c r="N88" s="1044" t="s">
        <v>730</v>
      </c>
      <c r="O88" s="1044" t="s">
        <v>1456</v>
      </c>
      <c r="P88" s="1044"/>
      <c r="Q88" s="1027"/>
      <c r="R88" s="1022"/>
      <c r="S88" s="1130">
        <v>237</v>
      </c>
      <c r="T88" s="1156">
        <v>28175000</v>
      </c>
    </row>
    <row r="89" spans="1:20" s="995" customFormat="1" ht="62.5" x14ac:dyDescent="0.35">
      <c r="A89" s="1023">
        <v>2022083</v>
      </c>
      <c r="B89" s="1023">
        <v>7655</v>
      </c>
      <c r="C89" s="1023" t="s">
        <v>668</v>
      </c>
      <c r="D89" s="1039" t="s">
        <v>689</v>
      </c>
      <c r="E89" s="1040" t="s">
        <v>780</v>
      </c>
      <c r="F89" s="1026" t="s">
        <v>818</v>
      </c>
      <c r="G89" s="1041">
        <v>44575</v>
      </c>
      <c r="H89" s="1041">
        <v>44575</v>
      </c>
      <c r="I89" s="1042" t="s">
        <v>1454</v>
      </c>
      <c r="J89" s="1043" t="s">
        <v>1455</v>
      </c>
      <c r="K89" s="1027" t="s">
        <v>674</v>
      </c>
      <c r="L89" s="1029" t="s">
        <v>675</v>
      </c>
      <c r="M89" s="1030">
        <v>28175000</v>
      </c>
      <c r="N89" s="1044" t="s">
        <v>730</v>
      </c>
      <c r="O89" s="1044" t="s">
        <v>1456</v>
      </c>
      <c r="P89" s="1044"/>
      <c r="Q89" s="1027"/>
      <c r="R89" s="1022"/>
      <c r="S89" s="1130">
        <v>275</v>
      </c>
      <c r="T89" s="1156">
        <v>28175000</v>
      </c>
    </row>
    <row r="90" spans="1:20" s="995" customFormat="1" ht="62.5" x14ac:dyDescent="0.35">
      <c r="A90" s="1023">
        <v>2022084</v>
      </c>
      <c r="B90" s="1023">
        <v>7655</v>
      </c>
      <c r="C90" s="1023" t="s">
        <v>668</v>
      </c>
      <c r="D90" s="1039" t="s">
        <v>689</v>
      </c>
      <c r="E90" s="1040" t="s">
        <v>780</v>
      </c>
      <c r="F90" s="1026" t="s">
        <v>818</v>
      </c>
      <c r="G90" s="1041">
        <v>44575</v>
      </c>
      <c r="H90" s="1041">
        <v>44575</v>
      </c>
      <c r="I90" s="1042" t="s">
        <v>1454</v>
      </c>
      <c r="J90" s="1043" t="s">
        <v>1455</v>
      </c>
      <c r="K90" s="1027" t="s">
        <v>674</v>
      </c>
      <c r="L90" s="1029" t="s">
        <v>675</v>
      </c>
      <c r="M90" s="1030">
        <v>28175000</v>
      </c>
      <c r="N90" s="1044" t="s">
        <v>730</v>
      </c>
      <c r="O90" s="1044" t="s">
        <v>1456</v>
      </c>
      <c r="P90" s="1044"/>
      <c r="Q90" s="1027"/>
      <c r="R90" s="1022"/>
      <c r="S90" s="1130">
        <v>341</v>
      </c>
      <c r="T90" s="1156">
        <v>28175000</v>
      </c>
    </row>
    <row r="91" spans="1:20" s="995" customFormat="1" ht="62.5" x14ac:dyDescent="0.35">
      <c r="A91" s="1023">
        <v>2022085</v>
      </c>
      <c r="B91" s="1023">
        <v>7655</v>
      </c>
      <c r="C91" s="1023" t="s">
        <v>668</v>
      </c>
      <c r="D91" s="1039" t="s">
        <v>689</v>
      </c>
      <c r="E91" s="1040" t="s">
        <v>780</v>
      </c>
      <c r="F91" s="1026" t="s">
        <v>823</v>
      </c>
      <c r="G91" s="1041">
        <v>44575</v>
      </c>
      <c r="H91" s="1041">
        <v>44575</v>
      </c>
      <c r="I91" s="1042" t="s">
        <v>1454</v>
      </c>
      <c r="J91" s="1043" t="s">
        <v>1455</v>
      </c>
      <c r="K91" s="1027" t="s">
        <v>674</v>
      </c>
      <c r="L91" s="1029" t="s">
        <v>675</v>
      </c>
      <c r="M91" s="1030">
        <v>78200000</v>
      </c>
      <c r="N91" s="1044" t="s">
        <v>730</v>
      </c>
      <c r="O91" s="1044" t="s">
        <v>1456</v>
      </c>
      <c r="P91" s="1044"/>
      <c r="Q91" s="1027"/>
      <c r="R91" s="1022"/>
      <c r="S91" s="1130">
        <v>104</v>
      </c>
      <c r="T91" s="1156">
        <v>78200000</v>
      </c>
    </row>
    <row r="92" spans="1:20" s="995" customFormat="1" ht="62.5" x14ac:dyDescent="0.35">
      <c r="A92" s="1023">
        <v>2022086</v>
      </c>
      <c r="B92" s="1023">
        <v>7655</v>
      </c>
      <c r="C92" s="1023" t="s">
        <v>668</v>
      </c>
      <c r="D92" s="1039" t="s">
        <v>689</v>
      </c>
      <c r="E92" s="1040" t="s">
        <v>780</v>
      </c>
      <c r="F92" s="1026" t="s">
        <v>824</v>
      </c>
      <c r="G92" s="1041">
        <v>44575</v>
      </c>
      <c r="H92" s="1041">
        <v>44575</v>
      </c>
      <c r="I92" s="1042" t="s">
        <v>1454</v>
      </c>
      <c r="J92" s="1043" t="s">
        <v>1455</v>
      </c>
      <c r="K92" s="1027" t="s">
        <v>674</v>
      </c>
      <c r="L92" s="1029" t="s">
        <v>675</v>
      </c>
      <c r="M92" s="1030">
        <v>36800000</v>
      </c>
      <c r="N92" s="1044" t="s">
        <v>730</v>
      </c>
      <c r="O92" s="1044" t="s">
        <v>1456</v>
      </c>
      <c r="P92" s="1044"/>
      <c r="Q92" s="1027"/>
      <c r="R92" s="1022"/>
      <c r="S92" s="1130">
        <v>123</v>
      </c>
      <c r="T92" s="1156">
        <v>36800000</v>
      </c>
    </row>
    <row r="93" spans="1:20" s="995" customFormat="1" ht="75" x14ac:dyDescent="0.35">
      <c r="A93" s="1023">
        <v>2022087</v>
      </c>
      <c r="B93" s="1023">
        <v>7655</v>
      </c>
      <c r="C93" s="1023" t="s">
        <v>668</v>
      </c>
      <c r="D93" s="1039" t="s">
        <v>689</v>
      </c>
      <c r="E93" s="1040" t="s">
        <v>780</v>
      </c>
      <c r="F93" s="1026" t="s">
        <v>825</v>
      </c>
      <c r="G93" s="1041">
        <v>44575</v>
      </c>
      <c r="H93" s="1041">
        <v>44575</v>
      </c>
      <c r="I93" s="1042" t="s">
        <v>1454</v>
      </c>
      <c r="J93" s="1043" t="s">
        <v>1455</v>
      </c>
      <c r="K93" s="1027" t="s">
        <v>674</v>
      </c>
      <c r="L93" s="1029" t="s">
        <v>675</v>
      </c>
      <c r="M93" s="1030">
        <v>58650000</v>
      </c>
      <c r="N93" s="1044" t="s">
        <v>730</v>
      </c>
      <c r="O93" s="1044" t="s">
        <v>1456</v>
      </c>
      <c r="P93" s="1044"/>
      <c r="Q93" s="1027"/>
      <c r="R93" s="1022"/>
      <c r="S93" s="1130">
        <v>132</v>
      </c>
      <c r="T93" s="1156">
        <v>58650000</v>
      </c>
    </row>
    <row r="94" spans="1:20" s="995" customFormat="1" ht="62.5" x14ac:dyDescent="0.35">
      <c r="A94" s="1023">
        <v>2022088</v>
      </c>
      <c r="B94" s="1023">
        <v>7655</v>
      </c>
      <c r="C94" s="1023" t="s">
        <v>668</v>
      </c>
      <c r="D94" s="1039" t="s">
        <v>689</v>
      </c>
      <c r="E94" s="1040" t="s">
        <v>780</v>
      </c>
      <c r="F94" s="1026" t="s">
        <v>826</v>
      </c>
      <c r="G94" s="1041">
        <v>44575</v>
      </c>
      <c r="H94" s="1041">
        <v>44575</v>
      </c>
      <c r="I94" s="1042" t="s">
        <v>1454</v>
      </c>
      <c r="J94" s="1043" t="s">
        <v>1455</v>
      </c>
      <c r="K94" s="1027" t="s">
        <v>674</v>
      </c>
      <c r="L94" s="1029" t="s">
        <v>675</v>
      </c>
      <c r="M94" s="1030">
        <v>38525000</v>
      </c>
      <c r="N94" s="1044" t="s">
        <v>730</v>
      </c>
      <c r="O94" s="1044" t="s">
        <v>1456</v>
      </c>
      <c r="P94" s="1044"/>
      <c r="Q94" s="1027"/>
      <c r="R94" s="1022"/>
      <c r="S94" s="1130">
        <v>72</v>
      </c>
      <c r="T94" s="1156">
        <v>38525000</v>
      </c>
    </row>
    <row r="95" spans="1:20" s="995" customFormat="1" ht="75" x14ac:dyDescent="0.35">
      <c r="A95" s="1023">
        <v>2022089</v>
      </c>
      <c r="B95" s="1023">
        <v>7655</v>
      </c>
      <c r="C95" s="1023" t="s">
        <v>668</v>
      </c>
      <c r="D95" s="1039" t="s">
        <v>689</v>
      </c>
      <c r="E95" s="1040" t="s">
        <v>780</v>
      </c>
      <c r="F95" s="1026" t="s">
        <v>827</v>
      </c>
      <c r="G95" s="1041">
        <v>44575</v>
      </c>
      <c r="H95" s="1041">
        <v>44575</v>
      </c>
      <c r="I95" s="1042" t="s">
        <v>1454</v>
      </c>
      <c r="J95" s="1043" t="s">
        <v>1455</v>
      </c>
      <c r="K95" s="1027" t="s">
        <v>674</v>
      </c>
      <c r="L95" s="1029" t="s">
        <v>675</v>
      </c>
      <c r="M95" s="1030">
        <v>48300000</v>
      </c>
      <c r="N95" s="1044" t="s">
        <v>730</v>
      </c>
      <c r="O95" s="1044" t="s">
        <v>1456</v>
      </c>
      <c r="P95" s="1044"/>
      <c r="Q95" s="1027"/>
      <c r="R95" s="1022"/>
      <c r="S95" s="1130">
        <v>71</v>
      </c>
      <c r="T95" s="1156">
        <v>48300000</v>
      </c>
    </row>
    <row r="96" spans="1:20" s="995" customFormat="1" ht="62.5" x14ac:dyDescent="0.35">
      <c r="A96" s="1013">
        <v>2022090</v>
      </c>
      <c r="B96" s="1013">
        <v>7655</v>
      </c>
      <c r="C96" s="1013" t="s">
        <v>668</v>
      </c>
      <c r="D96" s="1045" t="s">
        <v>689</v>
      </c>
      <c r="E96" s="1046" t="s">
        <v>780</v>
      </c>
      <c r="F96" s="1016" t="s">
        <v>828</v>
      </c>
      <c r="G96" s="1047">
        <v>44575</v>
      </c>
      <c r="H96" s="1047">
        <v>44575</v>
      </c>
      <c r="I96" s="1048" t="s">
        <v>1457</v>
      </c>
      <c r="J96" s="1049" t="s">
        <v>1455</v>
      </c>
      <c r="K96" s="1017" t="s">
        <v>674</v>
      </c>
      <c r="L96" s="1019" t="s">
        <v>675</v>
      </c>
      <c r="M96" s="1020">
        <v>36000000</v>
      </c>
      <c r="N96" s="1050" t="s">
        <v>730</v>
      </c>
      <c r="O96" s="1050" t="s">
        <v>1456</v>
      </c>
      <c r="P96" s="1050"/>
      <c r="Q96" s="1017"/>
      <c r="R96" s="1022"/>
      <c r="S96" s="1130"/>
      <c r="T96" s="1156"/>
    </row>
    <row r="97" spans="1:20" s="995" customFormat="1" ht="62.5" x14ac:dyDescent="0.35">
      <c r="A97" s="1023">
        <v>2022091</v>
      </c>
      <c r="B97" s="1023">
        <v>7655</v>
      </c>
      <c r="C97" s="1023" t="s">
        <v>668</v>
      </c>
      <c r="D97" s="1039" t="s">
        <v>689</v>
      </c>
      <c r="E97" s="1040" t="s">
        <v>780</v>
      </c>
      <c r="F97" s="1026" t="s">
        <v>829</v>
      </c>
      <c r="G97" s="1041">
        <v>44575</v>
      </c>
      <c r="H97" s="1041">
        <v>44575</v>
      </c>
      <c r="I97" s="1042" t="s">
        <v>1454</v>
      </c>
      <c r="J97" s="1043" t="s">
        <v>1455</v>
      </c>
      <c r="K97" s="1027" t="s">
        <v>674</v>
      </c>
      <c r="L97" s="1029" t="s">
        <v>675</v>
      </c>
      <c r="M97" s="1030">
        <v>80500000</v>
      </c>
      <c r="N97" s="1044" t="s">
        <v>730</v>
      </c>
      <c r="O97" s="1044" t="s">
        <v>1456</v>
      </c>
      <c r="P97" s="1044"/>
      <c r="Q97" s="1027"/>
      <c r="R97" s="1022"/>
      <c r="S97" s="1130">
        <v>434</v>
      </c>
      <c r="T97" s="1156">
        <v>80500000</v>
      </c>
    </row>
    <row r="98" spans="1:20" s="995" customFormat="1" ht="62.5" x14ac:dyDescent="0.35">
      <c r="A98" s="1023">
        <v>2022092</v>
      </c>
      <c r="B98" s="1023">
        <v>7655</v>
      </c>
      <c r="C98" s="1023" t="s">
        <v>668</v>
      </c>
      <c r="D98" s="1039" t="s">
        <v>689</v>
      </c>
      <c r="E98" s="1040" t="s">
        <v>780</v>
      </c>
      <c r="F98" s="1026" t="s">
        <v>830</v>
      </c>
      <c r="G98" s="1041">
        <v>44575</v>
      </c>
      <c r="H98" s="1041">
        <v>44575</v>
      </c>
      <c r="I98" s="1042" t="s">
        <v>1454</v>
      </c>
      <c r="J98" s="1043" t="s">
        <v>1455</v>
      </c>
      <c r="K98" s="1027" t="s">
        <v>674</v>
      </c>
      <c r="L98" s="1029" t="s">
        <v>675</v>
      </c>
      <c r="M98" s="1030">
        <v>28175000</v>
      </c>
      <c r="N98" s="1044" t="s">
        <v>730</v>
      </c>
      <c r="O98" s="1044" t="s">
        <v>1456</v>
      </c>
      <c r="P98" s="1044"/>
      <c r="Q98" s="1027"/>
      <c r="R98" s="1022"/>
      <c r="S98" s="1130">
        <v>213</v>
      </c>
      <c r="T98" s="1156">
        <v>28175000</v>
      </c>
    </row>
    <row r="99" spans="1:20" s="995" customFormat="1" ht="62.5" x14ac:dyDescent="0.35">
      <c r="A99" s="1023">
        <v>2022093</v>
      </c>
      <c r="B99" s="1023">
        <v>7655</v>
      </c>
      <c r="C99" s="1023" t="s">
        <v>668</v>
      </c>
      <c r="D99" s="1039" t="s">
        <v>689</v>
      </c>
      <c r="E99" s="1040" t="s">
        <v>780</v>
      </c>
      <c r="F99" s="1026" t="s">
        <v>831</v>
      </c>
      <c r="G99" s="1041">
        <v>44575</v>
      </c>
      <c r="H99" s="1041">
        <v>44575</v>
      </c>
      <c r="I99" s="1042" t="s">
        <v>1454</v>
      </c>
      <c r="J99" s="1043" t="s">
        <v>1455</v>
      </c>
      <c r="K99" s="1027" t="s">
        <v>674</v>
      </c>
      <c r="L99" s="1029" t="s">
        <v>675</v>
      </c>
      <c r="M99" s="1030">
        <v>48300000</v>
      </c>
      <c r="N99" s="1044" t="s">
        <v>730</v>
      </c>
      <c r="O99" s="1044" t="s">
        <v>1456</v>
      </c>
      <c r="P99" s="1044"/>
      <c r="Q99" s="1027"/>
      <c r="R99" s="1022"/>
      <c r="S99" s="1130">
        <v>91</v>
      </c>
      <c r="T99" s="1156">
        <v>48300000</v>
      </c>
    </row>
    <row r="100" spans="1:20" s="995" customFormat="1" ht="62.5" x14ac:dyDescent="0.35">
      <c r="A100" s="1023">
        <v>2022094</v>
      </c>
      <c r="B100" s="1023">
        <v>7655</v>
      </c>
      <c r="C100" s="1023" t="s">
        <v>668</v>
      </c>
      <c r="D100" s="1039" t="s">
        <v>689</v>
      </c>
      <c r="E100" s="1040" t="s">
        <v>780</v>
      </c>
      <c r="F100" s="1026" t="s">
        <v>830</v>
      </c>
      <c r="G100" s="1041">
        <v>44575</v>
      </c>
      <c r="H100" s="1041">
        <v>44575</v>
      </c>
      <c r="I100" s="1042" t="s">
        <v>1454</v>
      </c>
      <c r="J100" s="1043" t="s">
        <v>1455</v>
      </c>
      <c r="K100" s="1027" t="s">
        <v>674</v>
      </c>
      <c r="L100" s="1029" t="s">
        <v>675</v>
      </c>
      <c r="M100" s="1030">
        <v>28175000</v>
      </c>
      <c r="N100" s="1044" t="s">
        <v>730</v>
      </c>
      <c r="O100" s="1044" t="s">
        <v>1456</v>
      </c>
      <c r="P100" s="1044"/>
      <c r="Q100" s="1027"/>
      <c r="R100" s="1022"/>
      <c r="S100" s="1130">
        <v>94</v>
      </c>
      <c r="T100" s="1156">
        <v>28175000</v>
      </c>
    </row>
    <row r="101" spans="1:20" s="995" customFormat="1" ht="62.5" x14ac:dyDescent="0.35">
      <c r="A101" s="1023">
        <v>2022095</v>
      </c>
      <c r="B101" s="1023">
        <v>7655</v>
      </c>
      <c r="C101" s="1023" t="s">
        <v>668</v>
      </c>
      <c r="D101" s="1039" t="s">
        <v>689</v>
      </c>
      <c r="E101" s="1040" t="s">
        <v>780</v>
      </c>
      <c r="F101" s="1026" t="s">
        <v>832</v>
      </c>
      <c r="G101" s="1041">
        <v>44575</v>
      </c>
      <c r="H101" s="1041">
        <v>44575</v>
      </c>
      <c r="I101" s="1042" t="s">
        <v>1454</v>
      </c>
      <c r="J101" s="1043" t="s">
        <v>1455</v>
      </c>
      <c r="K101" s="1027" t="s">
        <v>674</v>
      </c>
      <c r="L101" s="1029" t="s">
        <v>675</v>
      </c>
      <c r="M101" s="1030">
        <v>31625000</v>
      </c>
      <c r="N101" s="1044" t="s">
        <v>730</v>
      </c>
      <c r="O101" s="1044" t="s">
        <v>1456</v>
      </c>
      <c r="P101" s="1044"/>
      <c r="Q101" s="1027"/>
      <c r="R101" s="1022"/>
      <c r="S101" s="1130">
        <v>316</v>
      </c>
      <c r="T101" s="1156">
        <v>31625000</v>
      </c>
    </row>
    <row r="102" spans="1:20" s="995" customFormat="1" ht="62.5" x14ac:dyDescent="0.35">
      <c r="A102" s="1023">
        <v>2022096</v>
      </c>
      <c r="B102" s="1023">
        <v>7655</v>
      </c>
      <c r="C102" s="1023" t="s">
        <v>668</v>
      </c>
      <c r="D102" s="1039" t="s">
        <v>689</v>
      </c>
      <c r="E102" s="1040" t="s">
        <v>780</v>
      </c>
      <c r="F102" s="1026" t="s">
        <v>833</v>
      </c>
      <c r="G102" s="1041">
        <v>44575</v>
      </c>
      <c r="H102" s="1041">
        <v>44575</v>
      </c>
      <c r="I102" s="1042" t="s">
        <v>1454</v>
      </c>
      <c r="J102" s="1043" t="s">
        <v>1455</v>
      </c>
      <c r="K102" s="1027" t="s">
        <v>674</v>
      </c>
      <c r="L102" s="1029" t="s">
        <v>675</v>
      </c>
      <c r="M102" s="1030">
        <v>69000000</v>
      </c>
      <c r="N102" s="1044" t="s">
        <v>730</v>
      </c>
      <c r="O102" s="1044" t="s">
        <v>1456</v>
      </c>
      <c r="P102" s="1044"/>
      <c r="Q102" s="1027"/>
      <c r="R102" s="1022"/>
      <c r="S102" s="1130">
        <v>130</v>
      </c>
      <c r="T102" s="1156">
        <v>69000000</v>
      </c>
    </row>
    <row r="103" spans="1:20" s="995" customFormat="1" ht="62.5" x14ac:dyDescent="0.35">
      <c r="A103" s="1023">
        <v>2022097</v>
      </c>
      <c r="B103" s="1023">
        <v>7655</v>
      </c>
      <c r="C103" s="1023" t="s">
        <v>668</v>
      </c>
      <c r="D103" s="1039" t="s">
        <v>689</v>
      </c>
      <c r="E103" s="1040" t="s">
        <v>780</v>
      </c>
      <c r="F103" s="1026" t="s">
        <v>830</v>
      </c>
      <c r="G103" s="1041">
        <v>44575</v>
      </c>
      <c r="H103" s="1041">
        <v>44575</v>
      </c>
      <c r="I103" s="1042" t="s">
        <v>1454</v>
      </c>
      <c r="J103" s="1043" t="s">
        <v>1455</v>
      </c>
      <c r="K103" s="1027" t="s">
        <v>674</v>
      </c>
      <c r="L103" s="1029" t="s">
        <v>675</v>
      </c>
      <c r="M103" s="1030">
        <v>24150000</v>
      </c>
      <c r="N103" s="1044" t="s">
        <v>730</v>
      </c>
      <c r="O103" s="1044" t="s">
        <v>1456</v>
      </c>
      <c r="P103" s="1044"/>
      <c r="Q103" s="1027"/>
      <c r="R103" s="1022"/>
      <c r="S103" s="1130">
        <v>112</v>
      </c>
      <c r="T103" s="1156">
        <v>24150000</v>
      </c>
    </row>
    <row r="104" spans="1:20" s="995" customFormat="1" ht="62.5" x14ac:dyDescent="0.35">
      <c r="A104" s="1023">
        <v>2022098</v>
      </c>
      <c r="B104" s="1023">
        <v>7655</v>
      </c>
      <c r="C104" s="1023" t="s">
        <v>668</v>
      </c>
      <c r="D104" s="1039" t="s">
        <v>689</v>
      </c>
      <c r="E104" s="1040" t="s">
        <v>780</v>
      </c>
      <c r="F104" s="1026" t="s">
        <v>830</v>
      </c>
      <c r="G104" s="1041">
        <v>44575</v>
      </c>
      <c r="H104" s="1041">
        <v>44575</v>
      </c>
      <c r="I104" s="1042" t="s">
        <v>1454</v>
      </c>
      <c r="J104" s="1043" t="s">
        <v>1455</v>
      </c>
      <c r="K104" s="1027" t="s">
        <v>674</v>
      </c>
      <c r="L104" s="1029" t="s">
        <v>675</v>
      </c>
      <c r="M104" s="1030">
        <v>28175000</v>
      </c>
      <c r="N104" s="1044" t="s">
        <v>730</v>
      </c>
      <c r="O104" s="1044" t="s">
        <v>1456</v>
      </c>
      <c r="P104" s="1044"/>
      <c r="Q104" s="1027"/>
      <c r="R104" s="1022"/>
      <c r="S104" s="1130">
        <v>121</v>
      </c>
      <c r="T104" s="1156">
        <v>28175000</v>
      </c>
    </row>
    <row r="105" spans="1:20" s="995" customFormat="1" ht="62.5" x14ac:dyDescent="0.35">
      <c r="A105" s="1023">
        <v>2022099</v>
      </c>
      <c r="B105" s="1023">
        <v>7655</v>
      </c>
      <c r="C105" s="1023" t="s">
        <v>668</v>
      </c>
      <c r="D105" s="1039" t="s">
        <v>689</v>
      </c>
      <c r="E105" s="1040" t="s">
        <v>780</v>
      </c>
      <c r="F105" s="1026" t="s">
        <v>830</v>
      </c>
      <c r="G105" s="1041">
        <v>44575</v>
      </c>
      <c r="H105" s="1041">
        <v>44575</v>
      </c>
      <c r="I105" s="1042" t="s">
        <v>1454</v>
      </c>
      <c r="J105" s="1043" t="s">
        <v>1455</v>
      </c>
      <c r="K105" s="1027" t="s">
        <v>674</v>
      </c>
      <c r="L105" s="1029" t="s">
        <v>675</v>
      </c>
      <c r="M105" s="1030">
        <v>28175000</v>
      </c>
      <c r="N105" s="1044" t="s">
        <v>730</v>
      </c>
      <c r="O105" s="1044" t="s">
        <v>1456</v>
      </c>
      <c r="P105" s="1044"/>
      <c r="Q105" s="1027"/>
      <c r="R105" s="1022"/>
      <c r="S105" s="1130">
        <v>73</v>
      </c>
      <c r="T105" s="1156">
        <v>28175000</v>
      </c>
    </row>
    <row r="106" spans="1:20" s="995" customFormat="1" ht="87.5" x14ac:dyDescent="0.35">
      <c r="A106" s="1023">
        <v>2022100</v>
      </c>
      <c r="B106" s="1023">
        <v>7655</v>
      </c>
      <c r="C106" s="1023" t="s">
        <v>668</v>
      </c>
      <c r="D106" s="1039" t="s">
        <v>689</v>
      </c>
      <c r="E106" s="1040" t="s">
        <v>780</v>
      </c>
      <c r="F106" s="1026" t="s">
        <v>834</v>
      </c>
      <c r="G106" s="1041">
        <v>44575</v>
      </c>
      <c r="H106" s="1041">
        <v>44575</v>
      </c>
      <c r="I106" s="1042" t="s">
        <v>1454</v>
      </c>
      <c r="J106" s="1043" t="s">
        <v>1455</v>
      </c>
      <c r="K106" s="1027" t="s">
        <v>674</v>
      </c>
      <c r="L106" s="1029" t="s">
        <v>782</v>
      </c>
      <c r="M106" s="1030">
        <v>63250000</v>
      </c>
      <c r="N106" s="1044" t="s">
        <v>730</v>
      </c>
      <c r="O106" s="1044" t="s">
        <v>1456</v>
      </c>
      <c r="P106" s="1044"/>
      <c r="Q106" s="1027"/>
      <c r="R106" s="1022"/>
      <c r="S106" s="1130">
        <v>267</v>
      </c>
      <c r="T106" s="1156">
        <v>63250000</v>
      </c>
    </row>
    <row r="107" spans="1:20" s="995" customFormat="1" ht="87.5" x14ac:dyDescent="0.35">
      <c r="A107" s="1023">
        <v>2022101</v>
      </c>
      <c r="B107" s="1023">
        <v>7655</v>
      </c>
      <c r="C107" s="1023" t="s">
        <v>668</v>
      </c>
      <c r="D107" s="1039" t="s">
        <v>689</v>
      </c>
      <c r="E107" s="1040" t="s">
        <v>780</v>
      </c>
      <c r="F107" s="1026" t="s">
        <v>835</v>
      </c>
      <c r="G107" s="1041">
        <v>44575</v>
      </c>
      <c r="H107" s="1041">
        <v>44575</v>
      </c>
      <c r="I107" s="1042" t="s">
        <v>1454</v>
      </c>
      <c r="J107" s="1043" t="s">
        <v>1455</v>
      </c>
      <c r="K107" s="1027" t="s">
        <v>674</v>
      </c>
      <c r="L107" s="1029" t="s">
        <v>782</v>
      </c>
      <c r="M107" s="1030">
        <v>63250000</v>
      </c>
      <c r="N107" s="1044" t="s">
        <v>730</v>
      </c>
      <c r="O107" s="1044" t="s">
        <v>1456</v>
      </c>
      <c r="P107" s="1044"/>
      <c r="Q107" s="1027"/>
      <c r="R107" s="1022"/>
      <c r="S107" s="1130">
        <v>362</v>
      </c>
      <c r="T107" s="1156">
        <v>63250000</v>
      </c>
    </row>
    <row r="108" spans="1:20" s="995" customFormat="1" ht="62.5" x14ac:dyDescent="0.35">
      <c r="A108" s="1013">
        <v>2022102</v>
      </c>
      <c r="B108" s="1013">
        <v>7655</v>
      </c>
      <c r="C108" s="1013" t="s">
        <v>668</v>
      </c>
      <c r="D108" s="1045" t="s">
        <v>689</v>
      </c>
      <c r="E108" s="1046" t="s">
        <v>97</v>
      </c>
      <c r="F108" s="1052" t="s">
        <v>836</v>
      </c>
      <c r="G108" s="1047" t="s">
        <v>97</v>
      </c>
      <c r="H108" s="1047" t="s">
        <v>97</v>
      </c>
      <c r="I108" s="1047" t="s">
        <v>97</v>
      </c>
      <c r="J108" s="1049" t="s">
        <v>1455</v>
      </c>
      <c r="K108" s="1017" t="s">
        <v>674</v>
      </c>
      <c r="L108" s="1019" t="s">
        <v>675</v>
      </c>
      <c r="M108" s="1020">
        <v>138627500</v>
      </c>
      <c r="N108" s="1050" t="s">
        <v>730</v>
      </c>
      <c r="O108" s="1050" t="s">
        <v>1456</v>
      </c>
      <c r="P108" s="1050"/>
      <c r="Q108" s="1017"/>
      <c r="R108" s="1022"/>
      <c r="S108" s="1130"/>
      <c r="T108" s="1156"/>
    </row>
    <row r="109" spans="1:20" s="995" customFormat="1" ht="62.5" x14ac:dyDescent="0.35">
      <c r="A109" s="1023">
        <v>2022103</v>
      </c>
      <c r="B109" s="1023">
        <v>7655</v>
      </c>
      <c r="C109" s="1023" t="s">
        <v>668</v>
      </c>
      <c r="D109" s="1039" t="s">
        <v>689</v>
      </c>
      <c r="E109" s="1040" t="s">
        <v>780</v>
      </c>
      <c r="F109" s="1026" t="s">
        <v>837</v>
      </c>
      <c r="G109" s="1041">
        <v>44575</v>
      </c>
      <c r="H109" s="1041">
        <v>44575</v>
      </c>
      <c r="I109" s="1042" t="s">
        <v>1458</v>
      </c>
      <c r="J109" s="1043" t="s">
        <v>1455</v>
      </c>
      <c r="K109" s="1027" t="s">
        <v>674</v>
      </c>
      <c r="L109" s="1029" t="s">
        <v>675</v>
      </c>
      <c r="M109" s="1030">
        <v>31500000</v>
      </c>
      <c r="N109" s="1044" t="s">
        <v>730</v>
      </c>
      <c r="O109" s="1044" t="s">
        <v>1456</v>
      </c>
      <c r="P109" s="1044"/>
      <c r="Q109" s="1027"/>
      <c r="R109" s="1022"/>
      <c r="S109" s="1130">
        <v>289</v>
      </c>
      <c r="T109" s="1156">
        <v>31500000</v>
      </c>
    </row>
    <row r="110" spans="1:20" s="995" customFormat="1" ht="62.5" x14ac:dyDescent="0.35">
      <c r="A110" s="1023">
        <v>2022104</v>
      </c>
      <c r="B110" s="1023">
        <v>7655</v>
      </c>
      <c r="C110" s="1023" t="s">
        <v>668</v>
      </c>
      <c r="D110" s="1039" t="s">
        <v>689</v>
      </c>
      <c r="E110" s="1040" t="s">
        <v>780</v>
      </c>
      <c r="F110" s="1026" t="s">
        <v>838</v>
      </c>
      <c r="G110" s="1041">
        <v>44575</v>
      </c>
      <c r="H110" s="1041">
        <v>44575</v>
      </c>
      <c r="I110" s="1042" t="s">
        <v>1454</v>
      </c>
      <c r="J110" s="1043" t="s">
        <v>1455</v>
      </c>
      <c r="K110" s="1027" t="s">
        <v>674</v>
      </c>
      <c r="L110" s="1029" t="s">
        <v>675</v>
      </c>
      <c r="M110" s="1030">
        <v>38525000</v>
      </c>
      <c r="N110" s="1044" t="s">
        <v>730</v>
      </c>
      <c r="O110" s="1044" t="s">
        <v>1456</v>
      </c>
      <c r="P110" s="1044"/>
      <c r="Q110" s="1027"/>
      <c r="R110" s="1022"/>
      <c r="S110" s="1130">
        <v>204</v>
      </c>
      <c r="T110" s="1156">
        <v>38525000</v>
      </c>
    </row>
    <row r="111" spans="1:20" s="995" customFormat="1" ht="62.5" x14ac:dyDescent="0.35">
      <c r="A111" s="1023">
        <v>2022105</v>
      </c>
      <c r="B111" s="1023">
        <v>7655</v>
      </c>
      <c r="C111" s="1023" t="s">
        <v>668</v>
      </c>
      <c r="D111" s="1039" t="s">
        <v>689</v>
      </c>
      <c r="E111" s="1040" t="s">
        <v>780</v>
      </c>
      <c r="F111" s="1026" t="s">
        <v>838</v>
      </c>
      <c r="G111" s="1041">
        <v>44575</v>
      </c>
      <c r="H111" s="1041">
        <v>44575</v>
      </c>
      <c r="I111" s="1042" t="s">
        <v>1454</v>
      </c>
      <c r="J111" s="1043" t="s">
        <v>1455</v>
      </c>
      <c r="K111" s="1027" t="s">
        <v>674</v>
      </c>
      <c r="L111" s="1029" t="s">
        <v>675</v>
      </c>
      <c r="M111" s="1030">
        <v>28175000</v>
      </c>
      <c r="N111" s="1044" t="s">
        <v>730</v>
      </c>
      <c r="O111" s="1044" t="s">
        <v>1456</v>
      </c>
      <c r="P111" s="1044"/>
      <c r="Q111" s="1027"/>
      <c r="R111" s="1022"/>
      <c r="S111" s="1130">
        <v>256</v>
      </c>
      <c r="T111" s="1156">
        <v>28175000</v>
      </c>
    </row>
    <row r="112" spans="1:20" s="995" customFormat="1" ht="62.5" x14ac:dyDescent="0.35">
      <c r="A112" s="1023">
        <v>2022106</v>
      </c>
      <c r="B112" s="1023">
        <v>7655</v>
      </c>
      <c r="C112" s="1023" t="s">
        <v>668</v>
      </c>
      <c r="D112" s="1039" t="s">
        <v>689</v>
      </c>
      <c r="E112" s="1040" t="s">
        <v>780</v>
      </c>
      <c r="F112" s="1026" t="s">
        <v>839</v>
      </c>
      <c r="G112" s="1041">
        <v>44575</v>
      </c>
      <c r="H112" s="1041">
        <v>44575</v>
      </c>
      <c r="I112" s="1042" t="s">
        <v>1454</v>
      </c>
      <c r="J112" s="1043" t="s">
        <v>1455</v>
      </c>
      <c r="K112" s="1027" t="s">
        <v>674</v>
      </c>
      <c r="L112" s="1029" t="s">
        <v>675</v>
      </c>
      <c r="M112" s="1030">
        <v>44275000</v>
      </c>
      <c r="N112" s="1044" t="s">
        <v>730</v>
      </c>
      <c r="O112" s="1044" t="s">
        <v>1456</v>
      </c>
      <c r="P112" s="1044"/>
      <c r="Q112" s="1027"/>
      <c r="R112" s="1022"/>
      <c r="S112" s="1130">
        <v>219</v>
      </c>
      <c r="T112" s="1156">
        <v>44275000</v>
      </c>
    </row>
    <row r="113" spans="1:20" s="995" customFormat="1" ht="75" x14ac:dyDescent="0.35">
      <c r="A113" s="1023">
        <v>2022107</v>
      </c>
      <c r="B113" s="1023">
        <v>7655</v>
      </c>
      <c r="C113" s="1023" t="s">
        <v>668</v>
      </c>
      <c r="D113" s="1039" t="s">
        <v>689</v>
      </c>
      <c r="E113" s="1040" t="s">
        <v>780</v>
      </c>
      <c r="F113" s="1026" t="s">
        <v>840</v>
      </c>
      <c r="G113" s="1041">
        <v>44575</v>
      </c>
      <c r="H113" s="1041">
        <v>44575</v>
      </c>
      <c r="I113" s="1042" t="s">
        <v>1458</v>
      </c>
      <c r="J113" s="1043" t="s">
        <v>1455</v>
      </c>
      <c r="K113" s="1027" t="s">
        <v>674</v>
      </c>
      <c r="L113" s="1029" t="s">
        <v>675</v>
      </c>
      <c r="M113" s="1030">
        <v>31500000</v>
      </c>
      <c r="N113" s="1044" t="s">
        <v>730</v>
      </c>
      <c r="O113" s="1044" t="s">
        <v>1456</v>
      </c>
      <c r="P113" s="1044"/>
      <c r="Q113" s="1027"/>
      <c r="R113" s="1022"/>
      <c r="S113" s="1130">
        <v>374</v>
      </c>
      <c r="T113" s="1156">
        <v>31500000</v>
      </c>
    </row>
    <row r="114" spans="1:20" s="995" customFormat="1" ht="62.5" x14ac:dyDescent="0.35">
      <c r="A114" s="1023">
        <v>2022108</v>
      </c>
      <c r="B114" s="1023">
        <v>7655</v>
      </c>
      <c r="C114" s="1023" t="s">
        <v>668</v>
      </c>
      <c r="D114" s="1039" t="s">
        <v>689</v>
      </c>
      <c r="E114" s="1040" t="s">
        <v>780</v>
      </c>
      <c r="F114" s="1026" t="s">
        <v>841</v>
      </c>
      <c r="G114" s="1041">
        <v>44575</v>
      </c>
      <c r="H114" s="1041">
        <v>44575</v>
      </c>
      <c r="I114" s="1042" t="s">
        <v>1460</v>
      </c>
      <c r="J114" s="1043" t="s">
        <v>1455</v>
      </c>
      <c r="K114" s="1027" t="s">
        <v>674</v>
      </c>
      <c r="L114" s="1029" t="s">
        <v>675</v>
      </c>
      <c r="M114" s="1030">
        <v>29400000</v>
      </c>
      <c r="N114" s="1044" t="s">
        <v>730</v>
      </c>
      <c r="O114" s="1044" t="s">
        <v>1456</v>
      </c>
      <c r="P114" s="1044"/>
      <c r="Q114" s="1027"/>
      <c r="R114" s="1022"/>
      <c r="S114" s="1130">
        <v>258</v>
      </c>
      <c r="T114" s="1156">
        <v>29400000</v>
      </c>
    </row>
    <row r="115" spans="1:20" s="995" customFormat="1" ht="62.5" x14ac:dyDescent="0.35">
      <c r="A115" s="1023">
        <v>2022109</v>
      </c>
      <c r="B115" s="1023">
        <v>7655</v>
      </c>
      <c r="C115" s="1023" t="s">
        <v>668</v>
      </c>
      <c r="D115" s="1039" t="s">
        <v>689</v>
      </c>
      <c r="E115" s="1040" t="s">
        <v>780</v>
      </c>
      <c r="F115" s="1026" t="s">
        <v>842</v>
      </c>
      <c r="G115" s="1041">
        <v>44575</v>
      </c>
      <c r="H115" s="1041">
        <v>44575</v>
      </c>
      <c r="I115" s="1042" t="s">
        <v>1460</v>
      </c>
      <c r="J115" s="1043" t="s">
        <v>1455</v>
      </c>
      <c r="K115" s="1027" t="s">
        <v>674</v>
      </c>
      <c r="L115" s="1029" t="s">
        <v>675</v>
      </c>
      <c r="M115" s="1030">
        <v>84000000</v>
      </c>
      <c r="N115" s="1044" t="s">
        <v>730</v>
      </c>
      <c r="O115" s="1044" t="s">
        <v>1456</v>
      </c>
      <c r="P115" s="1044"/>
      <c r="Q115" s="1027"/>
      <c r="R115" s="1022"/>
      <c r="S115" s="1130">
        <v>149</v>
      </c>
      <c r="T115" s="1156">
        <v>84000000</v>
      </c>
    </row>
    <row r="116" spans="1:20" s="995" customFormat="1" ht="62.5" x14ac:dyDescent="0.35">
      <c r="A116" s="1023">
        <v>2022110</v>
      </c>
      <c r="B116" s="1023">
        <v>7655</v>
      </c>
      <c r="C116" s="1023" t="s">
        <v>668</v>
      </c>
      <c r="D116" s="1039" t="s">
        <v>689</v>
      </c>
      <c r="E116" s="1040" t="s">
        <v>780</v>
      </c>
      <c r="F116" s="1026" t="s">
        <v>843</v>
      </c>
      <c r="G116" s="1041">
        <v>44575</v>
      </c>
      <c r="H116" s="1041">
        <v>44575</v>
      </c>
      <c r="I116" s="1042" t="s">
        <v>1460</v>
      </c>
      <c r="J116" s="1043" t="s">
        <v>1455</v>
      </c>
      <c r="K116" s="1027" t="s">
        <v>674</v>
      </c>
      <c r="L116" s="1029" t="s">
        <v>675</v>
      </c>
      <c r="M116" s="1030">
        <v>40200000</v>
      </c>
      <c r="N116" s="1044" t="s">
        <v>730</v>
      </c>
      <c r="O116" s="1044" t="s">
        <v>1456</v>
      </c>
      <c r="P116" s="1044"/>
      <c r="Q116" s="1027"/>
      <c r="R116" s="1022"/>
      <c r="S116" s="1130">
        <v>431</v>
      </c>
      <c r="T116" s="1156">
        <v>29400000</v>
      </c>
    </row>
    <row r="117" spans="1:20" s="995" customFormat="1" ht="62.5" x14ac:dyDescent="0.35">
      <c r="A117" s="1023">
        <v>2022111</v>
      </c>
      <c r="B117" s="1023">
        <v>7655</v>
      </c>
      <c r="C117" s="1023" t="s">
        <v>668</v>
      </c>
      <c r="D117" s="1039" t="s">
        <v>689</v>
      </c>
      <c r="E117" s="1040" t="s">
        <v>780</v>
      </c>
      <c r="F117" s="1026" t="s">
        <v>841</v>
      </c>
      <c r="G117" s="1041">
        <v>44575</v>
      </c>
      <c r="H117" s="1041">
        <v>44575</v>
      </c>
      <c r="I117" s="1042" t="s">
        <v>1460</v>
      </c>
      <c r="J117" s="1043" t="s">
        <v>1455</v>
      </c>
      <c r="K117" s="1027" t="s">
        <v>674</v>
      </c>
      <c r="L117" s="1029" t="s">
        <v>675</v>
      </c>
      <c r="M117" s="1030">
        <v>29400000</v>
      </c>
      <c r="N117" s="1044" t="s">
        <v>730</v>
      </c>
      <c r="O117" s="1044" t="s">
        <v>1456</v>
      </c>
      <c r="P117" s="1044"/>
      <c r="Q117" s="1027"/>
      <c r="R117" s="1022"/>
      <c r="S117" s="1130">
        <v>185</v>
      </c>
      <c r="T117" s="1156">
        <v>29400000</v>
      </c>
    </row>
    <row r="118" spans="1:20" s="995" customFormat="1" ht="62.5" x14ac:dyDescent="0.35">
      <c r="A118" s="1023">
        <v>2022112</v>
      </c>
      <c r="B118" s="1023">
        <v>7655</v>
      </c>
      <c r="C118" s="1023" t="s">
        <v>668</v>
      </c>
      <c r="D118" s="1039" t="s">
        <v>689</v>
      </c>
      <c r="E118" s="1040" t="s">
        <v>780</v>
      </c>
      <c r="F118" s="1026" t="s">
        <v>844</v>
      </c>
      <c r="G118" s="1041">
        <v>44575</v>
      </c>
      <c r="H118" s="1041">
        <v>44575</v>
      </c>
      <c r="I118" s="1042" t="s">
        <v>1460</v>
      </c>
      <c r="J118" s="1043" t="s">
        <v>1455</v>
      </c>
      <c r="K118" s="1027" t="s">
        <v>674</v>
      </c>
      <c r="L118" s="1029" t="s">
        <v>675</v>
      </c>
      <c r="M118" s="1030">
        <v>29400000</v>
      </c>
      <c r="N118" s="1044" t="s">
        <v>730</v>
      </c>
      <c r="O118" s="1044" t="s">
        <v>1456</v>
      </c>
      <c r="P118" s="1044"/>
      <c r="Q118" s="1027"/>
      <c r="R118" s="1022"/>
      <c r="S118" s="1130">
        <v>157</v>
      </c>
      <c r="T118" s="1156">
        <v>29400000</v>
      </c>
    </row>
    <row r="119" spans="1:20" s="995" customFormat="1" ht="62.5" x14ac:dyDescent="0.35">
      <c r="A119" s="1023">
        <v>2022113</v>
      </c>
      <c r="B119" s="1023">
        <v>7655</v>
      </c>
      <c r="C119" s="1023" t="s">
        <v>668</v>
      </c>
      <c r="D119" s="1039" t="s">
        <v>689</v>
      </c>
      <c r="E119" s="1040" t="s">
        <v>780</v>
      </c>
      <c r="F119" s="1026" t="s">
        <v>844</v>
      </c>
      <c r="G119" s="1041">
        <v>44575</v>
      </c>
      <c r="H119" s="1041">
        <v>44575</v>
      </c>
      <c r="I119" s="1042" t="s">
        <v>1460</v>
      </c>
      <c r="J119" s="1043" t="s">
        <v>1455</v>
      </c>
      <c r="K119" s="1027" t="s">
        <v>674</v>
      </c>
      <c r="L119" s="1029" t="s">
        <v>675</v>
      </c>
      <c r="M119" s="1030">
        <v>29400000</v>
      </c>
      <c r="N119" s="1044" t="s">
        <v>730</v>
      </c>
      <c r="O119" s="1044" t="s">
        <v>1456</v>
      </c>
      <c r="P119" s="1044"/>
      <c r="Q119" s="1027"/>
      <c r="R119" s="1022"/>
      <c r="S119" s="1130">
        <v>182</v>
      </c>
      <c r="T119" s="1156">
        <v>29400000</v>
      </c>
    </row>
    <row r="120" spans="1:20" s="995" customFormat="1" ht="62.5" x14ac:dyDescent="0.35">
      <c r="A120" s="1023">
        <v>2022114</v>
      </c>
      <c r="B120" s="1023">
        <v>7655</v>
      </c>
      <c r="C120" s="1023" t="s">
        <v>668</v>
      </c>
      <c r="D120" s="1039" t="s">
        <v>689</v>
      </c>
      <c r="E120" s="1040" t="s">
        <v>780</v>
      </c>
      <c r="F120" s="1026" t="s">
        <v>845</v>
      </c>
      <c r="G120" s="1041">
        <v>44575</v>
      </c>
      <c r="H120" s="1041">
        <v>44575</v>
      </c>
      <c r="I120" s="1042" t="s">
        <v>1460</v>
      </c>
      <c r="J120" s="1043" t="s">
        <v>1455</v>
      </c>
      <c r="K120" s="1027" t="s">
        <v>674</v>
      </c>
      <c r="L120" s="1029" t="s">
        <v>675</v>
      </c>
      <c r="M120" s="1030">
        <v>29400000</v>
      </c>
      <c r="N120" s="1044" t="s">
        <v>730</v>
      </c>
      <c r="O120" s="1044" t="s">
        <v>1456</v>
      </c>
      <c r="P120" s="1044"/>
      <c r="Q120" s="1027"/>
      <c r="R120" s="1022"/>
      <c r="S120" s="1130">
        <v>184</v>
      </c>
      <c r="T120" s="1156">
        <v>29400000</v>
      </c>
    </row>
    <row r="121" spans="1:20" s="995" customFormat="1" ht="62.5" x14ac:dyDescent="0.35">
      <c r="A121" s="1023">
        <v>2022115</v>
      </c>
      <c r="B121" s="1023">
        <v>7655</v>
      </c>
      <c r="C121" s="1023" t="s">
        <v>668</v>
      </c>
      <c r="D121" s="1039" t="s">
        <v>689</v>
      </c>
      <c r="E121" s="1040" t="s">
        <v>780</v>
      </c>
      <c r="F121" s="1026" t="s">
        <v>844</v>
      </c>
      <c r="G121" s="1041">
        <v>44575</v>
      </c>
      <c r="H121" s="1041">
        <v>44575</v>
      </c>
      <c r="I121" s="1042" t="s">
        <v>1460</v>
      </c>
      <c r="J121" s="1043" t="s">
        <v>1455</v>
      </c>
      <c r="K121" s="1027" t="s">
        <v>674</v>
      </c>
      <c r="L121" s="1029" t="s">
        <v>675</v>
      </c>
      <c r="M121" s="1030">
        <v>29400000</v>
      </c>
      <c r="N121" s="1044" t="s">
        <v>730</v>
      </c>
      <c r="O121" s="1044" t="s">
        <v>1456</v>
      </c>
      <c r="P121" s="1044"/>
      <c r="Q121" s="1027"/>
      <c r="R121" s="1022"/>
      <c r="S121" s="1130">
        <v>432</v>
      </c>
      <c r="T121" s="1156">
        <v>29400000</v>
      </c>
    </row>
    <row r="122" spans="1:20" s="995" customFormat="1" ht="62.5" x14ac:dyDescent="0.35">
      <c r="A122" s="1023">
        <v>2022116</v>
      </c>
      <c r="B122" s="1023">
        <v>7655</v>
      </c>
      <c r="C122" s="1023" t="s">
        <v>668</v>
      </c>
      <c r="D122" s="1039" t="s">
        <v>689</v>
      </c>
      <c r="E122" s="1040" t="s">
        <v>780</v>
      </c>
      <c r="F122" s="1026" t="s">
        <v>844</v>
      </c>
      <c r="G122" s="1041">
        <v>44575</v>
      </c>
      <c r="H122" s="1041">
        <v>44575</v>
      </c>
      <c r="I122" s="1042" t="s">
        <v>1460</v>
      </c>
      <c r="J122" s="1043" t="s">
        <v>1455</v>
      </c>
      <c r="K122" s="1027" t="s">
        <v>674</v>
      </c>
      <c r="L122" s="1029" t="s">
        <v>675</v>
      </c>
      <c r="M122" s="1030">
        <v>29400000</v>
      </c>
      <c r="N122" s="1044" t="s">
        <v>730</v>
      </c>
      <c r="O122" s="1044" t="s">
        <v>1456</v>
      </c>
      <c r="P122" s="1044"/>
      <c r="Q122" s="1027"/>
      <c r="R122" s="1022"/>
      <c r="S122" s="1130">
        <v>175</v>
      </c>
      <c r="T122" s="1156">
        <v>29400000</v>
      </c>
    </row>
    <row r="123" spans="1:20" s="995" customFormat="1" ht="62.5" x14ac:dyDescent="0.35">
      <c r="A123" s="1023">
        <v>2022117</v>
      </c>
      <c r="B123" s="1023">
        <v>7655</v>
      </c>
      <c r="C123" s="1023" t="s">
        <v>668</v>
      </c>
      <c r="D123" s="1039" t="s">
        <v>689</v>
      </c>
      <c r="E123" s="1040" t="s">
        <v>780</v>
      </c>
      <c r="F123" s="1026" t="s">
        <v>844</v>
      </c>
      <c r="G123" s="1041">
        <v>44575</v>
      </c>
      <c r="H123" s="1041">
        <v>44575</v>
      </c>
      <c r="I123" s="1042" t="s">
        <v>1460</v>
      </c>
      <c r="J123" s="1043" t="s">
        <v>1455</v>
      </c>
      <c r="K123" s="1027" t="s">
        <v>674</v>
      </c>
      <c r="L123" s="1029" t="s">
        <v>675</v>
      </c>
      <c r="M123" s="1030">
        <v>29400000</v>
      </c>
      <c r="N123" s="1044" t="s">
        <v>730</v>
      </c>
      <c r="O123" s="1044" t="s">
        <v>1456</v>
      </c>
      <c r="P123" s="1044"/>
      <c r="Q123" s="1027"/>
      <c r="R123" s="1022"/>
      <c r="S123" s="1130">
        <v>151</v>
      </c>
      <c r="T123" s="1156">
        <v>29400000</v>
      </c>
    </row>
    <row r="124" spans="1:20" s="995" customFormat="1" ht="62.5" x14ac:dyDescent="0.35">
      <c r="A124" s="1023">
        <v>2022118</v>
      </c>
      <c r="B124" s="1023">
        <v>7655</v>
      </c>
      <c r="C124" s="1023" t="s">
        <v>668</v>
      </c>
      <c r="D124" s="1039" t="s">
        <v>689</v>
      </c>
      <c r="E124" s="1040" t="s">
        <v>780</v>
      </c>
      <c r="F124" s="1026" t="s">
        <v>844</v>
      </c>
      <c r="G124" s="1041">
        <v>44575</v>
      </c>
      <c r="H124" s="1041">
        <v>44575</v>
      </c>
      <c r="I124" s="1042" t="s">
        <v>1460</v>
      </c>
      <c r="J124" s="1043" t="s">
        <v>1455</v>
      </c>
      <c r="K124" s="1027" t="s">
        <v>674</v>
      </c>
      <c r="L124" s="1029" t="s">
        <v>675</v>
      </c>
      <c r="M124" s="1030">
        <v>29400000</v>
      </c>
      <c r="N124" s="1044" t="s">
        <v>730</v>
      </c>
      <c r="O124" s="1044" t="s">
        <v>1456</v>
      </c>
      <c r="P124" s="1044"/>
      <c r="Q124" s="1027"/>
      <c r="R124" s="1022"/>
      <c r="S124" s="1130">
        <v>171</v>
      </c>
      <c r="T124" s="1156">
        <v>29400000</v>
      </c>
    </row>
    <row r="125" spans="1:20" s="995" customFormat="1" ht="62.5" x14ac:dyDescent="0.35">
      <c r="A125" s="1023">
        <v>2022119</v>
      </c>
      <c r="B125" s="1023">
        <v>7655</v>
      </c>
      <c r="C125" s="1023" t="s">
        <v>668</v>
      </c>
      <c r="D125" s="1039" t="s">
        <v>689</v>
      </c>
      <c r="E125" s="1040" t="s">
        <v>780</v>
      </c>
      <c r="F125" s="1026" t="s">
        <v>844</v>
      </c>
      <c r="G125" s="1041">
        <v>44575</v>
      </c>
      <c r="H125" s="1041">
        <v>44575</v>
      </c>
      <c r="I125" s="1042" t="s">
        <v>1460</v>
      </c>
      <c r="J125" s="1043" t="s">
        <v>1455</v>
      </c>
      <c r="K125" s="1027" t="s">
        <v>674</v>
      </c>
      <c r="L125" s="1029" t="s">
        <v>675</v>
      </c>
      <c r="M125" s="1030">
        <v>29400000</v>
      </c>
      <c r="N125" s="1044" t="s">
        <v>730</v>
      </c>
      <c r="O125" s="1044" t="s">
        <v>1456</v>
      </c>
      <c r="P125" s="1044"/>
      <c r="Q125" s="1027"/>
      <c r="R125" s="1022"/>
      <c r="S125" s="1130">
        <v>210</v>
      </c>
      <c r="T125" s="1156">
        <v>29400000</v>
      </c>
    </row>
    <row r="126" spans="1:20" s="995" customFormat="1" ht="62.5" x14ac:dyDescent="0.35">
      <c r="A126" s="1023">
        <v>2022120</v>
      </c>
      <c r="B126" s="1023">
        <v>7655</v>
      </c>
      <c r="C126" s="1023" t="s">
        <v>668</v>
      </c>
      <c r="D126" s="1039" t="s">
        <v>689</v>
      </c>
      <c r="E126" s="1040" t="s">
        <v>780</v>
      </c>
      <c r="F126" s="1026" t="s">
        <v>841</v>
      </c>
      <c r="G126" s="1041">
        <v>44575</v>
      </c>
      <c r="H126" s="1041">
        <v>44575</v>
      </c>
      <c r="I126" s="1042" t="s">
        <v>1460</v>
      </c>
      <c r="J126" s="1043" t="s">
        <v>1455</v>
      </c>
      <c r="K126" s="1027" t="s">
        <v>674</v>
      </c>
      <c r="L126" s="1029" t="s">
        <v>675</v>
      </c>
      <c r="M126" s="1030">
        <v>29400000</v>
      </c>
      <c r="N126" s="1044" t="s">
        <v>730</v>
      </c>
      <c r="O126" s="1044" t="s">
        <v>1456</v>
      </c>
      <c r="P126" s="1044"/>
      <c r="Q126" s="1027"/>
      <c r="R126" s="1022"/>
      <c r="S126" s="1130">
        <v>156</v>
      </c>
      <c r="T126" s="1156">
        <v>29400000</v>
      </c>
    </row>
    <row r="127" spans="1:20" s="995" customFormat="1" ht="62.5" x14ac:dyDescent="0.35">
      <c r="A127" s="1023">
        <v>2022121</v>
      </c>
      <c r="B127" s="1023">
        <v>7655</v>
      </c>
      <c r="C127" s="1023" t="s">
        <v>668</v>
      </c>
      <c r="D127" s="1039" t="s">
        <v>689</v>
      </c>
      <c r="E127" s="1040" t="s">
        <v>780</v>
      </c>
      <c r="F127" s="1026" t="s">
        <v>841</v>
      </c>
      <c r="G127" s="1041">
        <v>44575</v>
      </c>
      <c r="H127" s="1041">
        <v>44575</v>
      </c>
      <c r="I127" s="1042" t="s">
        <v>1460</v>
      </c>
      <c r="J127" s="1043" t="s">
        <v>1455</v>
      </c>
      <c r="K127" s="1027" t="s">
        <v>674</v>
      </c>
      <c r="L127" s="1029" t="s">
        <v>675</v>
      </c>
      <c r="M127" s="1030">
        <v>29400000</v>
      </c>
      <c r="N127" s="1044" t="s">
        <v>730</v>
      </c>
      <c r="O127" s="1044" t="s">
        <v>1456</v>
      </c>
      <c r="P127" s="1044"/>
      <c r="Q127" s="1027"/>
      <c r="R127" s="1022"/>
      <c r="S127" s="1130">
        <v>174</v>
      </c>
      <c r="T127" s="1156">
        <v>29400000</v>
      </c>
    </row>
    <row r="128" spans="1:20" s="995" customFormat="1" ht="62.5" x14ac:dyDescent="0.35">
      <c r="A128" s="1023">
        <v>2022122</v>
      </c>
      <c r="B128" s="1023">
        <v>7655</v>
      </c>
      <c r="C128" s="1023" t="s">
        <v>668</v>
      </c>
      <c r="D128" s="1039" t="s">
        <v>689</v>
      </c>
      <c r="E128" s="1040" t="s">
        <v>780</v>
      </c>
      <c r="F128" s="1026" t="s">
        <v>841</v>
      </c>
      <c r="G128" s="1041">
        <v>44575</v>
      </c>
      <c r="H128" s="1041">
        <v>44575</v>
      </c>
      <c r="I128" s="1042" t="s">
        <v>1460</v>
      </c>
      <c r="J128" s="1043" t="s">
        <v>1455</v>
      </c>
      <c r="K128" s="1027" t="s">
        <v>674</v>
      </c>
      <c r="L128" s="1029" t="s">
        <v>675</v>
      </c>
      <c r="M128" s="1030">
        <v>29400000</v>
      </c>
      <c r="N128" s="1044" t="s">
        <v>730</v>
      </c>
      <c r="O128" s="1044" t="s">
        <v>1456</v>
      </c>
      <c r="P128" s="1044"/>
      <c r="Q128" s="1027"/>
      <c r="R128" s="1022"/>
      <c r="S128" s="1130">
        <v>172</v>
      </c>
      <c r="T128" s="1156">
        <v>29400000</v>
      </c>
    </row>
    <row r="129" spans="1:103" s="995" customFormat="1" ht="62.5" x14ac:dyDescent="0.35">
      <c r="A129" s="1023">
        <v>2022123</v>
      </c>
      <c r="B129" s="1023">
        <v>7655</v>
      </c>
      <c r="C129" s="1023" t="s">
        <v>668</v>
      </c>
      <c r="D129" s="1039" t="s">
        <v>689</v>
      </c>
      <c r="E129" s="1040" t="s">
        <v>780</v>
      </c>
      <c r="F129" s="1026" t="s">
        <v>841</v>
      </c>
      <c r="G129" s="1041">
        <v>44575</v>
      </c>
      <c r="H129" s="1041">
        <v>44575</v>
      </c>
      <c r="I129" s="1042" t="s">
        <v>1460</v>
      </c>
      <c r="J129" s="1043" t="s">
        <v>1455</v>
      </c>
      <c r="K129" s="1027" t="s">
        <v>674</v>
      </c>
      <c r="L129" s="1029" t="s">
        <v>675</v>
      </c>
      <c r="M129" s="1030">
        <v>29400000</v>
      </c>
      <c r="N129" s="1044" t="s">
        <v>730</v>
      </c>
      <c r="O129" s="1044" t="s">
        <v>1456</v>
      </c>
      <c r="P129" s="1044"/>
      <c r="Q129" s="1027"/>
      <c r="R129" s="1022"/>
      <c r="S129" s="1130">
        <v>147</v>
      </c>
      <c r="T129" s="1156">
        <v>29400000</v>
      </c>
    </row>
    <row r="130" spans="1:103" s="995" customFormat="1" ht="62.5" x14ac:dyDescent="0.35">
      <c r="A130" s="1023">
        <v>2022124</v>
      </c>
      <c r="B130" s="1023">
        <v>7655</v>
      </c>
      <c r="C130" s="1023" t="s">
        <v>668</v>
      </c>
      <c r="D130" s="1039" t="s">
        <v>689</v>
      </c>
      <c r="E130" s="1040" t="s">
        <v>780</v>
      </c>
      <c r="F130" s="1026" t="s">
        <v>844</v>
      </c>
      <c r="G130" s="1041">
        <v>44575</v>
      </c>
      <c r="H130" s="1041">
        <v>44575</v>
      </c>
      <c r="I130" s="1042" t="s">
        <v>1460</v>
      </c>
      <c r="J130" s="1043" t="s">
        <v>1455</v>
      </c>
      <c r="K130" s="1027" t="s">
        <v>674</v>
      </c>
      <c r="L130" s="1029" t="s">
        <v>675</v>
      </c>
      <c r="M130" s="1030">
        <v>29400000</v>
      </c>
      <c r="N130" s="1044" t="s">
        <v>730</v>
      </c>
      <c r="O130" s="1044" t="s">
        <v>1456</v>
      </c>
      <c r="P130" s="1044"/>
      <c r="Q130" s="1027"/>
      <c r="R130" s="1022"/>
      <c r="S130" s="1130">
        <v>173</v>
      </c>
      <c r="T130" s="1156">
        <v>29400000</v>
      </c>
    </row>
    <row r="131" spans="1:103" s="995" customFormat="1" ht="62.5" x14ac:dyDescent="0.35">
      <c r="A131" s="1023">
        <v>2022125</v>
      </c>
      <c r="B131" s="1023">
        <v>7655</v>
      </c>
      <c r="C131" s="1023" t="s">
        <v>668</v>
      </c>
      <c r="D131" s="1039" t="s">
        <v>689</v>
      </c>
      <c r="E131" s="1040" t="s">
        <v>780</v>
      </c>
      <c r="F131" s="1026" t="s">
        <v>841</v>
      </c>
      <c r="G131" s="1041">
        <v>44575</v>
      </c>
      <c r="H131" s="1041">
        <v>44575</v>
      </c>
      <c r="I131" s="1042" t="s">
        <v>1460</v>
      </c>
      <c r="J131" s="1043" t="s">
        <v>1455</v>
      </c>
      <c r="K131" s="1027" t="s">
        <v>674</v>
      </c>
      <c r="L131" s="1029" t="s">
        <v>675</v>
      </c>
      <c r="M131" s="1030">
        <v>29400000</v>
      </c>
      <c r="N131" s="1044" t="s">
        <v>730</v>
      </c>
      <c r="O131" s="1044" t="s">
        <v>1456</v>
      </c>
      <c r="P131" s="1044"/>
      <c r="Q131" s="1027"/>
      <c r="R131" s="1022"/>
      <c r="S131" s="1130">
        <v>331</v>
      </c>
      <c r="T131" s="1156">
        <v>29400000</v>
      </c>
    </row>
    <row r="132" spans="1:103" s="995" customFormat="1" ht="62.5" x14ac:dyDescent="0.35">
      <c r="A132" s="1023">
        <v>2022126</v>
      </c>
      <c r="B132" s="1023">
        <v>7655</v>
      </c>
      <c r="C132" s="1023" t="s">
        <v>668</v>
      </c>
      <c r="D132" s="1039" t="s">
        <v>689</v>
      </c>
      <c r="E132" s="1040" t="s">
        <v>780</v>
      </c>
      <c r="F132" s="1026" t="s">
        <v>844</v>
      </c>
      <c r="G132" s="1041">
        <v>44575</v>
      </c>
      <c r="H132" s="1041">
        <v>44575</v>
      </c>
      <c r="I132" s="1042" t="s">
        <v>1460</v>
      </c>
      <c r="J132" s="1043" t="s">
        <v>1455</v>
      </c>
      <c r="K132" s="1027" t="s">
        <v>674</v>
      </c>
      <c r="L132" s="1029" t="s">
        <v>675</v>
      </c>
      <c r="M132" s="1030">
        <v>29400000</v>
      </c>
      <c r="N132" s="1044" t="s">
        <v>730</v>
      </c>
      <c r="O132" s="1044" t="s">
        <v>1456</v>
      </c>
      <c r="P132" s="1044"/>
      <c r="Q132" s="1027"/>
      <c r="R132" s="1022"/>
      <c r="S132" s="1130">
        <v>430</v>
      </c>
      <c r="T132" s="1156">
        <v>29400000</v>
      </c>
    </row>
    <row r="133" spans="1:103" s="995" customFormat="1" ht="62.5" x14ac:dyDescent="0.35">
      <c r="A133" s="1023">
        <v>2022127</v>
      </c>
      <c r="B133" s="1023">
        <v>7655</v>
      </c>
      <c r="C133" s="1023" t="s">
        <v>668</v>
      </c>
      <c r="D133" s="1039" t="s">
        <v>689</v>
      </c>
      <c r="E133" s="1040" t="s">
        <v>780</v>
      </c>
      <c r="F133" s="1026" t="s">
        <v>841</v>
      </c>
      <c r="G133" s="1041">
        <v>44575</v>
      </c>
      <c r="H133" s="1041">
        <v>44575</v>
      </c>
      <c r="I133" s="1042" t="s">
        <v>1460</v>
      </c>
      <c r="J133" s="1043" t="s">
        <v>1455</v>
      </c>
      <c r="K133" s="1027" t="s">
        <v>674</v>
      </c>
      <c r="L133" s="1029" t="s">
        <v>675</v>
      </c>
      <c r="M133" s="1030">
        <v>29400000</v>
      </c>
      <c r="N133" s="1044" t="s">
        <v>730</v>
      </c>
      <c r="O133" s="1044" t="s">
        <v>1456</v>
      </c>
      <c r="P133" s="1044"/>
      <c r="Q133" s="1027"/>
      <c r="R133" s="1022"/>
      <c r="S133" s="1130">
        <v>183</v>
      </c>
      <c r="T133" s="1156">
        <v>29400000</v>
      </c>
    </row>
    <row r="134" spans="1:103" s="995" customFormat="1" ht="62.5" x14ac:dyDescent="0.35">
      <c r="A134" s="1023">
        <v>2022128</v>
      </c>
      <c r="B134" s="1023">
        <v>7655</v>
      </c>
      <c r="C134" s="1023" t="s">
        <v>668</v>
      </c>
      <c r="D134" s="1039" t="s">
        <v>689</v>
      </c>
      <c r="E134" s="1040" t="s">
        <v>780</v>
      </c>
      <c r="F134" s="1026" t="s">
        <v>841</v>
      </c>
      <c r="G134" s="1041">
        <v>44575</v>
      </c>
      <c r="H134" s="1041">
        <v>44575</v>
      </c>
      <c r="I134" s="1042" t="s">
        <v>1460</v>
      </c>
      <c r="J134" s="1043" t="s">
        <v>1455</v>
      </c>
      <c r="K134" s="1027" t="s">
        <v>674</v>
      </c>
      <c r="L134" s="1029" t="s">
        <v>675</v>
      </c>
      <c r="M134" s="1030">
        <v>29400000</v>
      </c>
      <c r="N134" s="1044" t="s">
        <v>730</v>
      </c>
      <c r="O134" s="1044" t="s">
        <v>1456</v>
      </c>
      <c r="P134" s="1044"/>
      <c r="Q134" s="1027"/>
      <c r="R134" s="1022"/>
      <c r="S134" s="1130">
        <v>429</v>
      </c>
      <c r="T134" s="1156">
        <v>29400000</v>
      </c>
    </row>
    <row r="135" spans="1:103" s="995" customFormat="1" ht="62.5" x14ac:dyDescent="0.35">
      <c r="A135" s="1023">
        <v>2022129</v>
      </c>
      <c r="B135" s="1023">
        <v>7655</v>
      </c>
      <c r="C135" s="1023" t="s">
        <v>668</v>
      </c>
      <c r="D135" s="1039" t="s">
        <v>689</v>
      </c>
      <c r="E135" s="1040" t="s">
        <v>780</v>
      </c>
      <c r="F135" s="1026" t="s">
        <v>841</v>
      </c>
      <c r="G135" s="1041">
        <v>44575</v>
      </c>
      <c r="H135" s="1041">
        <v>44575</v>
      </c>
      <c r="I135" s="1042" t="s">
        <v>1460</v>
      </c>
      <c r="J135" s="1043" t="s">
        <v>1455</v>
      </c>
      <c r="K135" s="1027" t="s">
        <v>674</v>
      </c>
      <c r="L135" s="1029" t="s">
        <v>675</v>
      </c>
      <c r="M135" s="1030">
        <v>29400000</v>
      </c>
      <c r="N135" s="1044" t="s">
        <v>730</v>
      </c>
      <c r="O135" s="1044" t="s">
        <v>1456</v>
      </c>
      <c r="P135" s="1044"/>
      <c r="Q135" s="1027"/>
      <c r="R135" s="1022"/>
      <c r="S135" s="1130">
        <v>363</v>
      </c>
      <c r="T135" s="1156">
        <v>29400000</v>
      </c>
    </row>
    <row r="136" spans="1:103" s="995" customFormat="1" ht="62.5" x14ac:dyDescent="0.35">
      <c r="A136" s="1023">
        <v>2022130</v>
      </c>
      <c r="B136" s="1023">
        <v>7655</v>
      </c>
      <c r="C136" s="1023" t="s">
        <v>668</v>
      </c>
      <c r="D136" s="1039" t="s">
        <v>689</v>
      </c>
      <c r="E136" s="1040" t="s">
        <v>780</v>
      </c>
      <c r="F136" s="1026" t="s">
        <v>841</v>
      </c>
      <c r="G136" s="1041">
        <v>44575</v>
      </c>
      <c r="H136" s="1041">
        <v>44575</v>
      </c>
      <c r="I136" s="1042" t="s">
        <v>1460</v>
      </c>
      <c r="J136" s="1043" t="s">
        <v>1455</v>
      </c>
      <c r="K136" s="1027" t="s">
        <v>674</v>
      </c>
      <c r="L136" s="1029" t="s">
        <v>675</v>
      </c>
      <c r="M136" s="1030">
        <v>29400000</v>
      </c>
      <c r="N136" s="1044" t="s">
        <v>730</v>
      </c>
      <c r="O136" s="1044" t="s">
        <v>1456</v>
      </c>
      <c r="P136" s="1044"/>
      <c r="Q136" s="1027"/>
      <c r="R136" s="1022"/>
      <c r="S136" s="1130">
        <v>416</v>
      </c>
      <c r="T136" s="1156">
        <v>29400000</v>
      </c>
    </row>
    <row r="137" spans="1:103" s="995" customFormat="1" ht="62.5" x14ac:dyDescent="0.35">
      <c r="A137" s="1023">
        <v>2022131</v>
      </c>
      <c r="B137" s="1023">
        <v>7655</v>
      </c>
      <c r="C137" s="1023" t="s">
        <v>668</v>
      </c>
      <c r="D137" s="1039" t="s">
        <v>689</v>
      </c>
      <c r="E137" s="1040" t="s">
        <v>780</v>
      </c>
      <c r="F137" s="1026" t="s">
        <v>841</v>
      </c>
      <c r="G137" s="1041">
        <v>44575</v>
      </c>
      <c r="H137" s="1041">
        <v>44575</v>
      </c>
      <c r="I137" s="1042" t="s">
        <v>1460</v>
      </c>
      <c r="J137" s="1043" t="s">
        <v>1455</v>
      </c>
      <c r="K137" s="1027" t="s">
        <v>674</v>
      </c>
      <c r="L137" s="1029" t="s">
        <v>675</v>
      </c>
      <c r="M137" s="1030">
        <v>29400000</v>
      </c>
      <c r="N137" s="1044" t="s">
        <v>730</v>
      </c>
      <c r="O137" s="1044" t="s">
        <v>1456</v>
      </c>
      <c r="P137" s="1044"/>
      <c r="Q137" s="1027"/>
      <c r="R137" s="1022"/>
      <c r="S137" s="1130">
        <v>355</v>
      </c>
      <c r="T137" s="1156">
        <v>29400000</v>
      </c>
    </row>
    <row r="138" spans="1:103" s="995" customFormat="1" ht="62.5" x14ac:dyDescent="0.35">
      <c r="A138" s="1023">
        <v>2022132</v>
      </c>
      <c r="B138" s="1023">
        <v>7655</v>
      </c>
      <c r="C138" s="1023" t="s">
        <v>668</v>
      </c>
      <c r="D138" s="1039" t="s">
        <v>689</v>
      </c>
      <c r="E138" s="1040" t="s">
        <v>780</v>
      </c>
      <c r="F138" s="1026" t="s">
        <v>846</v>
      </c>
      <c r="G138" s="1041">
        <v>44575</v>
      </c>
      <c r="H138" s="1041">
        <v>44575</v>
      </c>
      <c r="I138" s="1042" t="s">
        <v>1460</v>
      </c>
      <c r="J138" s="1043" t="s">
        <v>1455</v>
      </c>
      <c r="K138" s="1027" t="s">
        <v>674</v>
      </c>
      <c r="L138" s="1029" t="s">
        <v>675</v>
      </c>
      <c r="M138" s="1030">
        <v>87600000</v>
      </c>
      <c r="N138" s="1044" t="s">
        <v>730</v>
      </c>
      <c r="O138" s="1044" t="s">
        <v>1456</v>
      </c>
      <c r="P138" s="1044"/>
      <c r="Q138" s="1027"/>
      <c r="R138" s="1022"/>
      <c r="S138" s="1130">
        <v>152</v>
      </c>
      <c r="T138" s="1156">
        <v>87600000</v>
      </c>
    </row>
    <row r="139" spans="1:103" s="995" customFormat="1" ht="87.5" x14ac:dyDescent="0.35">
      <c r="A139" s="1023">
        <v>2022133</v>
      </c>
      <c r="B139" s="1023">
        <v>7655</v>
      </c>
      <c r="C139" s="1023" t="s">
        <v>668</v>
      </c>
      <c r="D139" s="1039" t="s">
        <v>689</v>
      </c>
      <c r="E139" s="1040" t="s">
        <v>780</v>
      </c>
      <c r="F139" s="1026" t="s">
        <v>847</v>
      </c>
      <c r="G139" s="1041">
        <v>44575</v>
      </c>
      <c r="H139" s="1041">
        <v>44575</v>
      </c>
      <c r="I139" s="1042" t="s">
        <v>1458</v>
      </c>
      <c r="J139" s="1043" t="s">
        <v>1455</v>
      </c>
      <c r="K139" s="1027" t="s">
        <v>674</v>
      </c>
      <c r="L139" s="1029" t="s">
        <v>675</v>
      </c>
      <c r="M139" s="1030">
        <v>42000000</v>
      </c>
      <c r="N139" s="1044" t="s">
        <v>730</v>
      </c>
      <c r="O139" s="1044" t="s">
        <v>1456</v>
      </c>
      <c r="P139" s="1044"/>
      <c r="Q139" s="1027"/>
      <c r="R139" s="1022"/>
      <c r="S139" s="1130">
        <v>418</v>
      </c>
      <c r="T139" s="1156">
        <v>42000000</v>
      </c>
    </row>
    <row r="140" spans="1:103" s="995" customFormat="1" ht="62.5" x14ac:dyDescent="0.35">
      <c r="A140" s="1023">
        <v>2022134</v>
      </c>
      <c r="B140" s="1023">
        <v>7655</v>
      </c>
      <c r="C140" s="1023" t="s">
        <v>668</v>
      </c>
      <c r="D140" s="1039" t="s">
        <v>689</v>
      </c>
      <c r="E140" s="1040" t="s">
        <v>780</v>
      </c>
      <c r="F140" s="1026" t="s">
        <v>848</v>
      </c>
      <c r="G140" s="1041">
        <v>44575</v>
      </c>
      <c r="H140" s="1041">
        <v>44575</v>
      </c>
      <c r="I140" s="1042" t="s">
        <v>1454</v>
      </c>
      <c r="J140" s="1043" t="s">
        <v>1455</v>
      </c>
      <c r="K140" s="1027" t="s">
        <v>674</v>
      </c>
      <c r="L140" s="1029" t="s">
        <v>675</v>
      </c>
      <c r="M140" s="1030">
        <v>64802500</v>
      </c>
      <c r="N140" s="1044" t="s">
        <v>730</v>
      </c>
      <c r="O140" s="1044" t="s">
        <v>1456</v>
      </c>
      <c r="P140" s="1044"/>
      <c r="Q140" s="1027"/>
      <c r="R140" s="1022"/>
      <c r="S140" s="1130">
        <v>433</v>
      </c>
      <c r="T140" s="1156">
        <v>64802500</v>
      </c>
    </row>
    <row r="141" spans="1:103" s="1034" customFormat="1" ht="62.5" x14ac:dyDescent="0.35">
      <c r="A141" s="1131">
        <v>2022135</v>
      </c>
      <c r="B141" s="1131">
        <v>7655</v>
      </c>
      <c r="C141" s="1131" t="s">
        <v>668</v>
      </c>
      <c r="D141" s="1139" t="s">
        <v>689</v>
      </c>
      <c r="E141" s="1145" t="s">
        <v>780</v>
      </c>
      <c r="F141" s="1134" t="s">
        <v>848</v>
      </c>
      <c r="G141" s="1141">
        <v>44575</v>
      </c>
      <c r="H141" s="1141">
        <v>44575</v>
      </c>
      <c r="I141" s="1048" t="s">
        <v>1458</v>
      </c>
      <c r="J141" s="1143" t="s">
        <v>1455</v>
      </c>
      <c r="K141" s="1135" t="s">
        <v>674</v>
      </c>
      <c r="L141" s="1132" t="s">
        <v>675</v>
      </c>
      <c r="M141" s="1136">
        <v>31500000</v>
      </c>
      <c r="N141" s="1144" t="s">
        <v>730</v>
      </c>
      <c r="O141" s="1144" t="s">
        <v>1456</v>
      </c>
      <c r="P141" s="1144"/>
      <c r="Q141" s="1135"/>
      <c r="R141" s="1130">
        <v>340</v>
      </c>
      <c r="S141" s="1130"/>
      <c r="T141" s="1156"/>
      <c r="U141" s="995"/>
      <c r="V141" s="995"/>
      <c r="W141" s="995"/>
      <c r="X141" s="995"/>
      <c r="Y141" s="995"/>
      <c r="Z141" s="995"/>
      <c r="AA141" s="995"/>
      <c r="AB141" s="995"/>
      <c r="AC141" s="995"/>
      <c r="AD141" s="995"/>
      <c r="AE141" s="995"/>
      <c r="AF141" s="995"/>
      <c r="AG141" s="995"/>
      <c r="AH141" s="995"/>
      <c r="AI141" s="995"/>
      <c r="AJ141" s="995"/>
      <c r="AK141" s="995"/>
      <c r="AL141" s="995"/>
      <c r="AM141" s="995"/>
      <c r="AN141" s="995"/>
      <c r="AO141" s="995"/>
      <c r="AP141" s="995"/>
      <c r="AQ141" s="995"/>
      <c r="AR141" s="995"/>
      <c r="AS141" s="995"/>
      <c r="AT141" s="995"/>
      <c r="AU141" s="995"/>
      <c r="AV141" s="995"/>
      <c r="AW141" s="995"/>
      <c r="AX141" s="995"/>
      <c r="AY141" s="995"/>
      <c r="AZ141" s="995"/>
      <c r="BA141" s="995"/>
      <c r="BB141" s="995"/>
      <c r="BC141" s="995"/>
      <c r="BD141" s="995"/>
      <c r="BE141" s="995"/>
      <c r="BF141" s="995"/>
      <c r="BG141" s="995"/>
      <c r="BH141" s="995"/>
      <c r="BI141" s="995"/>
      <c r="BJ141" s="995"/>
      <c r="BK141" s="995"/>
      <c r="BL141" s="995"/>
      <c r="BM141" s="995"/>
      <c r="BN141" s="995"/>
      <c r="BO141" s="995"/>
      <c r="BP141" s="995"/>
      <c r="BQ141" s="995"/>
      <c r="BR141" s="995"/>
      <c r="BS141" s="995"/>
      <c r="BT141" s="995"/>
      <c r="BU141" s="995"/>
      <c r="BV141" s="995"/>
      <c r="BW141" s="995"/>
      <c r="BX141" s="995"/>
      <c r="BY141" s="995"/>
      <c r="BZ141" s="995"/>
      <c r="CA141" s="995"/>
      <c r="CB141" s="995"/>
      <c r="CC141" s="995"/>
      <c r="CD141" s="995"/>
      <c r="CE141" s="995"/>
      <c r="CF141" s="995"/>
      <c r="CG141" s="995"/>
      <c r="CH141" s="995"/>
      <c r="CI141" s="995"/>
      <c r="CJ141" s="995"/>
      <c r="CK141" s="995"/>
      <c r="CL141" s="995"/>
      <c r="CM141" s="995"/>
      <c r="CN141" s="995"/>
      <c r="CO141" s="995"/>
      <c r="CP141" s="995"/>
      <c r="CQ141" s="995"/>
      <c r="CR141" s="995"/>
      <c r="CS141" s="995"/>
      <c r="CT141" s="995"/>
      <c r="CU141" s="995"/>
      <c r="CV141" s="995"/>
      <c r="CW141" s="995"/>
      <c r="CX141" s="995"/>
      <c r="CY141" s="995"/>
    </row>
    <row r="142" spans="1:103" s="1034" customFormat="1" ht="62.5" x14ac:dyDescent="0.35">
      <c r="A142" s="1131">
        <v>2022136</v>
      </c>
      <c r="B142" s="1131">
        <v>7655</v>
      </c>
      <c r="C142" s="1131" t="s">
        <v>668</v>
      </c>
      <c r="D142" s="1139" t="s">
        <v>689</v>
      </c>
      <c r="E142" s="1145" t="s">
        <v>780</v>
      </c>
      <c r="F142" s="1134" t="s">
        <v>849</v>
      </c>
      <c r="G142" s="1141">
        <v>44575</v>
      </c>
      <c r="H142" s="1141">
        <v>44575</v>
      </c>
      <c r="I142" s="1048" t="s">
        <v>1454</v>
      </c>
      <c r="J142" s="1143" t="s">
        <v>1455</v>
      </c>
      <c r="K142" s="1135" t="s">
        <v>674</v>
      </c>
      <c r="L142" s="1132" t="s">
        <v>675</v>
      </c>
      <c r="M142" s="1136">
        <v>28175000</v>
      </c>
      <c r="N142" s="1144" t="s">
        <v>730</v>
      </c>
      <c r="O142" s="1144" t="s">
        <v>1456</v>
      </c>
      <c r="P142" s="1144"/>
      <c r="Q142" s="1135"/>
      <c r="R142" s="1130">
        <v>162</v>
      </c>
      <c r="S142" s="1130"/>
      <c r="T142" s="1156"/>
      <c r="U142" s="995"/>
      <c r="V142" s="995"/>
      <c r="W142" s="995"/>
      <c r="X142" s="995"/>
      <c r="Y142" s="995"/>
      <c r="Z142" s="995"/>
      <c r="AA142" s="995"/>
      <c r="AB142" s="995"/>
      <c r="AC142" s="995"/>
      <c r="AD142" s="995"/>
      <c r="AE142" s="995"/>
      <c r="AF142" s="995"/>
      <c r="AG142" s="995"/>
      <c r="AH142" s="995"/>
      <c r="AI142" s="995"/>
      <c r="AJ142" s="995"/>
      <c r="AK142" s="995"/>
      <c r="AL142" s="995"/>
      <c r="AM142" s="995"/>
      <c r="AN142" s="995"/>
      <c r="AO142" s="995"/>
      <c r="AP142" s="995"/>
      <c r="AQ142" s="995"/>
      <c r="AR142" s="995"/>
      <c r="AS142" s="995"/>
      <c r="AT142" s="995"/>
      <c r="AU142" s="995"/>
      <c r="AV142" s="995"/>
      <c r="AW142" s="995"/>
      <c r="AX142" s="995"/>
      <c r="AY142" s="995"/>
      <c r="AZ142" s="995"/>
      <c r="BA142" s="995"/>
      <c r="BB142" s="995"/>
      <c r="BC142" s="995"/>
      <c r="BD142" s="995"/>
      <c r="BE142" s="995"/>
      <c r="BF142" s="995"/>
      <c r="BG142" s="995"/>
      <c r="BH142" s="995"/>
      <c r="BI142" s="995"/>
      <c r="BJ142" s="995"/>
      <c r="BK142" s="995"/>
      <c r="BL142" s="995"/>
      <c r="BM142" s="995"/>
      <c r="BN142" s="995"/>
      <c r="BO142" s="995"/>
      <c r="BP142" s="995"/>
      <c r="BQ142" s="995"/>
      <c r="BR142" s="995"/>
      <c r="BS142" s="995"/>
      <c r="BT142" s="995"/>
      <c r="BU142" s="995"/>
      <c r="BV142" s="995"/>
      <c r="BW142" s="995"/>
      <c r="BX142" s="995"/>
      <c r="BY142" s="995"/>
      <c r="BZ142" s="995"/>
      <c r="CA142" s="995"/>
      <c r="CB142" s="995"/>
      <c r="CC142" s="995"/>
      <c r="CD142" s="995"/>
      <c r="CE142" s="995"/>
      <c r="CF142" s="995"/>
      <c r="CG142" s="995"/>
      <c r="CH142" s="995"/>
      <c r="CI142" s="995"/>
      <c r="CJ142" s="995"/>
      <c r="CK142" s="995"/>
      <c r="CL142" s="995"/>
      <c r="CM142" s="995"/>
      <c r="CN142" s="995"/>
      <c r="CO142" s="995"/>
      <c r="CP142" s="995"/>
      <c r="CQ142" s="995"/>
      <c r="CR142" s="995"/>
      <c r="CS142" s="995"/>
      <c r="CT142" s="995"/>
      <c r="CU142" s="995"/>
      <c r="CV142" s="995"/>
      <c r="CW142" s="995"/>
      <c r="CX142" s="995"/>
      <c r="CY142" s="995"/>
    </row>
    <row r="143" spans="1:103" s="995" customFormat="1" ht="62.5" x14ac:dyDescent="0.35">
      <c r="A143" s="1023">
        <v>2022137</v>
      </c>
      <c r="B143" s="1023">
        <v>7655</v>
      </c>
      <c r="C143" s="1023" t="s">
        <v>668</v>
      </c>
      <c r="D143" s="1039" t="s">
        <v>689</v>
      </c>
      <c r="E143" s="1040" t="s">
        <v>780</v>
      </c>
      <c r="F143" s="1026" t="s">
        <v>850</v>
      </c>
      <c r="G143" s="1041">
        <v>44575</v>
      </c>
      <c r="H143" s="1041">
        <v>44575</v>
      </c>
      <c r="I143" s="1042" t="s">
        <v>1454</v>
      </c>
      <c r="J143" s="1043" t="s">
        <v>1455</v>
      </c>
      <c r="K143" s="1027" t="s">
        <v>674</v>
      </c>
      <c r="L143" s="1029" t="s">
        <v>675</v>
      </c>
      <c r="M143" s="1030">
        <v>83950000</v>
      </c>
      <c r="N143" s="1044" t="s">
        <v>730</v>
      </c>
      <c r="O143" s="1044" t="s">
        <v>1456</v>
      </c>
      <c r="P143" s="1044"/>
      <c r="Q143" s="1027"/>
      <c r="R143" s="1022"/>
      <c r="S143" s="1130">
        <v>394</v>
      </c>
      <c r="T143" s="1156">
        <v>83950000</v>
      </c>
    </row>
    <row r="144" spans="1:103" s="995" customFormat="1" ht="100" x14ac:dyDescent="0.35">
      <c r="A144" s="1023">
        <v>2022138</v>
      </c>
      <c r="B144" s="1023">
        <v>7655</v>
      </c>
      <c r="C144" s="1023" t="s">
        <v>668</v>
      </c>
      <c r="D144" s="1039" t="s">
        <v>689</v>
      </c>
      <c r="E144" s="1040" t="s">
        <v>780</v>
      </c>
      <c r="F144" s="1026" t="s">
        <v>851</v>
      </c>
      <c r="G144" s="1041">
        <v>44575</v>
      </c>
      <c r="H144" s="1041">
        <v>44575</v>
      </c>
      <c r="I144" s="1042" t="s">
        <v>1454</v>
      </c>
      <c r="J144" s="1043" t="s">
        <v>1455</v>
      </c>
      <c r="K144" s="1027" t="s">
        <v>674</v>
      </c>
      <c r="L144" s="1029" t="s">
        <v>675</v>
      </c>
      <c r="M144" s="1030">
        <v>44275000</v>
      </c>
      <c r="N144" s="1044" t="s">
        <v>730</v>
      </c>
      <c r="O144" s="1044" t="s">
        <v>1456</v>
      </c>
      <c r="P144" s="1044"/>
      <c r="Q144" s="1027"/>
      <c r="R144" s="1022"/>
      <c r="S144" s="1130">
        <v>371</v>
      </c>
      <c r="T144" s="1156">
        <v>44275000</v>
      </c>
    </row>
    <row r="145" spans="1:20" s="995" customFormat="1" ht="100" x14ac:dyDescent="0.35">
      <c r="A145" s="1023">
        <v>2022139</v>
      </c>
      <c r="B145" s="1023">
        <v>7655</v>
      </c>
      <c r="C145" s="1023" t="s">
        <v>668</v>
      </c>
      <c r="D145" s="1039" t="s">
        <v>689</v>
      </c>
      <c r="E145" s="1040" t="s">
        <v>780</v>
      </c>
      <c r="F145" s="1026" t="s">
        <v>851</v>
      </c>
      <c r="G145" s="1041">
        <v>44575</v>
      </c>
      <c r="H145" s="1041">
        <v>44575</v>
      </c>
      <c r="I145" s="1042" t="s">
        <v>1454</v>
      </c>
      <c r="J145" s="1043" t="s">
        <v>1455</v>
      </c>
      <c r="K145" s="1027" t="s">
        <v>674</v>
      </c>
      <c r="L145" s="1029" t="s">
        <v>675</v>
      </c>
      <c r="M145" s="1030">
        <v>58650000</v>
      </c>
      <c r="N145" s="1044" t="s">
        <v>730</v>
      </c>
      <c r="O145" s="1044" t="s">
        <v>1456</v>
      </c>
      <c r="P145" s="1044"/>
      <c r="Q145" s="1027"/>
      <c r="R145" s="1022"/>
      <c r="S145" s="1130">
        <v>287</v>
      </c>
      <c r="T145" s="1156">
        <v>58650000</v>
      </c>
    </row>
    <row r="146" spans="1:20" s="995" customFormat="1" ht="62.5" x14ac:dyDescent="0.35">
      <c r="A146" s="1023">
        <v>2022140</v>
      </c>
      <c r="B146" s="1023">
        <v>7655</v>
      </c>
      <c r="C146" s="1023" t="s">
        <v>668</v>
      </c>
      <c r="D146" s="1039" t="s">
        <v>695</v>
      </c>
      <c r="E146" s="1025">
        <v>80111600</v>
      </c>
      <c r="F146" s="1053" t="s">
        <v>852</v>
      </c>
      <c r="G146" s="1054" t="s">
        <v>1414</v>
      </c>
      <c r="H146" s="1054" t="s">
        <v>1414</v>
      </c>
      <c r="I146" s="1054" t="s">
        <v>1461</v>
      </c>
      <c r="J146" s="1043" t="s">
        <v>1455</v>
      </c>
      <c r="K146" s="1027" t="s">
        <v>674</v>
      </c>
      <c r="L146" s="1055" t="s">
        <v>675</v>
      </c>
      <c r="M146" s="1030">
        <v>26496000</v>
      </c>
      <c r="N146" s="1056" t="s">
        <v>730</v>
      </c>
      <c r="O146" s="1056" t="s">
        <v>1456</v>
      </c>
      <c r="P146" s="1056"/>
      <c r="Q146" s="1027"/>
      <c r="R146" s="1022"/>
      <c r="S146" s="1130">
        <v>53</v>
      </c>
      <c r="T146" s="1156">
        <v>26496000</v>
      </c>
    </row>
    <row r="147" spans="1:20" s="995" customFormat="1" ht="62.5" x14ac:dyDescent="0.35">
      <c r="A147" s="1023">
        <v>2022141</v>
      </c>
      <c r="B147" s="1023">
        <v>7655</v>
      </c>
      <c r="C147" s="1023" t="s">
        <v>668</v>
      </c>
      <c r="D147" s="1039" t="s">
        <v>695</v>
      </c>
      <c r="E147" s="1025">
        <v>80111600</v>
      </c>
      <c r="F147" s="1053" t="s">
        <v>853</v>
      </c>
      <c r="G147" s="1054" t="s">
        <v>1414</v>
      </c>
      <c r="H147" s="1054" t="s">
        <v>1414</v>
      </c>
      <c r="I147" s="1054" t="s">
        <v>1461</v>
      </c>
      <c r="J147" s="1043" t="s">
        <v>1455</v>
      </c>
      <c r="K147" s="1027" t="s">
        <v>674</v>
      </c>
      <c r="L147" s="1055" t="s">
        <v>675</v>
      </c>
      <c r="M147" s="1030">
        <v>34776000</v>
      </c>
      <c r="N147" s="1056" t="s">
        <v>730</v>
      </c>
      <c r="O147" s="1056" t="s">
        <v>1456</v>
      </c>
      <c r="P147" s="1056"/>
      <c r="Q147" s="1027"/>
      <c r="R147" s="1022"/>
      <c r="S147" s="1130">
        <v>59</v>
      </c>
      <c r="T147" s="1156">
        <v>34776000</v>
      </c>
    </row>
    <row r="148" spans="1:20" s="995" customFormat="1" ht="62.5" x14ac:dyDescent="0.35">
      <c r="A148" s="1023">
        <v>2022142</v>
      </c>
      <c r="B148" s="1023">
        <v>7655</v>
      </c>
      <c r="C148" s="1023" t="s">
        <v>668</v>
      </c>
      <c r="D148" s="1039" t="s">
        <v>695</v>
      </c>
      <c r="E148" s="1025">
        <v>80111600</v>
      </c>
      <c r="F148" s="1053" t="s">
        <v>854</v>
      </c>
      <c r="G148" s="1054" t="s">
        <v>1414</v>
      </c>
      <c r="H148" s="1054" t="s">
        <v>1414</v>
      </c>
      <c r="I148" s="1054" t="s">
        <v>1417</v>
      </c>
      <c r="J148" s="1043" t="s">
        <v>1455</v>
      </c>
      <c r="K148" s="1027" t="s">
        <v>674</v>
      </c>
      <c r="L148" s="1055" t="s">
        <v>675</v>
      </c>
      <c r="M148" s="1030">
        <v>56100000</v>
      </c>
      <c r="N148" s="1056" t="s">
        <v>730</v>
      </c>
      <c r="O148" s="1056" t="s">
        <v>1456</v>
      </c>
      <c r="P148" s="1056"/>
      <c r="Q148" s="1027"/>
      <c r="R148" s="1022"/>
      <c r="S148" s="1130">
        <v>54</v>
      </c>
      <c r="T148" s="1156">
        <v>45900000</v>
      </c>
    </row>
    <row r="149" spans="1:20" s="995" customFormat="1" ht="62.5" x14ac:dyDescent="0.35">
      <c r="A149" s="1023">
        <v>2022143</v>
      </c>
      <c r="B149" s="1023">
        <v>7655</v>
      </c>
      <c r="C149" s="1023" t="s">
        <v>668</v>
      </c>
      <c r="D149" s="1039" t="s">
        <v>695</v>
      </c>
      <c r="E149" s="1025">
        <v>80111600</v>
      </c>
      <c r="F149" s="1053" t="s">
        <v>855</v>
      </c>
      <c r="G149" s="1054" t="s">
        <v>1414</v>
      </c>
      <c r="H149" s="1054" t="s">
        <v>1414</v>
      </c>
      <c r="I149" s="1054" t="s">
        <v>1417</v>
      </c>
      <c r="J149" s="1043" t="s">
        <v>1455</v>
      </c>
      <c r="K149" s="1027" t="s">
        <v>674</v>
      </c>
      <c r="L149" s="1055" t="s">
        <v>675</v>
      </c>
      <c r="M149" s="1030">
        <v>47817000</v>
      </c>
      <c r="N149" s="1056" t="s">
        <v>730</v>
      </c>
      <c r="O149" s="1056" t="s">
        <v>1456</v>
      </c>
      <c r="P149" s="1056"/>
      <c r="Q149" s="1027"/>
      <c r="R149" s="1022"/>
      <c r="S149" s="1130">
        <v>55</v>
      </c>
      <c r="T149" s="1156">
        <v>34776000</v>
      </c>
    </row>
    <row r="150" spans="1:20" s="995" customFormat="1" ht="62.5" x14ac:dyDescent="0.35">
      <c r="A150" s="1023">
        <v>2022144</v>
      </c>
      <c r="B150" s="1023">
        <v>7655</v>
      </c>
      <c r="C150" s="1023" t="s">
        <v>668</v>
      </c>
      <c r="D150" s="1039" t="s">
        <v>695</v>
      </c>
      <c r="E150" s="1025">
        <v>80111600</v>
      </c>
      <c r="F150" s="1053" t="s">
        <v>853</v>
      </c>
      <c r="G150" s="1054" t="s">
        <v>1414</v>
      </c>
      <c r="H150" s="1054" t="s">
        <v>1414</v>
      </c>
      <c r="I150" s="1054" t="s">
        <v>1417</v>
      </c>
      <c r="J150" s="1043" t="s">
        <v>1455</v>
      </c>
      <c r="K150" s="1027" t="s">
        <v>674</v>
      </c>
      <c r="L150" s="1055" t="s">
        <v>675</v>
      </c>
      <c r="M150" s="1030">
        <v>56100000</v>
      </c>
      <c r="N150" s="1056" t="s">
        <v>730</v>
      </c>
      <c r="O150" s="1056" t="s">
        <v>1456</v>
      </c>
      <c r="P150" s="1056"/>
      <c r="Q150" s="1027"/>
      <c r="R150" s="1022"/>
      <c r="S150" s="1130">
        <v>409</v>
      </c>
      <c r="T150" s="1156">
        <v>34776000</v>
      </c>
    </row>
    <row r="151" spans="1:20" s="995" customFormat="1" ht="62.5" x14ac:dyDescent="0.35">
      <c r="A151" s="1023">
        <v>2022145</v>
      </c>
      <c r="B151" s="1023">
        <v>7655</v>
      </c>
      <c r="C151" s="1023" t="s">
        <v>668</v>
      </c>
      <c r="D151" s="1039" t="s">
        <v>695</v>
      </c>
      <c r="E151" s="1025">
        <v>80111600</v>
      </c>
      <c r="F151" s="1053" t="s">
        <v>855</v>
      </c>
      <c r="G151" s="1054" t="s">
        <v>1414</v>
      </c>
      <c r="H151" s="1054" t="s">
        <v>1414</v>
      </c>
      <c r="I151" s="1054" t="s">
        <v>1458</v>
      </c>
      <c r="J151" s="1043" t="s">
        <v>1455</v>
      </c>
      <c r="K151" s="1027" t="s">
        <v>674</v>
      </c>
      <c r="L151" s="1055" t="s">
        <v>675</v>
      </c>
      <c r="M151" s="1030">
        <v>27895000</v>
      </c>
      <c r="N151" s="1056" t="s">
        <v>730</v>
      </c>
      <c r="O151" s="1056" t="s">
        <v>1456</v>
      </c>
      <c r="P151" s="1056"/>
      <c r="Q151" s="1027"/>
      <c r="R151" s="1022"/>
      <c r="S151" s="1130">
        <v>63</v>
      </c>
      <c r="T151" s="1156">
        <v>27895000</v>
      </c>
    </row>
    <row r="152" spans="1:20" s="995" customFormat="1" ht="62.5" x14ac:dyDescent="0.35">
      <c r="A152" s="1023">
        <v>2022146</v>
      </c>
      <c r="B152" s="1023">
        <v>7655</v>
      </c>
      <c r="C152" s="1023" t="s">
        <v>668</v>
      </c>
      <c r="D152" s="1039" t="s">
        <v>695</v>
      </c>
      <c r="E152" s="1025">
        <v>80111600</v>
      </c>
      <c r="F152" s="1053" t="s">
        <v>855</v>
      </c>
      <c r="G152" s="1054" t="s">
        <v>1414</v>
      </c>
      <c r="H152" s="1054" t="s">
        <v>1414</v>
      </c>
      <c r="I152" s="1054" t="s">
        <v>1458</v>
      </c>
      <c r="J152" s="1043" t="s">
        <v>1455</v>
      </c>
      <c r="K152" s="1027" t="s">
        <v>674</v>
      </c>
      <c r="L152" s="1055" t="s">
        <v>675</v>
      </c>
      <c r="M152" s="1030">
        <v>26950000</v>
      </c>
      <c r="N152" s="1056" t="s">
        <v>730</v>
      </c>
      <c r="O152" s="1056" t="s">
        <v>1456</v>
      </c>
      <c r="P152" s="1056"/>
      <c r="Q152" s="1027"/>
      <c r="R152" s="1022"/>
      <c r="S152" s="1130">
        <v>188</v>
      </c>
      <c r="T152" s="1156">
        <v>26950000</v>
      </c>
    </row>
    <row r="153" spans="1:20" s="995" customFormat="1" ht="62.5" x14ac:dyDescent="0.35">
      <c r="A153" s="1023">
        <v>2022147</v>
      </c>
      <c r="B153" s="1023">
        <v>7655</v>
      </c>
      <c r="C153" s="1023" t="s">
        <v>668</v>
      </c>
      <c r="D153" s="1039" t="s">
        <v>695</v>
      </c>
      <c r="E153" s="1025">
        <v>80111600</v>
      </c>
      <c r="F153" s="1053" t="s">
        <v>856</v>
      </c>
      <c r="G153" s="1054" t="s">
        <v>1414</v>
      </c>
      <c r="H153" s="1054" t="s">
        <v>1414</v>
      </c>
      <c r="I153" s="1054" t="s">
        <v>1461</v>
      </c>
      <c r="J153" s="1043" t="s">
        <v>1455</v>
      </c>
      <c r="K153" s="1027" t="s">
        <v>674</v>
      </c>
      <c r="L153" s="1055" t="s">
        <v>675</v>
      </c>
      <c r="M153" s="1030">
        <v>19600000</v>
      </c>
      <c r="N153" s="1056" t="s">
        <v>730</v>
      </c>
      <c r="O153" s="1056" t="s">
        <v>1456</v>
      </c>
      <c r="P153" s="1056"/>
      <c r="Q153" s="1027"/>
      <c r="R153" s="1022"/>
      <c r="S153" s="1130">
        <v>56</v>
      </c>
      <c r="T153" s="1156">
        <v>17150000</v>
      </c>
    </row>
    <row r="154" spans="1:20" s="995" customFormat="1" ht="62.5" x14ac:dyDescent="0.35">
      <c r="A154" s="1023">
        <v>2022148</v>
      </c>
      <c r="B154" s="1023">
        <v>7655</v>
      </c>
      <c r="C154" s="1023" t="s">
        <v>668</v>
      </c>
      <c r="D154" s="1039" t="s">
        <v>695</v>
      </c>
      <c r="E154" s="1025">
        <v>80111600</v>
      </c>
      <c r="F154" s="1053" t="s">
        <v>857</v>
      </c>
      <c r="G154" s="1054" t="s">
        <v>1414</v>
      </c>
      <c r="H154" s="1054" t="s">
        <v>1414</v>
      </c>
      <c r="I154" s="1054" t="s">
        <v>1461</v>
      </c>
      <c r="J154" s="1043" t="s">
        <v>1455</v>
      </c>
      <c r="K154" s="1027" t="s">
        <v>674</v>
      </c>
      <c r="L154" s="1055" t="s">
        <v>675</v>
      </c>
      <c r="M154" s="1030">
        <v>40800000</v>
      </c>
      <c r="N154" s="1056" t="s">
        <v>730</v>
      </c>
      <c r="O154" s="1056" t="s">
        <v>1456</v>
      </c>
      <c r="P154" s="1056"/>
      <c r="Q154" s="1027"/>
      <c r="R154" s="1022"/>
      <c r="S154" s="1130">
        <v>78</v>
      </c>
      <c r="T154" s="1156">
        <v>35700000</v>
      </c>
    </row>
    <row r="155" spans="1:20" s="995" customFormat="1" ht="62.5" x14ac:dyDescent="0.35">
      <c r="A155" s="1023">
        <v>2022149</v>
      </c>
      <c r="B155" s="1023">
        <v>7655</v>
      </c>
      <c r="C155" s="1023" t="s">
        <v>668</v>
      </c>
      <c r="D155" s="1039" t="s">
        <v>695</v>
      </c>
      <c r="E155" s="1025">
        <v>80111600</v>
      </c>
      <c r="F155" s="1053" t="s">
        <v>858</v>
      </c>
      <c r="G155" s="1054" t="s">
        <v>1414</v>
      </c>
      <c r="H155" s="1054" t="s">
        <v>1414</v>
      </c>
      <c r="I155" s="1054" t="s">
        <v>1417</v>
      </c>
      <c r="J155" s="1043" t="s">
        <v>1455</v>
      </c>
      <c r="K155" s="1027" t="s">
        <v>674</v>
      </c>
      <c r="L155" s="1055" t="s">
        <v>675</v>
      </c>
      <c r="M155" s="1030">
        <v>56100000</v>
      </c>
      <c r="N155" s="1056" t="s">
        <v>730</v>
      </c>
      <c r="O155" s="1056" t="s">
        <v>1456</v>
      </c>
      <c r="P155" s="1056"/>
      <c r="Q155" s="1027"/>
      <c r="R155" s="1022"/>
      <c r="S155" s="1130">
        <v>166</v>
      </c>
      <c r="T155" s="1156">
        <v>45900000</v>
      </c>
    </row>
    <row r="156" spans="1:20" s="995" customFormat="1" ht="62.5" x14ac:dyDescent="0.35">
      <c r="A156" s="1023">
        <v>2022150</v>
      </c>
      <c r="B156" s="1023">
        <v>7655</v>
      </c>
      <c r="C156" s="1023" t="s">
        <v>668</v>
      </c>
      <c r="D156" s="1039" t="s">
        <v>695</v>
      </c>
      <c r="E156" s="1025">
        <v>80111600</v>
      </c>
      <c r="F156" s="1053" t="s">
        <v>857</v>
      </c>
      <c r="G156" s="1054" t="s">
        <v>1414</v>
      </c>
      <c r="H156" s="1054" t="s">
        <v>1414</v>
      </c>
      <c r="I156" s="1054" t="s">
        <v>1458</v>
      </c>
      <c r="J156" s="1043" t="s">
        <v>1455</v>
      </c>
      <c r="K156" s="1027" t="s">
        <v>674</v>
      </c>
      <c r="L156" s="1055" t="s">
        <v>675</v>
      </c>
      <c r="M156" s="1030">
        <v>35700000</v>
      </c>
      <c r="N156" s="1056" t="s">
        <v>730</v>
      </c>
      <c r="O156" s="1056" t="s">
        <v>1456</v>
      </c>
      <c r="P156" s="1056"/>
      <c r="Q156" s="1027"/>
      <c r="R156" s="1022"/>
      <c r="S156" s="1130">
        <v>189</v>
      </c>
      <c r="T156" s="1156">
        <v>35700000</v>
      </c>
    </row>
    <row r="157" spans="1:20" s="995" customFormat="1" ht="62.5" x14ac:dyDescent="0.35">
      <c r="A157" s="1023">
        <v>2022151</v>
      </c>
      <c r="B157" s="1023">
        <v>7655</v>
      </c>
      <c r="C157" s="1023" t="s">
        <v>668</v>
      </c>
      <c r="D157" s="1039" t="s">
        <v>695</v>
      </c>
      <c r="E157" s="1025">
        <v>80111600</v>
      </c>
      <c r="F157" s="1053" t="s">
        <v>859</v>
      </c>
      <c r="G157" s="1054" t="s">
        <v>1414</v>
      </c>
      <c r="H157" s="1054" t="s">
        <v>1414</v>
      </c>
      <c r="I157" s="1054" t="s">
        <v>1461</v>
      </c>
      <c r="J157" s="1043" t="s">
        <v>1455</v>
      </c>
      <c r="K157" s="1027" t="s">
        <v>674</v>
      </c>
      <c r="L157" s="1055" t="s">
        <v>675</v>
      </c>
      <c r="M157" s="1030">
        <v>41400000</v>
      </c>
      <c r="N157" s="1056" t="s">
        <v>730</v>
      </c>
      <c r="O157" s="1056" t="s">
        <v>1456</v>
      </c>
      <c r="P157" s="1056"/>
      <c r="Q157" s="1027"/>
      <c r="R157" s="1022"/>
      <c r="S157" s="1130">
        <v>80</v>
      </c>
      <c r="T157" s="1156">
        <v>41400000</v>
      </c>
    </row>
    <row r="158" spans="1:20" s="995" customFormat="1" ht="62.5" x14ac:dyDescent="0.35">
      <c r="A158" s="1023">
        <v>2022152</v>
      </c>
      <c r="B158" s="1023">
        <v>7655</v>
      </c>
      <c r="C158" s="1023" t="s">
        <v>668</v>
      </c>
      <c r="D158" s="1039" t="s">
        <v>695</v>
      </c>
      <c r="E158" s="1025">
        <v>80111600</v>
      </c>
      <c r="F158" s="1053" t="s">
        <v>860</v>
      </c>
      <c r="G158" s="1054" t="s">
        <v>1414</v>
      </c>
      <c r="H158" s="1054" t="s">
        <v>1414</v>
      </c>
      <c r="I158" s="1054" t="s">
        <v>1461</v>
      </c>
      <c r="J158" s="1043" t="s">
        <v>1455</v>
      </c>
      <c r="K158" s="1027" t="s">
        <v>674</v>
      </c>
      <c r="L158" s="1055" t="s">
        <v>675</v>
      </c>
      <c r="M158" s="1030">
        <v>45544000</v>
      </c>
      <c r="N158" s="1056" t="s">
        <v>730</v>
      </c>
      <c r="O158" s="1056" t="s">
        <v>1456</v>
      </c>
      <c r="P158" s="1056"/>
      <c r="Q158" s="1027"/>
      <c r="R158" s="1022"/>
      <c r="S158" s="1130">
        <v>107</v>
      </c>
      <c r="T158" s="1156">
        <v>45544000</v>
      </c>
    </row>
    <row r="159" spans="1:20" s="995" customFormat="1" ht="62.5" x14ac:dyDescent="0.35">
      <c r="A159" s="1023">
        <v>2022153</v>
      </c>
      <c r="B159" s="1023">
        <v>7655</v>
      </c>
      <c r="C159" s="1023" t="s">
        <v>668</v>
      </c>
      <c r="D159" s="1039" t="s">
        <v>695</v>
      </c>
      <c r="E159" s="1025">
        <v>80111600</v>
      </c>
      <c r="F159" s="1053" t="s">
        <v>861</v>
      </c>
      <c r="G159" s="1054" t="s">
        <v>1414</v>
      </c>
      <c r="H159" s="1054" t="s">
        <v>1414</v>
      </c>
      <c r="I159" s="1054" t="s">
        <v>1458</v>
      </c>
      <c r="J159" s="1043" t="s">
        <v>1455</v>
      </c>
      <c r="K159" s="1027" t="s">
        <v>674</v>
      </c>
      <c r="L159" s="1055" t="s">
        <v>675</v>
      </c>
      <c r="M159" s="1030">
        <v>23184000</v>
      </c>
      <c r="N159" s="1056" t="s">
        <v>730</v>
      </c>
      <c r="O159" s="1056" t="s">
        <v>1456</v>
      </c>
      <c r="P159" s="1056"/>
      <c r="Q159" s="1027"/>
      <c r="R159" s="1022"/>
      <c r="S159" s="1130">
        <v>167</v>
      </c>
      <c r="T159" s="1156">
        <v>23184000</v>
      </c>
    </row>
    <row r="160" spans="1:20" s="995" customFormat="1" ht="62.5" x14ac:dyDescent="0.35">
      <c r="A160" s="1023">
        <v>2022154</v>
      </c>
      <c r="B160" s="1023">
        <v>7655</v>
      </c>
      <c r="C160" s="1023" t="s">
        <v>668</v>
      </c>
      <c r="D160" s="1039" t="s">
        <v>695</v>
      </c>
      <c r="E160" s="1025">
        <v>80111600</v>
      </c>
      <c r="F160" s="1053" t="s">
        <v>862</v>
      </c>
      <c r="G160" s="1054" t="s">
        <v>1414</v>
      </c>
      <c r="H160" s="1054" t="s">
        <v>1414</v>
      </c>
      <c r="I160" s="1054" t="s">
        <v>1458</v>
      </c>
      <c r="J160" s="1043" t="s">
        <v>1455</v>
      </c>
      <c r="K160" s="1027" t="s">
        <v>674</v>
      </c>
      <c r="L160" s="1055" t="s">
        <v>675</v>
      </c>
      <c r="M160" s="1030">
        <v>30429000</v>
      </c>
      <c r="N160" s="1056" t="s">
        <v>730</v>
      </c>
      <c r="O160" s="1056" t="s">
        <v>1456</v>
      </c>
      <c r="P160" s="1056"/>
      <c r="Q160" s="1027"/>
      <c r="R160" s="1022"/>
      <c r="S160" s="1130">
        <v>85</v>
      </c>
      <c r="T160" s="1156">
        <v>30429000</v>
      </c>
    </row>
    <row r="161" spans="1:20" s="995" customFormat="1" ht="62.5" x14ac:dyDescent="0.35">
      <c r="A161" s="1023">
        <v>2022155</v>
      </c>
      <c r="B161" s="1023">
        <v>7655</v>
      </c>
      <c r="C161" s="1023" t="s">
        <v>668</v>
      </c>
      <c r="D161" s="1039" t="s">
        <v>695</v>
      </c>
      <c r="E161" s="1025">
        <v>80111600</v>
      </c>
      <c r="F161" s="1053" t="s">
        <v>863</v>
      </c>
      <c r="G161" s="1054" t="s">
        <v>1414</v>
      </c>
      <c r="H161" s="1054" t="s">
        <v>1414</v>
      </c>
      <c r="I161" s="1054" t="s">
        <v>1417</v>
      </c>
      <c r="J161" s="1043" t="s">
        <v>1455</v>
      </c>
      <c r="K161" s="1027" t="s">
        <v>674</v>
      </c>
      <c r="L161" s="1055" t="s">
        <v>675</v>
      </c>
      <c r="M161" s="1030">
        <v>83600000</v>
      </c>
      <c r="N161" s="1056" t="s">
        <v>730</v>
      </c>
      <c r="O161" s="1056" t="s">
        <v>1456</v>
      </c>
      <c r="P161" s="1056"/>
      <c r="Q161" s="1027"/>
      <c r="R161" s="1022"/>
      <c r="S161" s="1130">
        <v>190</v>
      </c>
      <c r="T161" s="1156">
        <v>68400000</v>
      </c>
    </row>
    <row r="162" spans="1:20" s="1057" customFormat="1" ht="62.5" x14ac:dyDescent="0.35">
      <c r="A162" s="1023">
        <v>2022156</v>
      </c>
      <c r="B162" s="1023">
        <v>7655</v>
      </c>
      <c r="C162" s="1023" t="s">
        <v>668</v>
      </c>
      <c r="D162" s="1039" t="s">
        <v>695</v>
      </c>
      <c r="E162" s="1025">
        <v>80111600</v>
      </c>
      <c r="F162" s="1053" t="s">
        <v>864</v>
      </c>
      <c r="G162" s="1054" t="s">
        <v>1414</v>
      </c>
      <c r="H162" s="1054" t="s">
        <v>1414</v>
      </c>
      <c r="I162" s="1054" t="s">
        <v>1458</v>
      </c>
      <c r="J162" s="1043" t="s">
        <v>1455</v>
      </c>
      <c r="K162" s="1027" t="s">
        <v>674</v>
      </c>
      <c r="L162" s="1055" t="s">
        <v>675</v>
      </c>
      <c r="M162" s="1030">
        <v>26950000</v>
      </c>
      <c r="N162" s="1056" t="s">
        <v>730</v>
      </c>
      <c r="O162" s="1056" t="s">
        <v>1456</v>
      </c>
      <c r="P162" s="1056"/>
      <c r="Q162" s="1027"/>
      <c r="R162" s="1022"/>
      <c r="S162" s="1130">
        <v>340</v>
      </c>
      <c r="T162" s="1156">
        <v>26950000</v>
      </c>
    </row>
    <row r="163" spans="1:20" s="995" customFormat="1" ht="62.5" x14ac:dyDescent="0.35">
      <c r="A163" s="1023">
        <v>2022157</v>
      </c>
      <c r="B163" s="1023">
        <v>7655</v>
      </c>
      <c r="C163" s="1023" t="s">
        <v>668</v>
      </c>
      <c r="D163" s="1039" t="s">
        <v>695</v>
      </c>
      <c r="E163" s="1025">
        <v>80111600</v>
      </c>
      <c r="F163" s="1053" t="s">
        <v>859</v>
      </c>
      <c r="G163" s="1054" t="s">
        <v>1414</v>
      </c>
      <c r="H163" s="1054" t="s">
        <v>1414</v>
      </c>
      <c r="I163" s="1054" t="s">
        <v>1458</v>
      </c>
      <c r="J163" s="1043" t="s">
        <v>1455</v>
      </c>
      <c r="K163" s="1027" t="s">
        <v>674</v>
      </c>
      <c r="L163" s="1055" t="s">
        <v>675</v>
      </c>
      <c r="M163" s="1030">
        <v>36225000</v>
      </c>
      <c r="N163" s="1056" t="s">
        <v>730</v>
      </c>
      <c r="O163" s="1056" t="s">
        <v>1456</v>
      </c>
      <c r="P163" s="1056"/>
      <c r="Q163" s="1027"/>
      <c r="R163" s="1022"/>
      <c r="S163" s="1130">
        <v>168</v>
      </c>
      <c r="T163" s="1156">
        <v>36225000</v>
      </c>
    </row>
    <row r="164" spans="1:20" s="995" customFormat="1" ht="62.5" x14ac:dyDescent="0.35">
      <c r="A164" s="1023">
        <v>2022158</v>
      </c>
      <c r="B164" s="1023">
        <v>7655</v>
      </c>
      <c r="C164" s="1023" t="s">
        <v>668</v>
      </c>
      <c r="D164" s="1039" t="s">
        <v>695</v>
      </c>
      <c r="E164" s="1025">
        <v>80111600</v>
      </c>
      <c r="F164" s="1053" t="s">
        <v>860</v>
      </c>
      <c r="G164" s="1054" t="s">
        <v>1414</v>
      </c>
      <c r="H164" s="1054" t="s">
        <v>1414</v>
      </c>
      <c r="I164" s="1054" t="s">
        <v>1461</v>
      </c>
      <c r="J164" s="1043" t="s">
        <v>1455</v>
      </c>
      <c r="K164" s="1027" t="s">
        <v>674</v>
      </c>
      <c r="L164" s="1055" t="s">
        <v>675</v>
      </c>
      <c r="M164" s="1030">
        <v>45544000</v>
      </c>
      <c r="N164" s="1056" t="s">
        <v>730</v>
      </c>
      <c r="O164" s="1056" t="s">
        <v>1456</v>
      </c>
      <c r="P164" s="1056"/>
      <c r="Q164" s="1027"/>
      <c r="R164" s="1022"/>
      <c r="S164" s="1130">
        <v>103</v>
      </c>
      <c r="T164" s="1156">
        <v>45544000</v>
      </c>
    </row>
    <row r="165" spans="1:20" s="995" customFormat="1" ht="62.5" x14ac:dyDescent="0.35">
      <c r="A165" s="1023">
        <v>2022159</v>
      </c>
      <c r="B165" s="1023">
        <v>7655</v>
      </c>
      <c r="C165" s="1023" t="s">
        <v>668</v>
      </c>
      <c r="D165" s="1039" t="s">
        <v>695</v>
      </c>
      <c r="E165" s="1025">
        <v>80111600</v>
      </c>
      <c r="F165" s="1053" t="s">
        <v>865</v>
      </c>
      <c r="G165" s="1054" t="s">
        <v>1414</v>
      </c>
      <c r="H165" s="1054" t="s">
        <v>1414</v>
      </c>
      <c r="I165" s="1054" t="s">
        <v>1461</v>
      </c>
      <c r="J165" s="1043" t="s">
        <v>1455</v>
      </c>
      <c r="K165" s="1027" t="s">
        <v>674</v>
      </c>
      <c r="L165" s="1055" t="s">
        <v>675</v>
      </c>
      <c r="M165" s="1030">
        <v>19600000</v>
      </c>
      <c r="N165" s="1056" t="s">
        <v>730</v>
      </c>
      <c r="O165" s="1056" t="s">
        <v>1456</v>
      </c>
      <c r="P165" s="1056"/>
      <c r="Q165" s="1027"/>
      <c r="R165" s="1022"/>
      <c r="S165" s="1130">
        <v>113</v>
      </c>
      <c r="T165" s="1156">
        <v>14700000</v>
      </c>
    </row>
    <row r="166" spans="1:20" s="995" customFormat="1" ht="62.5" x14ac:dyDescent="0.35">
      <c r="A166" s="1023">
        <v>2022160</v>
      </c>
      <c r="B166" s="1023">
        <v>7655</v>
      </c>
      <c r="C166" s="1023" t="s">
        <v>668</v>
      </c>
      <c r="D166" s="1039" t="s">
        <v>695</v>
      </c>
      <c r="E166" s="1025">
        <v>80111600</v>
      </c>
      <c r="F166" s="1053" t="s">
        <v>866</v>
      </c>
      <c r="G166" s="1054" t="s">
        <v>1414</v>
      </c>
      <c r="H166" s="1054" t="s">
        <v>1414</v>
      </c>
      <c r="I166" s="1054" t="s">
        <v>1417</v>
      </c>
      <c r="J166" s="1043" t="s">
        <v>1455</v>
      </c>
      <c r="K166" s="1027" t="s">
        <v>674</v>
      </c>
      <c r="L166" s="1055" t="s">
        <v>675</v>
      </c>
      <c r="M166" s="1030">
        <v>31306000</v>
      </c>
      <c r="N166" s="1056" t="s">
        <v>730</v>
      </c>
      <c r="O166" s="1056" t="s">
        <v>1456</v>
      </c>
      <c r="P166" s="1056"/>
      <c r="Q166" s="1027"/>
      <c r="R166" s="1022"/>
      <c r="S166" s="1130">
        <v>181</v>
      </c>
      <c r="T166" s="1156">
        <v>31306000</v>
      </c>
    </row>
    <row r="167" spans="1:20" s="995" customFormat="1" ht="100" x14ac:dyDescent="0.35">
      <c r="A167" s="1023">
        <v>2022161</v>
      </c>
      <c r="B167" s="1023">
        <v>7655</v>
      </c>
      <c r="C167" s="1023" t="s">
        <v>668</v>
      </c>
      <c r="D167" s="1039" t="s">
        <v>695</v>
      </c>
      <c r="E167" s="1025">
        <v>80111600</v>
      </c>
      <c r="F167" s="1053" t="s">
        <v>867</v>
      </c>
      <c r="G167" s="1054" t="s">
        <v>1414</v>
      </c>
      <c r="H167" s="1054" t="s">
        <v>1414</v>
      </c>
      <c r="I167" s="1054" t="s">
        <v>1461</v>
      </c>
      <c r="J167" s="1043" t="s">
        <v>1455</v>
      </c>
      <c r="K167" s="1027" t="s">
        <v>674</v>
      </c>
      <c r="L167" s="1055" t="s">
        <v>675</v>
      </c>
      <c r="M167" s="1030">
        <v>34776000</v>
      </c>
      <c r="N167" s="1056" t="s">
        <v>730</v>
      </c>
      <c r="O167" s="1056" t="s">
        <v>1456</v>
      </c>
      <c r="P167" s="1056"/>
      <c r="Q167" s="1027"/>
      <c r="R167" s="1022"/>
      <c r="S167" s="1130">
        <v>115</v>
      </c>
      <c r="T167" s="1156">
        <v>34776000</v>
      </c>
    </row>
    <row r="168" spans="1:20" s="995" customFormat="1" ht="62.5" x14ac:dyDescent="0.35">
      <c r="A168" s="1023">
        <v>2022162</v>
      </c>
      <c r="B168" s="1023">
        <v>7655</v>
      </c>
      <c r="C168" s="1023" t="s">
        <v>668</v>
      </c>
      <c r="D168" s="1039" t="s">
        <v>695</v>
      </c>
      <c r="E168" s="1025">
        <v>80111600</v>
      </c>
      <c r="F168" s="1053" t="s">
        <v>868</v>
      </c>
      <c r="G168" s="1054" t="s">
        <v>1414</v>
      </c>
      <c r="H168" s="1054" t="s">
        <v>1414</v>
      </c>
      <c r="I168" s="1054" t="s">
        <v>1461</v>
      </c>
      <c r="J168" s="1043" t="s">
        <v>1455</v>
      </c>
      <c r="K168" s="1027" t="s">
        <v>674</v>
      </c>
      <c r="L168" s="1055" t="s">
        <v>675</v>
      </c>
      <c r="M168" s="1030">
        <v>34776000</v>
      </c>
      <c r="N168" s="1056" t="s">
        <v>730</v>
      </c>
      <c r="O168" s="1056" t="s">
        <v>1456</v>
      </c>
      <c r="P168" s="1056"/>
      <c r="Q168" s="1027"/>
      <c r="R168" s="1022"/>
      <c r="S168" s="1130">
        <v>169</v>
      </c>
      <c r="T168" s="1156">
        <v>30429000</v>
      </c>
    </row>
    <row r="169" spans="1:20" s="995" customFormat="1" ht="87.5" x14ac:dyDescent="0.35">
      <c r="A169" s="1023">
        <v>2022163</v>
      </c>
      <c r="B169" s="1023">
        <v>7655</v>
      </c>
      <c r="C169" s="1023" t="s">
        <v>668</v>
      </c>
      <c r="D169" s="1039" t="s">
        <v>695</v>
      </c>
      <c r="E169" s="1025">
        <v>80111600</v>
      </c>
      <c r="F169" s="1053" t="s">
        <v>869</v>
      </c>
      <c r="G169" s="1054" t="s">
        <v>1414</v>
      </c>
      <c r="H169" s="1054" t="s">
        <v>1414</v>
      </c>
      <c r="I169" s="1054" t="s">
        <v>1417</v>
      </c>
      <c r="J169" s="1043" t="s">
        <v>1455</v>
      </c>
      <c r="K169" s="1027" t="s">
        <v>674</v>
      </c>
      <c r="L169" s="1055" t="s">
        <v>675</v>
      </c>
      <c r="M169" s="1030">
        <v>36850000</v>
      </c>
      <c r="N169" s="1056" t="s">
        <v>730</v>
      </c>
      <c r="O169" s="1056" t="s">
        <v>1456</v>
      </c>
      <c r="P169" s="1056"/>
      <c r="Q169" s="1027"/>
      <c r="R169" s="1022"/>
      <c r="S169" s="1130">
        <v>176</v>
      </c>
      <c r="T169" s="1156">
        <v>21735000</v>
      </c>
    </row>
    <row r="170" spans="1:20" s="995" customFormat="1" ht="62.5" x14ac:dyDescent="0.35">
      <c r="A170" s="1023">
        <v>2022164</v>
      </c>
      <c r="B170" s="1023">
        <v>7655</v>
      </c>
      <c r="C170" s="1023" t="s">
        <v>668</v>
      </c>
      <c r="D170" s="1039" t="s">
        <v>695</v>
      </c>
      <c r="E170" s="1025">
        <v>80111600</v>
      </c>
      <c r="F170" s="1053" t="s">
        <v>870</v>
      </c>
      <c r="G170" s="1054" t="s">
        <v>1414</v>
      </c>
      <c r="H170" s="1054" t="s">
        <v>1414</v>
      </c>
      <c r="I170" s="1054" t="s">
        <v>1458</v>
      </c>
      <c r="J170" s="1043" t="s">
        <v>1455</v>
      </c>
      <c r="K170" s="1027" t="s">
        <v>674</v>
      </c>
      <c r="L170" s="1055" t="s">
        <v>675</v>
      </c>
      <c r="M170" s="1030">
        <v>26950000</v>
      </c>
      <c r="N170" s="1056" t="s">
        <v>730</v>
      </c>
      <c r="O170" s="1056" t="s">
        <v>1456</v>
      </c>
      <c r="P170" s="1056"/>
      <c r="Q170" s="1027"/>
      <c r="R170" s="1022"/>
      <c r="S170" s="1130">
        <v>266</v>
      </c>
      <c r="T170" s="1156">
        <v>24850000</v>
      </c>
    </row>
    <row r="171" spans="1:20" s="995" customFormat="1" ht="62.5" x14ac:dyDescent="0.35">
      <c r="A171" s="1023">
        <v>2022165</v>
      </c>
      <c r="B171" s="1023">
        <v>7655</v>
      </c>
      <c r="C171" s="1023" t="s">
        <v>668</v>
      </c>
      <c r="D171" s="1039" t="s">
        <v>695</v>
      </c>
      <c r="E171" s="1025">
        <v>80111600</v>
      </c>
      <c r="F171" s="1053" t="s">
        <v>871</v>
      </c>
      <c r="G171" s="1054" t="s">
        <v>1414</v>
      </c>
      <c r="H171" s="1054" t="s">
        <v>1414</v>
      </c>
      <c r="I171" s="1054" t="s">
        <v>1461</v>
      </c>
      <c r="J171" s="1043" t="s">
        <v>1455</v>
      </c>
      <c r="K171" s="1027" t="s">
        <v>674</v>
      </c>
      <c r="L171" s="1055" t="s">
        <v>675</v>
      </c>
      <c r="M171" s="1030">
        <v>41400000</v>
      </c>
      <c r="N171" s="1056" t="s">
        <v>730</v>
      </c>
      <c r="O171" s="1056" t="s">
        <v>1456</v>
      </c>
      <c r="P171" s="1056"/>
      <c r="Q171" s="1027"/>
      <c r="R171" s="1022"/>
      <c r="S171" s="1130">
        <v>92</v>
      </c>
      <c r="T171" s="1156">
        <v>41400000</v>
      </c>
    </row>
    <row r="172" spans="1:20" s="995" customFormat="1" ht="62.5" x14ac:dyDescent="0.35">
      <c r="A172" s="1023">
        <v>2022166</v>
      </c>
      <c r="B172" s="1023">
        <v>7655</v>
      </c>
      <c r="C172" s="1023" t="s">
        <v>668</v>
      </c>
      <c r="D172" s="1039" t="s">
        <v>695</v>
      </c>
      <c r="E172" s="1025">
        <v>80111600</v>
      </c>
      <c r="F172" s="1053" t="s">
        <v>872</v>
      </c>
      <c r="G172" s="1054" t="s">
        <v>1414</v>
      </c>
      <c r="H172" s="1054" t="s">
        <v>1414</v>
      </c>
      <c r="I172" s="1054" t="s">
        <v>1461</v>
      </c>
      <c r="J172" s="1043" t="s">
        <v>1455</v>
      </c>
      <c r="K172" s="1027" t="s">
        <v>674</v>
      </c>
      <c r="L172" s="1055" t="s">
        <v>675</v>
      </c>
      <c r="M172" s="1030">
        <v>41400000</v>
      </c>
      <c r="N172" s="1056" t="s">
        <v>730</v>
      </c>
      <c r="O172" s="1056" t="s">
        <v>1456</v>
      </c>
      <c r="P172" s="1056"/>
      <c r="Q172" s="1027"/>
      <c r="R172" s="1022"/>
      <c r="S172" s="1130">
        <v>116</v>
      </c>
      <c r="T172" s="1156">
        <v>36225000</v>
      </c>
    </row>
    <row r="173" spans="1:20" s="995" customFormat="1" ht="62.5" x14ac:dyDescent="0.35">
      <c r="A173" s="1023">
        <v>2022167</v>
      </c>
      <c r="B173" s="1023">
        <v>7655</v>
      </c>
      <c r="C173" s="1023" t="s">
        <v>668</v>
      </c>
      <c r="D173" s="1039" t="s">
        <v>695</v>
      </c>
      <c r="E173" s="1025">
        <v>80111600</v>
      </c>
      <c r="F173" s="1053" t="s">
        <v>873</v>
      </c>
      <c r="G173" s="1054" t="s">
        <v>1414</v>
      </c>
      <c r="H173" s="1054" t="s">
        <v>1414</v>
      </c>
      <c r="I173" s="1054" t="s">
        <v>1417</v>
      </c>
      <c r="J173" s="1043" t="s">
        <v>1455</v>
      </c>
      <c r="K173" s="1027" t="s">
        <v>674</v>
      </c>
      <c r="L173" s="1055" t="s">
        <v>675</v>
      </c>
      <c r="M173" s="1030">
        <v>80036000</v>
      </c>
      <c r="N173" s="1056" t="s">
        <v>730</v>
      </c>
      <c r="O173" s="1056" t="s">
        <v>1456</v>
      </c>
      <c r="P173" s="1056"/>
      <c r="Q173" s="1027"/>
      <c r="R173" s="1022"/>
      <c r="S173" s="1130">
        <v>70</v>
      </c>
      <c r="T173" s="1156">
        <v>80036000</v>
      </c>
    </row>
    <row r="174" spans="1:20" s="995" customFormat="1" ht="62.5" x14ac:dyDescent="0.35">
      <c r="A174" s="1023">
        <v>2022168</v>
      </c>
      <c r="B174" s="1023">
        <v>7655</v>
      </c>
      <c r="C174" s="1023" t="s">
        <v>668</v>
      </c>
      <c r="D174" s="1039" t="s">
        <v>695</v>
      </c>
      <c r="E174" s="1025">
        <v>80111600</v>
      </c>
      <c r="F174" s="1053" t="s">
        <v>871</v>
      </c>
      <c r="G174" s="1054" t="s">
        <v>1414</v>
      </c>
      <c r="H174" s="1054" t="s">
        <v>1414</v>
      </c>
      <c r="I174" s="1054" t="s">
        <v>1459</v>
      </c>
      <c r="J174" s="1043" t="s">
        <v>1455</v>
      </c>
      <c r="K174" s="1027" t="s">
        <v>674</v>
      </c>
      <c r="L174" s="1055" t="s">
        <v>675</v>
      </c>
      <c r="M174" s="1030">
        <v>60000000</v>
      </c>
      <c r="N174" s="1056" t="s">
        <v>730</v>
      </c>
      <c r="O174" s="1056" t="s">
        <v>1456</v>
      </c>
      <c r="P174" s="1056"/>
      <c r="Q174" s="1027"/>
      <c r="R174" s="1022"/>
      <c r="S174" s="1130">
        <v>93</v>
      </c>
      <c r="T174" s="1156">
        <v>60000000</v>
      </c>
    </row>
    <row r="175" spans="1:20" s="995" customFormat="1" ht="87.5" x14ac:dyDescent="0.35">
      <c r="A175" s="1023">
        <v>2022169</v>
      </c>
      <c r="B175" s="1023">
        <v>7655</v>
      </c>
      <c r="C175" s="1023" t="s">
        <v>668</v>
      </c>
      <c r="D175" s="1039" t="s">
        <v>695</v>
      </c>
      <c r="E175" s="1025">
        <v>80111600</v>
      </c>
      <c r="F175" s="1053" t="s">
        <v>869</v>
      </c>
      <c r="G175" s="1054" t="s">
        <v>1414</v>
      </c>
      <c r="H175" s="1054" t="s">
        <v>1414</v>
      </c>
      <c r="I175" s="1054" t="s">
        <v>1417</v>
      </c>
      <c r="J175" s="1043" t="s">
        <v>1455</v>
      </c>
      <c r="K175" s="1027" t="s">
        <v>674</v>
      </c>
      <c r="L175" s="1055" t="s">
        <v>675</v>
      </c>
      <c r="M175" s="1030">
        <v>34155000</v>
      </c>
      <c r="N175" s="1056" t="s">
        <v>730</v>
      </c>
      <c r="O175" s="1056" t="s">
        <v>1456</v>
      </c>
      <c r="P175" s="1056"/>
      <c r="Q175" s="1027"/>
      <c r="R175" s="1022"/>
      <c r="S175" s="1130">
        <v>170</v>
      </c>
      <c r="T175" s="1156">
        <v>36850000</v>
      </c>
    </row>
    <row r="176" spans="1:20" s="995" customFormat="1" ht="62.5" x14ac:dyDescent="0.35">
      <c r="A176" s="1023">
        <v>2022170</v>
      </c>
      <c r="B176" s="1023">
        <v>7655</v>
      </c>
      <c r="C176" s="1023" t="s">
        <v>668</v>
      </c>
      <c r="D176" s="1039" t="s">
        <v>695</v>
      </c>
      <c r="E176" s="1025">
        <v>80111600</v>
      </c>
      <c r="F176" s="1053" t="s">
        <v>872</v>
      </c>
      <c r="G176" s="1054" t="s">
        <v>1414</v>
      </c>
      <c r="H176" s="1054" t="s">
        <v>1414</v>
      </c>
      <c r="I176" s="1054" t="s">
        <v>1457</v>
      </c>
      <c r="J176" s="1043" t="s">
        <v>1455</v>
      </c>
      <c r="K176" s="1027" t="s">
        <v>674</v>
      </c>
      <c r="L176" s="1055" t="s">
        <v>675</v>
      </c>
      <c r="M176" s="1030">
        <v>26082000</v>
      </c>
      <c r="N176" s="1056" t="s">
        <v>730</v>
      </c>
      <c r="O176" s="1056" t="s">
        <v>1456</v>
      </c>
      <c r="P176" s="1056"/>
      <c r="Q176" s="1027"/>
      <c r="R176" s="1022"/>
      <c r="S176" s="1130">
        <v>187</v>
      </c>
      <c r="T176" s="1156">
        <v>26082000</v>
      </c>
    </row>
    <row r="177" spans="1:20" s="995" customFormat="1" ht="62.5" x14ac:dyDescent="0.35">
      <c r="A177" s="1023">
        <v>2022171</v>
      </c>
      <c r="B177" s="1023">
        <v>7655</v>
      </c>
      <c r="C177" s="1023" t="s">
        <v>668</v>
      </c>
      <c r="D177" s="1039" t="s">
        <v>695</v>
      </c>
      <c r="E177" s="1025">
        <v>80111600</v>
      </c>
      <c r="F177" s="1053" t="s">
        <v>874</v>
      </c>
      <c r="G177" s="1054" t="s">
        <v>1414</v>
      </c>
      <c r="H177" s="1054" t="s">
        <v>1414</v>
      </c>
      <c r="I177" s="1054" t="s">
        <v>1458</v>
      </c>
      <c r="J177" s="1043" t="s">
        <v>1455</v>
      </c>
      <c r="K177" s="1027" t="s">
        <v>674</v>
      </c>
      <c r="L177" s="1055" t="s">
        <v>675</v>
      </c>
      <c r="M177" s="1030">
        <v>36225000</v>
      </c>
      <c r="N177" s="1056" t="s">
        <v>730</v>
      </c>
      <c r="O177" s="1056" t="s">
        <v>1456</v>
      </c>
      <c r="P177" s="1056"/>
      <c r="Q177" s="1027"/>
      <c r="R177" s="1022"/>
      <c r="S177" s="1130">
        <v>281</v>
      </c>
      <c r="T177" s="1156">
        <v>36225000</v>
      </c>
    </row>
    <row r="178" spans="1:20" s="995" customFormat="1" ht="62.5" x14ac:dyDescent="0.35">
      <c r="A178" s="1023">
        <v>2022172</v>
      </c>
      <c r="B178" s="1023">
        <v>7655</v>
      </c>
      <c r="C178" s="1023" t="s">
        <v>668</v>
      </c>
      <c r="D178" s="1039" t="s">
        <v>695</v>
      </c>
      <c r="E178" s="1025">
        <v>80111600</v>
      </c>
      <c r="F178" s="1053" t="s">
        <v>871</v>
      </c>
      <c r="G178" s="1054" t="s">
        <v>1414</v>
      </c>
      <c r="H178" s="1054" t="s">
        <v>1414</v>
      </c>
      <c r="I178" s="1054" t="s">
        <v>1458</v>
      </c>
      <c r="J178" s="1043" t="s">
        <v>1455</v>
      </c>
      <c r="K178" s="1027" t="s">
        <v>674</v>
      </c>
      <c r="L178" s="1055" t="s">
        <v>675</v>
      </c>
      <c r="M178" s="1030">
        <v>36225000</v>
      </c>
      <c r="N178" s="1056" t="s">
        <v>730</v>
      </c>
      <c r="O178" s="1056" t="s">
        <v>1456</v>
      </c>
      <c r="P178" s="1056"/>
      <c r="Q178" s="1027"/>
      <c r="R178" s="1022"/>
      <c r="S178" s="1130">
        <v>338</v>
      </c>
      <c r="T178" s="1156">
        <v>36225000</v>
      </c>
    </row>
    <row r="179" spans="1:20" s="995" customFormat="1" ht="62.5" x14ac:dyDescent="0.35">
      <c r="A179" s="1023">
        <v>2022173</v>
      </c>
      <c r="B179" s="1023">
        <v>7655</v>
      </c>
      <c r="C179" s="1023" t="s">
        <v>668</v>
      </c>
      <c r="D179" s="1039" t="s">
        <v>695</v>
      </c>
      <c r="E179" s="1025">
        <v>80111600</v>
      </c>
      <c r="F179" s="1053" t="s">
        <v>875</v>
      </c>
      <c r="G179" s="1054" t="s">
        <v>1414</v>
      </c>
      <c r="H179" s="1054" t="s">
        <v>1414</v>
      </c>
      <c r="I179" s="1054" t="s">
        <v>1457</v>
      </c>
      <c r="J179" s="1043" t="s">
        <v>1455</v>
      </c>
      <c r="K179" s="1027" t="s">
        <v>674</v>
      </c>
      <c r="L179" s="1055" t="s">
        <v>675</v>
      </c>
      <c r="M179" s="1030">
        <v>12000000</v>
      </c>
      <c r="N179" s="1056" t="s">
        <v>730</v>
      </c>
      <c r="O179" s="1056" t="s">
        <v>1456</v>
      </c>
      <c r="P179" s="1056"/>
      <c r="Q179" s="1027"/>
      <c r="R179" s="1022"/>
      <c r="S179" s="1130">
        <v>391</v>
      </c>
      <c r="T179" s="1156">
        <v>10200000</v>
      </c>
    </row>
    <row r="180" spans="1:20" s="995" customFormat="1" ht="62.5" x14ac:dyDescent="0.35">
      <c r="A180" s="1013">
        <v>2022174</v>
      </c>
      <c r="B180" s="1013">
        <v>7655</v>
      </c>
      <c r="C180" s="1013" t="s">
        <v>668</v>
      </c>
      <c r="D180" s="1045" t="s">
        <v>695</v>
      </c>
      <c r="E180" s="1015">
        <v>80111600</v>
      </c>
      <c r="F180" s="1058" t="s">
        <v>876</v>
      </c>
      <c r="G180" s="1059" t="s">
        <v>1414</v>
      </c>
      <c r="H180" s="1059" t="s">
        <v>1429</v>
      </c>
      <c r="I180" s="1059" t="s">
        <v>1371</v>
      </c>
      <c r="J180" s="1049" t="s">
        <v>1455</v>
      </c>
      <c r="K180" s="1017" t="s">
        <v>674</v>
      </c>
      <c r="L180" s="1060" t="s">
        <v>675</v>
      </c>
      <c r="M180" s="1020">
        <v>282051000</v>
      </c>
      <c r="N180" s="1061" t="s">
        <v>730</v>
      </c>
      <c r="O180" s="1061" t="s">
        <v>1456</v>
      </c>
      <c r="P180" s="1061"/>
      <c r="Q180" s="1017"/>
      <c r="R180" s="1022"/>
      <c r="S180" s="1130"/>
      <c r="T180" s="1156"/>
    </row>
    <row r="181" spans="1:20" s="995" customFormat="1" ht="87.5" x14ac:dyDescent="0.35">
      <c r="A181" s="1013">
        <v>2022175</v>
      </c>
      <c r="B181" s="1013">
        <v>7655</v>
      </c>
      <c r="C181" s="1013" t="s">
        <v>668</v>
      </c>
      <c r="D181" s="1045" t="s">
        <v>701</v>
      </c>
      <c r="E181" s="1062">
        <v>80111600</v>
      </c>
      <c r="F181" s="1063" t="s">
        <v>877</v>
      </c>
      <c r="G181" s="1047" t="s">
        <v>1414</v>
      </c>
      <c r="H181" s="1018" t="s">
        <v>1414</v>
      </c>
      <c r="I181" s="1017" t="s">
        <v>1457</v>
      </c>
      <c r="J181" s="1064" t="s">
        <v>1462</v>
      </c>
      <c r="K181" s="1017" t="s">
        <v>674</v>
      </c>
      <c r="L181" s="1065" t="s">
        <v>675</v>
      </c>
      <c r="M181" s="1020">
        <v>1000000000</v>
      </c>
      <c r="N181" s="1066" t="s">
        <v>726</v>
      </c>
      <c r="O181" s="1061" t="s">
        <v>1456</v>
      </c>
      <c r="P181" s="1061"/>
      <c r="Q181" s="1017"/>
      <c r="R181" s="1022"/>
      <c r="S181" s="1130"/>
      <c r="T181" s="1156"/>
    </row>
    <row r="182" spans="1:20" s="995" customFormat="1" ht="54.75" customHeight="1" x14ac:dyDescent="0.35">
      <c r="A182" s="1013">
        <v>2022176</v>
      </c>
      <c r="B182" s="1013">
        <v>7655</v>
      </c>
      <c r="C182" s="1013" t="s">
        <v>668</v>
      </c>
      <c r="D182" s="1045" t="s">
        <v>701</v>
      </c>
      <c r="E182" s="1046">
        <v>80111600</v>
      </c>
      <c r="F182" s="1016" t="s">
        <v>878</v>
      </c>
      <c r="G182" s="1047" t="s">
        <v>1414</v>
      </c>
      <c r="H182" s="1018" t="s">
        <v>1414</v>
      </c>
      <c r="I182" s="1067" t="s">
        <v>1463</v>
      </c>
      <c r="J182" s="1049" t="s">
        <v>1455</v>
      </c>
      <c r="K182" s="1017" t="s">
        <v>674</v>
      </c>
      <c r="L182" s="1017" t="s">
        <v>675</v>
      </c>
      <c r="M182" s="1020">
        <f>80500000-42000000</f>
        <v>38500000</v>
      </c>
      <c r="N182" s="1066" t="s">
        <v>726</v>
      </c>
      <c r="O182" s="1061" t="s">
        <v>1456</v>
      </c>
      <c r="P182" s="1061"/>
      <c r="Q182" s="1017"/>
      <c r="R182" s="1022"/>
      <c r="S182" s="1130"/>
      <c r="T182" s="1156"/>
    </row>
    <row r="183" spans="1:20" s="995" customFormat="1" ht="75" x14ac:dyDescent="0.35">
      <c r="A183" s="1023">
        <v>2022177</v>
      </c>
      <c r="B183" s="1023">
        <v>7655</v>
      </c>
      <c r="C183" s="1023" t="s">
        <v>668</v>
      </c>
      <c r="D183" s="1039" t="s">
        <v>698</v>
      </c>
      <c r="E183" s="1040">
        <v>80111600</v>
      </c>
      <c r="F183" s="1068" t="s">
        <v>879</v>
      </c>
      <c r="G183" s="1054" t="s">
        <v>1414</v>
      </c>
      <c r="H183" s="1069" t="s">
        <v>1424</v>
      </c>
      <c r="I183" s="1054" t="s">
        <v>1417</v>
      </c>
      <c r="J183" s="1043" t="s">
        <v>1455</v>
      </c>
      <c r="K183" s="1027" t="s">
        <v>674</v>
      </c>
      <c r="L183" s="1070" t="s">
        <v>675</v>
      </c>
      <c r="M183" s="1030">
        <v>80000000</v>
      </c>
      <c r="N183" s="1056" t="s">
        <v>730</v>
      </c>
      <c r="O183" s="1056" t="s">
        <v>1456</v>
      </c>
      <c r="P183" s="1056"/>
      <c r="Q183" s="1027"/>
      <c r="R183" s="1022"/>
      <c r="S183" s="1130">
        <v>460</v>
      </c>
      <c r="T183" s="1156">
        <v>62700000</v>
      </c>
    </row>
    <row r="184" spans="1:20" s="995" customFormat="1" ht="62.5" x14ac:dyDescent="0.35">
      <c r="A184" s="1023">
        <v>2022178</v>
      </c>
      <c r="B184" s="1023">
        <v>7655</v>
      </c>
      <c r="C184" s="1023" t="s">
        <v>668</v>
      </c>
      <c r="D184" s="1039" t="s">
        <v>692</v>
      </c>
      <c r="E184" s="1040">
        <v>80111600</v>
      </c>
      <c r="F184" s="1068" t="s">
        <v>880</v>
      </c>
      <c r="G184" s="1054" t="s">
        <v>1414</v>
      </c>
      <c r="H184" s="1069" t="s">
        <v>1424</v>
      </c>
      <c r="I184" s="1054" t="s">
        <v>1459</v>
      </c>
      <c r="J184" s="1043" t="s">
        <v>1455</v>
      </c>
      <c r="K184" s="1027" t="s">
        <v>674</v>
      </c>
      <c r="L184" s="1070" t="s">
        <v>675</v>
      </c>
      <c r="M184" s="1030">
        <v>80000000</v>
      </c>
      <c r="N184" s="1056" t="s">
        <v>730</v>
      </c>
      <c r="O184" s="1056" t="s">
        <v>1456</v>
      </c>
      <c r="P184" s="1056"/>
      <c r="Q184" s="1027"/>
      <c r="R184" s="1022"/>
      <c r="S184" s="1130">
        <v>119</v>
      </c>
      <c r="T184" s="1156">
        <v>80000000</v>
      </c>
    </row>
    <row r="185" spans="1:20" s="995" customFormat="1" ht="62.5" x14ac:dyDescent="0.35">
      <c r="A185" s="1023">
        <v>2022179</v>
      </c>
      <c r="B185" s="1023">
        <v>7655</v>
      </c>
      <c r="C185" s="1023" t="s">
        <v>668</v>
      </c>
      <c r="D185" s="1039" t="s">
        <v>686</v>
      </c>
      <c r="E185" s="1071">
        <v>80111600</v>
      </c>
      <c r="F185" s="1068" t="s">
        <v>881</v>
      </c>
      <c r="G185" s="1054" t="s">
        <v>1414</v>
      </c>
      <c r="H185" s="1054" t="s">
        <v>1414</v>
      </c>
      <c r="I185" s="1054" t="s">
        <v>1460</v>
      </c>
      <c r="J185" s="1043" t="s">
        <v>1455</v>
      </c>
      <c r="K185" s="1027" t="s">
        <v>674</v>
      </c>
      <c r="L185" s="1070" t="s">
        <v>675</v>
      </c>
      <c r="M185" s="1030">
        <v>39371000</v>
      </c>
      <c r="N185" s="1044" t="s">
        <v>730</v>
      </c>
      <c r="O185" s="1056" t="s">
        <v>1456</v>
      </c>
      <c r="P185" s="1056"/>
      <c r="Q185" s="1027"/>
      <c r="R185" s="1022"/>
      <c r="S185" s="1130">
        <v>105</v>
      </c>
      <c r="T185" s="1156">
        <v>26247328</v>
      </c>
    </row>
    <row r="186" spans="1:20" s="995" customFormat="1" ht="62.5" x14ac:dyDescent="0.35">
      <c r="A186" s="1023">
        <v>2022180</v>
      </c>
      <c r="B186" s="1023">
        <v>7655</v>
      </c>
      <c r="C186" s="1023" t="s">
        <v>668</v>
      </c>
      <c r="D186" s="1039" t="s">
        <v>686</v>
      </c>
      <c r="E186" s="1071">
        <v>80111600</v>
      </c>
      <c r="F186" s="1068" t="s">
        <v>882</v>
      </c>
      <c r="G186" s="1054" t="s">
        <v>1414</v>
      </c>
      <c r="H186" s="1054" t="s">
        <v>1414</v>
      </c>
      <c r="I186" s="1054" t="s">
        <v>1460</v>
      </c>
      <c r="J186" s="1043" t="s">
        <v>1455</v>
      </c>
      <c r="K186" s="1027" t="s">
        <v>674</v>
      </c>
      <c r="L186" s="1070" t="s">
        <v>675</v>
      </c>
      <c r="M186" s="1030">
        <v>45697000</v>
      </c>
      <c r="N186" s="1044" t="s">
        <v>730</v>
      </c>
      <c r="O186" s="1056" t="s">
        <v>1456</v>
      </c>
      <c r="P186" s="1056"/>
      <c r="Q186" s="1027"/>
      <c r="R186" s="1022"/>
      <c r="S186" s="1130">
        <v>153</v>
      </c>
      <c r="T186" s="1156">
        <v>30464664</v>
      </c>
    </row>
    <row r="187" spans="1:20" s="995" customFormat="1" ht="62.5" x14ac:dyDescent="0.35">
      <c r="A187" s="1023">
        <v>2022181</v>
      </c>
      <c r="B187" s="1023">
        <v>7655</v>
      </c>
      <c r="C187" s="1023" t="s">
        <v>668</v>
      </c>
      <c r="D187" s="1039" t="s">
        <v>686</v>
      </c>
      <c r="E187" s="1071">
        <v>80111600</v>
      </c>
      <c r="F187" s="1068" t="s">
        <v>882</v>
      </c>
      <c r="G187" s="1054" t="s">
        <v>1414</v>
      </c>
      <c r="H187" s="1054" t="s">
        <v>1414</v>
      </c>
      <c r="I187" s="1054" t="s">
        <v>1460</v>
      </c>
      <c r="J187" s="1043" t="s">
        <v>1455</v>
      </c>
      <c r="K187" s="1027" t="s">
        <v>674</v>
      </c>
      <c r="L187" s="1070" t="s">
        <v>675</v>
      </c>
      <c r="M187" s="1030">
        <v>79351000</v>
      </c>
      <c r="N187" s="1044" t="s">
        <v>730</v>
      </c>
      <c r="O187" s="1056" t="s">
        <v>1456</v>
      </c>
      <c r="P187" s="1056"/>
      <c r="Q187" s="1027"/>
      <c r="R187" s="1022"/>
      <c r="S187" s="1130">
        <v>155</v>
      </c>
      <c r="T187" s="1156">
        <v>52900664</v>
      </c>
    </row>
    <row r="188" spans="1:20" s="995" customFormat="1" ht="62.5" x14ac:dyDescent="0.35">
      <c r="A188" s="1023">
        <v>2022182</v>
      </c>
      <c r="B188" s="1023">
        <v>7655</v>
      </c>
      <c r="C188" s="1023" t="s">
        <v>668</v>
      </c>
      <c r="D188" s="1039" t="s">
        <v>686</v>
      </c>
      <c r="E188" s="1071">
        <v>80111600</v>
      </c>
      <c r="F188" s="1068" t="s">
        <v>882</v>
      </c>
      <c r="G188" s="1054" t="s">
        <v>1414</v>
      </c>
      <c r="H188" s="1054" t="s">
        <v>1414</v>
      </c>
      <c r="I188" s="1054" t="s">
        <v>1460</v>
      </c>
      <c r="J188" s="1043" t="s">
        <v>1455</v>
      </c>
      <c r="K188" s="1027" t="s">
        <v>674</v>
      </c>
      <c r="L188" s="1070" t="s">
        <v>675</v>
      </c>
      <c r="M188" s="1030">
        <v>79351000</v>
      </c>
      <c r="N188" s="1044" t="s">
        <v>730</v>
      </c>
      <c r="O188" s="1056" t="s">
        <v>1456</v>
      </c>
      <c r="P188" s="1056"/>
      <c r="Q188" s="1027"/>
      <c r="R188" s="1022"/>
      <c r="S188" s="1130">
        <v>98</v>
      </c>
      <c r="T188" s="1156">
        <v>52900664</v>
      </c>
    </row>
    <row r="189" spans="1:20" s="995" customFormat="1" ht="62.5" x14ac:dyDescent="0.35">
      <c r="A189" s="1023">
        <v>2022183</v>
      </c>
      <c r="B189" s="1023">
        <v>7655</v>
      </c>
      <c r="C189" s="1023" t="s">
        <v>668</v>
      </c>
      <c r="D189" s="1039" t="s">
        <v>686</v>
      </c>
      <c r="E189" s="1071">
        <v>80111600</v>
      </c>
      <c r="F189" s="1068" t="s">
        <v>882</v>
      </c>
      <c r="G189" s="1054" t="s">
        <v>1414</v>
      </c>
      <c r="H189" s="1054" t="s">
        <v>1414</v>
      </c>
      <c r="I189" s="1054" t="s">
        <v>1460</v>
      </c>
      <c r="J189" s="1043" t="s">
        <v>1455</v>
      </c>
      <c r="K189" s="1027" t="s">
        <v>674</v>
      </c>
      <c r="L189" s="1070" t="s">
        <v>675</v>
      </c>
      <c r="M189" s="1030">
        <v>79351000</v>
      </c>
      <c r="N189" s="1044" t="s">
        <v>730</v>
      </c>
      <c r="O189" s="1056" t="s">
        <v>1456</v>
      </c>
      <c r="P189" s="1056"/>
      <c r="Q189" s="1027"/>
      <c r="R189" s="1022"/>
      <c r="S189" s="1130">
        <v>154</v>
      </c>
      <c r="T189" s="1156">
        <v>52900664</v>
      </c>
    </row>
    <row r="190" spans="1:20" s="995" customFormat="1" ht="62.5" x14ac:dyDescent="0.35">
      <c r="A190" s="1023">
        <v>2022184</v>
      </c>
      <c r="B190" s="1023">
        <v>7655</v>
      </c>
      <c r="C190" s="1023" t="s">
        <v>668</v>
      </c>
      <c r="D190" s="1039" t="s">
        <v>682</v>
      </c>
      <c r="E190" s="1040">
        <v>80111600</v>
      </c>
      <c r="F190" s="1026" t="s">
        <v>883</v>
      </c>
      <c r="G190" s="1041">
        <v>44566</v>
      </c>
      <c r="H190" s="1041">
        <v>44568</v>
      </c>
      <c r="I190" s="1054" t="s">
        <v>1464</v>
      </c>
      <c r="J190" s="1043" t="s">
        <v>1455</v>
      </c>
      <c r="K190" s="1027" t="s">
        <v>674</v>
      </c>
      <c r="L190" s="1029" t="s">
        <v>782</v>
      </c>
      <c r="M190" s="1030">
        <v>106950000</v>
      </c>
      <c r="N190" s="1044" t="s">
        <v>730</v>
      </c>
      <c r="O190" s="1056" t="s">
        <v>1456</v>
      </c>
      <c r="P190" s="1056"/>
      <c r="Q190" s="1027"/>
      <c r="R190" s="1022"/>
      <c r="S190" s="1130">
        <v>18</v>
      </c>
      <c r="T190" s="1156">
        <v>106950000</v>
      </c>
    </row>
    <row r="191" spans="1:20" s="995" customFormat="1" ht="62.5" x14ac:dyDescent="0.35">
      <c r="A191" s="1023">
        <v>2022185</v>
      </c>
      <c r="B191" s="1023">
        <v>7655</v>
      </c>
      <c r="C191" s="1023" t="s">
        <v>668</v>
      </c>
      <c r="D191" s="1039" t="s">
        <v>682</v>
      </c>
      <c r="E191" s="1040">
        <v>80111600</v>
      </c>
      <c r="F191" s="1026" t="s">
        <v>884</v>
      </c>
      <c r="G191" s="1041">
        <v>44566</v>
      </c>
      <c r="H191" s="1041">
        <v>44568</v>
      </c>
      <c r="I191" s="1054" t="s">
        <v>1464</v>
      </c>
      <c r="J191" s="1043" t="s">
        <v>1455</v>
      </c>
      <c r="K191" s="1027" t="s">
        <v>674</v>
      </c>
      <c r="L191" s="1029" t="s">
        <v>782</v>
      </c>
      <c r="M191" s="1030">
        <v>78200000</v>
      </c>
      <c r="N191" s="1044" t="s">
        <v>730</v>
      </c>
      <c r="O191" s="1056" t="s">
        <v>1456</v>
      </c>
      <c r="P191" s="1056"/>
      <c r="Q191" s="1027"/>
      <c r="R191" s="1022"/>
      <c r="S191" s="1130">
        <v>262</v>
      </c>
      <c r="T191" s="1156">
        <v>78200000</v>
      </c>
    </row>
    <row r="192" spans="1:20" s="995" customFormat="1" ht="62.5" x14ac:dyDescent="0.35">
      <c r="A192" s="1023">
        <v>2022186</v>
      </c>
      <c r="B192" s="1023">
        <v>7655</v>
      </c>
      <c r="C192" s="1023" t="s">
        <v>668</v>
      </c>
      <c r="D192" s="1039" t="s">
        <v>682</v>
      </c>
      <c r="E192" s="1040">
        <v>80111600</v>
      </c>
      <c r="F192" s="1026" t="s">
        <v>885</v>
      </c>
      <c r="G192" s="1041">
        <v>44566</v>
      </c>
      <c r="H192" s="1041">
        <v>44568</v>
      </c>
      <c r="I192" s="1054" t="s">
        <v>1464</v>
      </c>
      <c r="J192" s="1043" t="s">
        <v>1455</v>
      </c>
      <c r="K192" s="1027" t="s">
        <v>674</v>
      </c>
      <c r="L192" s="1029" t="s">
        <v>782</v>
      </c>
      <c r="M192" s="1030">
        <v>92000000</v>
      </c>
      <c r="N192" s="1044" t="s">
        <v>730</v>
      </c>
      <c r="O192" s="1056" t="s">
        <v>1456</v>
      </c>
      <c r="P192" s="1056"/>
      <c r="Q192" s="1027"/>
      <c r="R192" s="1022"/>
      <c r="S192" s="1130">
        <v>17</v>
      </c>
      <c r="T192" s="1156">
        <v>92000000</v>
      </c>
    </row>
    <row r="193" spans="1:20" s="995" customFormat="1" ht="62.5" x14ac:dyDescent="0.35">
      <c r="A193" s="1023">
        <v>2022187</v>
      </c>
      <c r="B193" s="1023">
        <v>7655</v>
      </c>
      <c r="C193" s="1023" t="s">
        <v>668</v>
      </c>
      <c r="D193" s="1039" t="s">
        <v>682</v>
      </c>
      <c r="E193" s="1040">
        <v>80111600</v>
      </c>
      <c r="F193" s="1026" t="s">
        <v>886</v>
      </c>
      <c r="G193" s="1041">
        <v>44566</v>
      </c>
      <c r="H193" s="1041">
        <v>44568</v>
      </c>
      <c r="I193" s="1054" t="s">
        <v>1464</v>
      </c>
      <c r="J193" s="1043" t="s">
        <v>1455</v>
      </c>
      <c r="K193" s="1027" t="s">
        <v>674</v>
      </c>
      <c r="L193" s="1029" t="s">
        <v>675</v>
      </c>
      <c r="M193" s="1030">
        <v>80500000</v>
      </c>
      <c r="N193" s="1044" t="s">
        <v>730</v>
      </c>
      <c r="O193" s="1056" t="s">
        <v>1456</v>
      </c>
      <c r="P193" s="1056"/>
      <c r="Q193" s="1027"/>
      <c r="R193" s="1022"/>
      <c r="S193" s="1130">
        <v>52</v>
      </c>
      <c r="T193" s="1156">
        <v>80500000</v>
      </c>
    </row>
    <row r="194" spans="1:20" s="995" customFormat="1" ht="62.5" x14ac:dyDescent="0.35">
      <c r="A194" s="1023">
        <v>2022188</v>
      </c>
      <c r="B194" s="1023">
        <v>7655</v>
      </c>
      <c r="C194" s="1023" t="s">
        <v>668</v>
      </c>
      <c r="D194" s="1039" t="s">
        <v>682</v>
      </c>
      <c r="E194" s="1040">
        <v>80111600</v>
      </c>
      <c r="F194" s="1026" t="s">
        <v>887</v>
      </c>
      <c r="G194" s="1041">
        <v>44566</v>
      </c>
      <c r="H194" s="1041">
        <v>44568</v>
      </c>
      <c r="I194" s="1054" t="s">
        <v>1464</v>
      </c>
      <c r="J194" s="1043" t="s">
        <v>1455</v>
      </c>
      <c r="K194" s="1027" t="s">
        <v>674</v>
      </c>
      <c r="L194" s="1029" t="s">
        <v>782</v>
      </c>
      <c r="M194" s="1030">
        <v>87975000</v>
      </c>
      <c r="N194" s="1044" t="s">
        <v>730</v>
      </c>
      <c r="O194" s="1056" t="s">
        <v>1456</v>
      </c>
      <c r="P194" s="1056"/>
      <c r="Q194" s="1027"/>
      <c r="R194" s="1022"/>
      <c r="S194" s="1130">
        <v>13</v>
      </c>
      <c r="T194" s="1156">
        <v>87975000</v>
      </c>
    </row>
    <row r="195" spans="1:20" s="995" customFormat="1" ht="62.5" x14ac:dyDescent="0.35">
      <c r="A195" s="1023">
        <v>2022189</v>
      </c>
      <c r="B195" s="1023">
        <v>7655</v>
      </c>
      <c r="C195" s="1023" t="s">
        <v>668</v>
      </c>
      <c r="D195" s="1039" t="s">
        <v>682</v>
      </c>
      <c r="E195" s="1040">
        <v>80111600</v>
      </c>
      <c r="F195" s="1026" t="s">
        <v>887</v>
      </c>
      <c r="G195" s="1041">
        <v>44566</v>
      </c>
      <c r="H195" s="1041">
        <v>44568</v>
      </c>
      <c r="I195" s="1054" t="s">
        <v>1464</v>
      </c>
      <c r="J195" s="1043" t="s">
        <v>1455</v>
      </c>
      <c r="K195" s="1027" t="s">
        <v>674</v>
      </c>
      <c r="L195" s="1029" t="s">
        <v>782</v>
      </c>
      <c r="M195" s="1030">
        <v>87975000</v>
      </c>
      <c r="N195" s="1044" t="s">
        <v>730</v>
      </c>
      <c r="O195" s="1056" t="s">
        <v>1456</v>
      </c>
      <c r="P195" s="1056"/>
      <c r="Q195" s="1027"/>
      <c r="R195" s="1022"/>
      <c r="S195" s="1130">
        <v>14</v>
      </c>
      <c r="T195" s="1156">
        <v>87975000</v>
      </c>
    </row>
    <row r="196" spans="1:20" s="995" customFormat="1" ht="62.5" x14ac:dyDescent="0.35">
      <c r="A196" s="1023">
        <v>2022190</v>
      </c>
      <c r="B196" s="1023">
        <v>7655</v>
      </c>
      <c r="C196" s="1023" t="s">
        <v>668</v>
      </c>
      <c r="D196" s="1039" t="s">
        <v>682</v>
      </c>
      <c r="E196" s="1040">
        <v>80111600</v>
      </c>
      <c r="F196" s="1026" t="s">
        <v>887</v>
      </c>
      <c r="G196" s="1041">
        <v>44566</v>
      </c>
      <c r="H196" s="1041">
        <v>44568</v>
      </c>
      <c r="I196" s="1054" t="s">
        <v>1464</v>
      </c>
      <c r="J196" s="1043" t="s">
        <v>1455</v>
      </c>
      <c r="K196" s="1027" t="s">
        <v>674</v>
      </c>
      <c r="L196" s="1029" t="s">
        <v>782</v>
      </c>
      <c r="M196" s="1030">
        <v>87975000</v>
      </c>
      <c r="N196" s="1044" t="s">
        <v>730</v>
      </c>
      <c r="O196" s="1056" t="s">
        <v>1456</v>
      </c>
      <c r="P196" s="1056"/>
      <c r="Q196" s="1027"/>
      <c r="R196" s="1022"/>
      <c r="S196" s="1130">
        <v>16</v>
      </c>
      <c r="T196" s="1156">
        <v>87975000</v>
      </c>
    </row>
    <row r="197" spans="1:20" s="995" customFormat="1" ht="62.5" x14ac:dyDescent="0.35">
      <c r="A197" s="1023">
        <v>2022191</v>
      </c>
      <c r="B197" s="1023">
        <v>7655</v>
      </c>
      <c r="C197" s="1023" t="s">
        <v>668</v>
      </c>
      <c r="D197" s="1039" t="s">
        <v>682</v>
      </c>
      <c r="E197" s="1040">
        <v>80111600</v>
      </c>
      <c r="F197" s="1026" t="s">
        <v>887</v>
      </c>
      <c r="G197" s="1041">
        <v>44566</v>
      </c>
      <c r="H197" s="1041">
        <v>44568</v>
      </c>
      <c r="I197" s="1054" t="s">
        <v>1464</v>
      </c>
      <c r="J197" s="1043" t="s">
        <v>1455</v>
      </c>
      <c r="K197" s="1027" t="s">
        <v>674</v>
      </c>
      <c r="L197" s="1029" t="s">
        <v>782</v>
      </c>
      <c r="M197" s="1030">
        <v>87975000</v>
      </c>
      <c r="N197" s="1044" t="s">
        <v>730</v>
      </c>
      <c r="O197" s="1056" t="s">
        <v>1456</v>
      </c>
      <c r="P197" s="1056"/>
      <c r="Q197" s="1027"/>
      <c r="R197" s="1022"/>
      <c r="S197" s="1130">
        <v>62</v>
      </c>
      <c r="T197" s="1156">
        <v>87975000</v>
      </c>
    </row>
    <row r="198" spans="1:20" s="995" customFormat="1" ht="62.5" x14ac:dyDescent="0.35">
      <c r="A198" s="1023">
        <v>2022192</v>
      </c>
      <c r="B198" s="1023">
        <v>7655</v>
      </c>
      <c r="C198" s="1023" t="s">
        <v>668</v>
      </c>
      <c r="D198" s="1039" t="s">
        <v>682</v>
      </c>
      <c r="E198" s="1040">
        <v>80111600</v>
      </c>
      <c r="F198" s="1026" t="s">
        <v>887</v>
      </c>
      <c r="G198" s="1041">
        <v>44566</v>
      </c>
      <c r="H198" s="1041">
        <v>44568</v>
      </c>
      <c r="I198" s="1054" t="s">
        <v>1464</v>
      </c>
      <c r="J198" s="1043" t="s">
        <v>1455</v>
      </c>
      <c r="K198" s="1027" t="s">
        <v>674</v>
      </c>
      <c r="L198" s="1029" t="s">
        <v>782</v>
      </c>
      <c r="M198" s="1030">
        <v>87975000</v>
      </c>
      <c r="N198" s="1044" t="s">
        <v>730</v>
      </c>
      <c r="O198" s="1056" t="s">
        <v>1456</v>
      </c>
      <c r="P198" s="1056"/>
      <c r="Q198" s="1027"/>
      <c r="R198" s="1022"/>
      <c r="S198" s="1130">
        <v>131</v>
      </c>
      <c r="T198" s="1156">
        <v>87975000</v>
      </c>
    </row>
    <row r="199" spans="1:20" s="995" customFormat="1" ht="62.5" x14ac:dyDescent="0.35">
      <c r="A199" s="1023">
        <v>2022193</v>
      </c>
      <c r="B199" s="1023">
        <v>7655</v>
      </c>
      <c r="C199" s="1023" t="s">
        <v>668</v>
      </c>
      <c r="D199" s="1039" t="s">
        <v>682</v>
      </c>
      <c r="E199" s="1040">
        <v>80111600</v>
      </c>
      <c r="F199" s="1026" t="s">
        <v>887</v>
      </c>
      <c r="G199" s="1041">
        <v>44566</v>
      </c>
      <c r="H199" s="1041">
        <v>44568</v>
      </c>
      <c r="I199" s="1054" t="s">
        <v>1464</v>
      </c>
      <c r="J199" s="1043" t="s">
        <v>1455</v>
      </c>
      <c r="K199" s="1027" t="s">
        <v>674</v>
      </c>
      <c r="L199" s="1029" t="s">
        <v>782</v>
      </c>
      <c r="M199" s="1030">
        <v>87975000</v>
      </c>
      <c r="N199" s="1044" t="s">
        <v>730</v>
      </c>
      <c r="O199" s="1056" t="s">
        <v>1456</v>
      </c>
      <c r="P199" s="1056"/>
      <c r="Q199" s="1027"/>
      <c r="R199" s="1022"/>
      <c r="S199" s="1130">
        <v>15</v>
      </c>
      <c r="T199" s="1156">
        <v>87975000</v>
      </c>
    </row>
    <row r="200" spans="1:20" s="995" customFormat="1" ht="62.5" x14ac:dyDescent="0.35">
      <c r="A200" s="1023">
        <v>2022194</v>
      </c>
      <c r="B200" s="1023">
        <v>7655</v>
      </c>
      <c r="C200" s="1023" t="s">
        <v>668</v>
      </c>
      <c r="D200" s="1039" t="s">
        <v>682</v>
      </c>
      <c r="E200" s="1040">
        <v>80111600</v>
      </c>
      <c r="F200" s="1026" t="s">
        <v>888</v>
      </c>
      <c r="G200" s="1041">
        <v>44566</v>
      </c>
      <c r="H200" s="1041">
        <v>44568</v>
      </c>
      <c r="I200" s="1054" t="s">
        <v>1464</v>
      </c>
      <c r="J200" s="1043" t="s">
        <v>1455</v>
      </c>
      <c r="K200" s="1027" t="s">
        <v>674</v>
      </c>
      <c r="L200" s="1029" t="s">
        <v>782</v>
      </c>
      <c r="M200" s="1030">
        <v>42642000</v>
      </c>
      <c r="N200" s="1044" t="s">
        <v>730</v>
      </c>
      <c r="O200" s="1056" t="s">
        <v>1456</v>
      </c>
      <c r="P200" s="1056"/>
      <c r="Q200" s="1027"/>
      <c r="R200" s="1022"/>
      <c r="S200" s="1130">
        <v>47</v>
      </c>
      <c r="T200" s="1156">
        <v>42642000</v>
      </c>
    </row>
    <row r="201" spans="1:20" s="995" customFormat="1" ht="62.5" x14ac:dyDescent="0.35">
      <c r="A201" s="1023">
        <v>2022195</v>
      </c>
      <c r="B201" s="1023">
        <v>7655</v>
      </c>
      <c r="C201" s="1023" t="s">
        <v>668</v>
      </c>
      <c r="D201" s="1039" t="s">
        <v>682</v>
      </c>
      <c r="E201" s="1040">
        <v>80111600</v>
      </c>
      <c r="F201" s="1026" t="s">
        <v>888</v>
      </c>
      <c r="G201" s="1041">
        <v>44566</v>
      </c>
      <c r="H201" s="1041">
        <v>44568</v>
      </c>
      <c r="I201" s="1054" t="s">
        <v>1464</v>
      </c>
      <c r="J201" s="1043" t="s">
        <v>1455</v>
      </c>
      <c r="K201" s="1027" t="s">
        <v>674</v>
      </c>
      <c r="L201" s="1029" t="s">
        <v>782</v>
      </c>
      <c r="M201" s="1030">
        <v>42642000</v>
      </c>
      <c r="N201" s="1044" t="s">
        <v>730</v>
      </c>
      <c r="O201" s="1056" t="s">
        <v>1456</v>
      </c>
      <c r="P201" s="1056"/>
      <c r="Q201" s="1027"/>
      <c r="R201" s="1022"/>
      <c r="S201" s="1130">
        <v>41</v>
      </c>
      <c r="T201" s="1156">
        <v>42642000</v>
      </c>
    </row>
    <row r="202" spans="1:20" s="995" customFormat="1" ht="62.5" x14ac:dyDescent="0.35">
      <c r="A202" s="1023">
        <v>2022196</v>
      </c>
      <c r="B202" s="1023">
        <v>7655</v>
      </c>
      <c r="C202" s="1023" t="s">
        <v>668</v>
      </c>
      <c r="D202" s="1039" t="s">
        <v>682</v>
      </c>
      <c r="E202" s="1040">
        <v>80111600</v>
      </c>
      <c r="F202" s="1026" t="s">
        <v>887</v>
      </c>
      <c r="G202" s="1041">
        <v>44566</v>
      </c>
      <c r="H202" s="1041">
        <v>44568</v>
      </c>
      <c r="I202" s="1054" t="s">
        <v>1465</v>
      </c>
      <c r="J202" s="1043" t="s">
        <v>1455</v>
      </c>
      <c r="K202" s="1027" t="s">
        <v>674</v>
      </c>
      <c r="L202" s="1029" t="s">
        <v>782</v>
      </c>
      <c r="M202" s="1030">
        <v>71103000</v>
      </c>
      <c r="N202" s="1044" t="s">
        <v>730</v>
      </c>
      <c r="O202" s="1056" t="s">
        <v>1456</v>
      </c>
      <c r="P202" s="1056"/>
      <c r="Q202" s="1027"/>
      <c r="R202" s="1022"/>
      <c r="S202" s="1130">
        <v>86</v>
      </c>
      <c r="T202" s="1156">
        <v>70890000</v>
      </c>
    </row>
    <row r="203" spans="1:20" s="995" customFormat="1" ht="62.5" x14ac:dyDescent="0.35">
      <c r="A203" s="1023">
        <v>2022197</v>
      </c>
      <c r="B203" s="1023">
        <v>7655</v>
      </c>
      <c r="C203" s="1023" t="s">
        <v>668</v>
      </c>
      <c r="D203" s="1039" t="s">
        <v>682</v>
      </c>
      <c r="E203" s="1040">
        <v>80111600</v>
      </c>
      <c r="F203" s="1026" t="s">
        <v>889</v>
      </c>
      <c r="G203" s="1041">
        <v>44566</v>
      </c>
      <c r="H203" s="1041">
        <v>44568</v>
      </c>
      <c r="I203" s="1054" t="s">
        <v>1464</v>
      </c>
      <c r="J203" s="1043" t="s">
        <v>1455</v>
      </c>
      <c r="K203" s="1027" t="s">
        <v>674</v>
      </c>
      <c r="L203" s="1029" t="s">
        <v>782</v>
      </c>
      <c r="M203" s="1030">
        <v>61295000</v>
      </c>
      <c r="N203" s="1044" t="s">
        <v>730</v>
      </c>
      <c r="O203" s="1056" t="s">
        <v>1456</v>
      </c>
      <c r="P203" s="1056"/>
      <c r="Q203" s="1027"/>
      <c r="R203" s="1022"/>
      <c r="S203" s="1130">
        <v>12</v>
      </c>
      <c r="T203" s="1156">
        <v>61295000</v>
      </c>
    </row>
    <row r="204" spans="1:20" s="995" customFormat="1" ht="62.5" x14ac:dyDescent="0.35">
      <c r="A204" s="1023">
        <v>2022198</v>
      </c>
      <c r="B204" s="1023">
        <v>7655</v>
      </c>
      <c r="C204" s="1023" t="s">
        <v>668</v>
      </c>
      <c r="D204" s="1039" t="s">
        <v>682</v>
      </c>
      <c r="E204" s="1040">
        <v>80111600</v>
      </c>
      <c r="F204" s="1026" t="s">
        <v>890</v>
      </c>
      <c r="G204" s="1041">
        <v>44566</v>
      </c>
      <c r="H204" s="1041">
        <v>44568</v>
      </c>
      <c r="I204" s="1054" t="s">
        <v>1464</v>
      </c>
      <c r="J204" s="1043" t="s">
        <v>1455</v>
      </c>
      <c r="K204" s="1027" t="s">
        <v>674</v>
      </c>
      <c r="L204" s="1029" t="s">
        <v>782</v>
      </c>
      <c r="M204" s="1030">
        <v>358041000</v>
      </c>
      <c r="N204" s="1044" t="s">
        <v>730</v>
      </c>
      <c r="O204" s="1056" t="s">
        <v>1456</v>
      </c>
      <c r="P204" s="1056"/>
      <c r="Q204" s="1027"/>
      <c r="R204" s="1022"/>
      <c r="S204" s="1130">
        <v>299</v>
      </c>
      <c r="T204" s="1156">
        <v>358041000</v>
      </c>
    </row>
    <row r="205" spans="1:20" s="995" customFormat="1" ht="62.5" x14ac:dyDescent="0.35">
      <c r="A205" s="1023">
        <v>2022199</v>
      </c>
      <c r="B205" s="1023">
        <v>7655</v>
      </c>
      <c r="C205" s="1023" t="s">
        <v>668</v>
      </c>
      <c r="D205" s="1039" t="s">
        <v>682</v>
      </c>
      <c r="E205" s="1040">
        <v>80111600</v>
      </c>
      <c r="F205" s="1026" t="s">
        <v>891</v>
      </c>
      <c r="G205" s="1041">
        <v>44566</v>
      </c>
      <c r="H205" s="1041">
        <v>44568</v>
      </c>
      <c r="I205" s="1054" t="s">
        <v>1464</v>
      </c>
      <c r="J205" s="1043" t="s">
        <v>1455</v>
      </c>
      <c r="K205" s="1027" t="s">
        <v>674</v>
      </c>
      <c r="L205" s="1029" t="s">
        <v>675</v>
      </c>
      <c r="M205" s="1030">
        <v>38525000</v>
      </c>
      <c r="N205" s="1044" t="s">
        <v>730</v>
      </c>
      <c r="O205" s="1056" t="s">
        <v>1456</v>
      </c>
      <c r="P205" s="1056"/>
      <c r="Q205" s="1027"/>
      <c r="R205" s="1022"/>
      <c r="S205" s="1130">
        <v>120</v>
      </c>
      <c r="T205" s="1156">
        <v>38525000</v>
      </c>
    </row>
    <row r="206" spans="1:20" s="995" customFormat="1" ht="62.5" x14ac:dyDescent="0.35">
      <c r="A206" s="1023">
        <v>2022200</v>
      </c>
      <c r="B206" s="1023">
        <v>7655</v>
      </c>
      <c r="C206" s="1023" t="s">
        <v>668</v>
      </c>
      <c r="D206" s="1039" t="s">
        <v>682</v>
      </c>
      <c r="E206" s="1040">
        <v>80111600</v>
      </c>
      <c r="F206" s="1026" t="s">
        <v>892</v>
      </c>
      <c r="G206" s="1041">
        <v>44566</v>
      </c>
      <c r="H206" s="1041">
        <v>44568</v>
      </c>
      <c r="I206" s="1054" t="s">
        <v>1464</v>
      </c>
      <c r="J206" s="1043" t="s">
        <v>1455</v>
      </c>
      <c r="K206" s="1027" t="s">
        <v>674</v>
      </c>
      <c r="L206" s="1029" t="s">
        <v>675</v>
      </c>
      <c r="M206" s="1030">
        <v>32200000</v>
      </c>
      <c r="N206" s="1044" t="s">
        <v>730</v>
      </c>
      <c r="O206" s="1056" t="s">
        <v>1456</v>
      </c>
      <c r="P206" s="1056"/>
      <c r="Q206" s="1027"/>
      <c r="R206" s="1022"/>
      <c r="S206" s="1130">
        <v>40</v>
      </c>
      <c r="T206" s="1156">
        <v>32200000</v>
      </c>
    </row>
    <row r="207" spans="1:20" s="995" customFormat="1" ht="62.5" x14ac:dyDescent="0.35">
      <c r="A207" s="1023">
        <v>2022201</v>
      </c>
      <c r="B207" s="1023">
        <v>7655</v>
      </c>
      <c r="C207" s="1023" t="s">
        <v>668</v>
      </c>
      <c r="D207" s="1039" t="s">
        <v>682</v>
      </c>
      <c r="E207" s="1040">
        <v>80111600</v>
      </c>
      <c r="F207" s="1026" t="s">
        <v>892</v>
      </c>
      <c r="G207" s="1041">
        <v>44566</v>
      </c>
      <c r="H207" s="1041">
        <v>44568</v>
      </c>
      <c r="I207" s="1054" t="s">
        <v>1464</v>
      </c>
      <c r="J207" s="1043" t="s">
        <v>1455</v>
      </c>
      <c r="K207" s="1027" t="s">
        <v>674</v>
      </c>
      <c r="L207" s="1029" t="s">
        <v>675</v>
      </c>
      <c r="M207" s="1030">
        <v>32200000</v>
      </c>
      <c r="N207" s="1044" t="s">
        <v>730</v>
      </c>
      <c r="O207" s="1056" t="s">
        <v>1456</v>
      </c>
      <c r="P207" s="1056"/>
      <c r="Q207" s="1027"/>
      <c r="R207" s="1022"/>
      <c r="S207" s="1130">
        <v>57</v>
      </c>
      <c r="T207" s="1156">
        <v>32200000</v>
      </c>
    </row>
    <row r="208" spans="1:20" s="995" customFormat="1" ht="62.5" x14ac:dyDescent="0.35">
      <c r="A208" s="1023">
        <v>2022202</v>
      </c>
      <c r="B208" s="1023">
        <v>7655</v>
      </c>
      <c r="C208" s="1023" t="s">
        <v>668</v>
      </c>
      <c r="D208" s="1039" t="s">
        <v>682</v>
      </c>
      <c r="E208" s="1040">
        <v>80111600</v>
      </c>
      <c r="F208" s="1026" t="s">
        <v>892</v>
      </c>
      <c r="G208" s="1041">
        <v>44566</v>
      </c>
      <c r="H208" s="1041">
        <v>44568</v>
      </c>
      <c r="I208" s="1054" t="s">
        <v>1464</v>
      </c>
      <c r="J208" s="1043" t="s">
        <v>1455</v>
      </c>
      <c r="K208" s="1027" t="s">
        <v>674</v>
      </c>
      <c r="L208" s="1029" t="s">
        <v>675</v>
      </c>
      <c r="M208" s="1030">
        <v>32200000</v>
      </c>
      <c r="N208" s="1044" t="s">
        <v>730</v>
      </c>
      <c r="O208" s="1056" t="s">
        <v>1456</v>
      </c>
      <c r="P208" s="1056"/>
      <c r="Q208" s="1027"/>
      <c r="R208" s="1022"/>
      <c r="S208" s="1130">
        <v>125</v>
      </c>
      <c r="T208" s="1156">
        <v>32200000</v>
      </c>
    </row>
    <row r="209" spans="1:20" s="995" customFormat="1" ht="62.5" x14ac:dyDescent="0.35">
      <c r="A209" s="1023">
        <v>2022203</v>
      </c>
      <c r="B209" s="1023">
        <v>7655</v>
      </c>
      <c r="C209" s="1023" t="s">
        <v>668</v>
      </c>
      <c r="D209" s="1039" t="s">
        <v>682</v>
      </c>
      <c r="E209" s="1040">
        <v>80111600</v>
      </c>
      <c r="F209" s="1026" t="s">
        <v>892</v>
      </c>
      <c r="G209" s="1041">
        <v>44566</v>
      </c>
      <c r="H209" s="1041">
        <v>44568</v>
      </c>
      <c r="I209" s="1054" t="s">
        <v>1464</v>
      </c>
      <c r="J209" s="1043" t="s">
        <v>1455</v>
      </c>
      <c r="K209" s="1027" t="s">
        <v>674</v>
      </c>
      <c r="L209" s="1029" t="s">
        <v>675</v>
      </c>
      <c r="M209" s="1030">
        <v>37950000</v>
      </c>
      <c r="N209" s="1044" t="s">
        <v>730</v>
      </c>
      <c r="O209" s="1056" t="s">
        <v>1456</v>
      </c>
      <c r="P209" s="1056"/>
      <c r="Q209" s="1027"/>
      <c r="R209" s="1022"/>
      <c r="S209" s="1130">
        <v>46</v>
      </c>
      <c r="T209" s="1156">
        <v>37950000</v>
      </c>
    </row>
    <row r="210" spans="1:20" s="995" customFormat="1" ht="62.5" x14ac:dyDescent="0.35">
      <c r="A210" s="1023">
        <v>2022204</v>
      </c>
      <c r="B210" s="1023">
        <v>7655</v>
      </c>
      <c r="C210" s="1023" t="s">
        <v>668</v>
      </c>
      <c r="D210" s="1039" t="s">
        <v>682</v>
      </c>
      <c r="E210" s="1040">
        <v>80111600</v>
      </c>
      <c r="F210" s="1026" t="s">
        <v>893</v>
      </c>
      <c r="G210" s="1041">
        <v>44566</v>
      </c>
      <c r="H210" s="1041">
        <v>44568</v>
      </c>
      <c r="I210" s="1054" t="s">
        <v>1464</v>
      </c>
      <c r="J210" s="1043" t="s">
        <v>1455</v>
      </c>
      <c r="K210" s="1027" t="s">
        <v>674</v>
      </c>
      <c r="L210" s="1029" t="s">
        <v>675</v>
      </c>
      <c r="M210" s="1030">
        <v>52900000</v>
      </c>
      <c r="N210" s="1044" t="s">
        <v>730</v>
      </c>
      <c r="O210" s="1056" t="s">
        <v>1456</v>
      </c>
      <c r="P210" s="1056"/>
      <c r="Q210" s="1027"/>
      <c r="R210" s="1022"/>
      <c r="S210" s="1130">
        <v>42</v>
      </c>
      <c r="T210" s="1156">
        <v>51750000</v>
      </c>
    </row>
    <row r="211" spans="1:20" s="995" customFormat="1" ht="62.5" x14ac:dyDescent="0.35">
      <c r="A211" s="1023">
        <v>2022205</v>
      </c>
      <c r="B211" s="1023">
        <v>7655</v>
      </c>
      <c r="C211" s="1023" t="s">
        <v>668</v>
      </c>
      <c r="D211" s="1039" t="s">
        <v>682</v>
      </c>
      <c r="E211" s="1040">
        <v>80111600</v>
      </c>
      <c r="F211" s="1026" t="s">
        <v>894</v>
      </c>
      <c r="G211" s="1041">
        <v>44566</v>
      </c>
      <c r="H211" s="1041">
        <v>44568</v>
      </c>
      <c r="I211" s="1054" t="s">
        <v>1457</v>
      </c>
      <c r="J211" s="1043" t="s">
        <v>1455</v>
      </c>
      <c r="K211" s="1027" t="s">
        <v>674</v>
      </c>
      <c r="L211" s="1029" t="s">
        <v>675</v>
      </c>
      <c r="M211" s="1030">
        <v>37080000</v>
      </c>
      <c r="N211" s="1044" t="s">
        <v>730</v>
      </c>
      <c r="O211" s="1056" t="s">
        <v>1456</v>
      </c>
      <c r="P211" s="1056"/>
      <c r="Q211" s="1027"/>
      <c r="R211" s="1022"/>
      <c r="S211" s="1130">
        <v>58</v>
      </c>
      <c r="T211" s="1156">
        <v>37080000</v>
      </c>
    </row>
    <row r="212" spans="1:20" s="995" customFormat="1" ht="62.5" x14ac:dyDescent="0.35">
      <c r="A212" s="1023">
        <v>2022206</v>
      </c>
      <c r="B212" s="1023">
        <v>7655</v>
      </c>
      <c r="C212" s="1023" t="s">
        <v>668</v>
      </c>
      <c r="D212" s="1039" t="s">
        <v>682</v>
      </c>
      <c r="E212" s="1040">
        <v>80111600</v>
      </c>
      <c r="F212" s="1026" t="s">
        <v>895</v>
      </c>
      <c r="G212" s="1041">
        <v>44566</v>
      </c>
      <c r="H212" s="1041">
        <v>44568</v>
      </c>
      <c r="I212" s="1054" t="s">
        <v>1457</v>
      </c>
      <c r="J212" s="1043" t="s">
        <v>1455</v>
      </c>
      <c r="K212" s="1027" t="s">
        <v>674</v>
      </c>
      <c r="L212" s="1029" t="s">
        <v>675</v>
      </c>
      <c r="M212" s="1030">
        <v>16800000</v>
      </c>
      <c r="N212" s="1044" t="s">
        <v>730</v>
      </c>
      <c r="O212" s="1056" t="s">
        <v>1456</v>
      </c>
      <c r="P212" s="1056"/>
      <c r="Q212" s="1027"/>
      <c r="R212" s="1022"/>
      <c r="S212" s="1130">
        <v>39</v>
      </c>
      <c r="T212" s="1156">
        <v>16800000</v>
      </c>
    </row>
    <row r="213" spans="1:20" s="995" customFormat="1" ht="62.5" x14ac:dyDescent="0.35">
      <c r="A213" s="1023">
        <v>2022207</v>
      </c>
      <c r="B213" s="1023">
        <v>7655</v>
      </c>
      <c r="C213" s="1023" t="s">
        <v>668</v>
      </c>
      <c r="D213" s="1039" t="s">
        <v>682</v>
      </c>
      <c r="E213" s="1040">
        <v>80111600</v>
      </c>
      <c r="F213" s="1026" t="s">
        <v>896</v>
      </c>
      <c r="G213" s="1041">
        <v>44566</v>
      </c>
      <c r="H213" s="1041">
        <v>44568</v>
      </c>
      <c r="I213" s="1054" t="s">
        <v>1466</v>
      </c>
      <c r="J213" s="1043" t="s">
        <v>1455</v>
      </c>
      <c r="K213" s="1027" t="s">
        <v>674</v>
      </c>
      <c r="L213" s="1029" t="s">
        <v>675</v>
      </c>
      <c r="M213" s="1030">
        <v>17500000</v>
      </c>
      <c r="N213" s="1044" t="s">
        <v>730</v>
      </c>
      <c r="O213" s="1056" t="s">
        <v>1456</v>
      </c>
      <c r="P213" s="1056"/>
      <c r="Q213" s="1027"/>
      <c r="R213" s="1022"/>
      <c r="S213" s="1130">
        <v>64</v>
      </c>
      <c r="T213" s="1156">
        <v>17500000</v>
      </c>
    </row>
    <row r="214" spans="1:20" s="995" customFormat="1" ht="62.5" x14ac:dyDescent="0.35">
      <c r="A214" s="1023">
        <v>2022208</v>
      </c>
      <c r="B214" s="1023">
        <v>7655</v>
      </c>
      <c r="C214" s="1023" t="s">
        <v>668</v>
      </c>
      <c r="D214" s="1039" t="s">
        <v>671</v>
      </c>
      <c r="E214" s="1040">
        <v>80111600</v>
      </c>
      <c r="F214" s="1026" t="s">
        <v>897</v>
      </c>
      <c r="G214" s="1041" t="s">
        <v>1414</v>
      </c>
      <c r="H214" s="1028" t="s">
        <v>1414</v>
      </c>
      <c r="I214" s="1072" t="s">
        <v>1467</v>
      </c>
      <c r="J214" s="1043" t="s">
        <v>1455</v>
      </c>
      <c r="K214" s="1027" t="s">
        <v>674</v>
      </c>
      <c r="L214" s="1073" t="s">
        <v>675</v>
      </c>
      <c r="M214" s="1030">
        <v>106950000</v>
      </c>
      <c r="N214" s="1044" t="s">
        <v>730</v>
      </c>
      <c r="O214" s="1056" t="s">
        <v>1456</v>
      </c>
      <c r="P214" s="1056"/>
      <c r="Q214" s="1027"/>
      <c r="R214" s="1022"/>
      <c r="S214" s="1130">
        <v>351</v>
      </c>
      <c r="T214" s="1156">
        <v>102300000</v>
      </c>
    </row>
    <row r="215" spans="1:20" s="995" customFormat="1" ht="62.5" x14ac:dyDescent="0.35">
      <c r="A215" s="1023">
        <v>2022209</v>
      </c>
      <c r="B215" s="1023">
        <v>7655</v>
      </c>
      <c r="C215" s="1023" t="s">
        <v>668</v>
      </c>
      <c r="D215" s="1039" t="s">
        <v>671</v>
      </c>
      <c r="E215" s="1040">
        <v>80111600</v>
      </c>
      <c r="F215" s="1026" t="s">
        <v>898</v>
      </c>
      <c r="G215" s="1041" t="s">
        <v>1414</v>
      </c>
      <c r="H215" s="1028" t="s">
        <v>1414</v>
      </c>
      <c r="I215" s="1072" t="s">
        <v>1467</v>
      </c>
      <c r="J215" s="1043" t="s">
        <v>1455</v>
      </c>
      <c r="K215" s="1027" t="s">
        <v>674</v>
      </c>
      <c r="L215" s="1073" t="s">
        <v>675</v>
      </c>
      <c r="M215" s="1030">
        <v>97750000</v>
      </c>
      <c r="N215" s="1044" t="s">
        <v>730</v>
      </c>
      <c r="O215" s="1056" t="s">
        <v>1456</v>
      </c>
      <c r="P215" s="1056"/>
      <c r="Q215" s="1027"/>
      <c r="R215" s="1022"/>
      <c r="S215" s="1130">
        <v>443</v>
      </c>
      <c r="T215" s="1156">
        <v>93500000</v>
      </c>
    </row>
    <row r="216" spans="1:20" s="995" customFormat="1" ht="62.5" x14ac:dyDescent="0.35">
      <c r="A216" s="1023">
        <v>2022210</v>
      </c>
      <c r="B216" s="1023">
        <v>7655</v>
      </c>
      <c r="C216" s="1023" t="s">
        <v>668</v>
      </c>
      <c r="D216" s="1039" t="s">
        <v>671</v>
      </c>
      <c r="E216" s="1040">
        <v>80111600</v>
      </c>
      <c r="F216" s="1026" t="s">
        <v>899</v>
      </c>
      <c r="G216" s="1041" t="s">
        <v>1414</v>
      </c>
      <c r="H216" s="1028" t="s">
        <v>1414</v>
      </c>
      <c r="I216" s="1072" t="s">
        <v>1467</v>
      </c>
      <c r="J216" s="1043" t="s">
        <v>1455</v>
      </c>
      <c r="K216" s="1027" t="s">
        <v>674</v>
      </c>
      <c r="L216" s="1073" t="s">
        <v>675</v>
      </c>
      <c r="M216" s="1030">
        <v>92000000</v>
      </c>
      <c r="N216" s="1044" t="s">
        <v>730</v>
      </c>
      <c r="O216" s="1056" t="s">
        <v>1456</v>
      </c>
      <c r="P216" s="1056"/>
      <c r="Q216" s="1027"/>
      <c r="R216" s="1022"/>
      <c r="S216" s="1130">
        <v>126</v>
      </c>
      <c r="T216" s="1156">
        <v>68000000</v>
      </c>
    </row>
    <row r="217" spans="1:20" s="995" customFormat="1" ht="62.5" x14ac:dyDescent="0.35">
      <c r="A217" s="1023">
        <v>2022211</v>
      </c>
      <c r="B217" s="1023">
        <v>7655</v>
      </c>
      <c r="C217" s="1023" t="s">
        <v>668</v>
      </c>
      <c r="D217" s="1039" t="s">
        <v>671</v>
      </c>
      <c r="E217" s="1040">
        <v>80111600</v>
      </c>
      <c r="F217" s="1026" t="s">
        <v>900</v>
      </c>
      <c r="G217" s="1041" t="s">
        <v>1414</v>
      </c>
      <c r="H217" s="1028" t="s">
        <v>1414</v>
      </c>
      <c r="I217" s="1072" t="s">
        <v>1467</v>
      </c>
      <c r="J217" s="1043" t="s">
        <v>1455</v>
      </c>
      <c r="K217" s="1027" t="s">
        <v>674</v>
      </c>
      <c r="L217" s="1073" t="s">
        <v>675</v>
      </c>
      <c r="M217" s="1030">
        <v>80500000</v>
      </c>
      <c r="N217" s="1044" t="s">
        <v>730</v>
      </c>
      <c r="O217" s="1056" t="s">
        <v>1456</v>
      </c>
      <c r="P217" s="1056"/>
      <c r="Q217" s="1027"/>
      <c r="R217" s="1022"/>
      <c r="S217" s="1130">
        <v>454</v>
      </c>
      <c r="T217" s="1156">
        <v>77000000</v>
      </c>
    </row>
    <row r="218" spans="1:20" s="995" customFormat="1" ht="62.5" x14ac:dyDescent="0.35">
      <c r="A218" s="1023">
        <v>2022212</v>
      </c>
      <c r="B218" s="1023">
        <v>7655</v>
      </c>
      <c r="C218" s="1023" t="s">
        <v>668</v>
      </c>
      <c r="D218" s="1039" t="s">
        <v>671</v>
      </c>
      <c r="E218" s="1040">
        <v>80111600</v>
      </c>
      <c r="F218" s="1026" t="s">
        <v>901</v>
      </c>
      <c r="G218" s="1041" t="s">
        <v>1414</v>
      </c>
      <c r="H218" s="1028" t="s">
        <v>1414</v>
      </c>
      <c r="I218" s="1072" t="s">
        <v>1467</v>
      </c>
      <c r="J218" s="1043" t="s">
        <v>1455</v>
      </c>
      <c r="K218" s="1027" t="s">
        <v>674</v>
      </c>
      <c r="L218" s="1073" t="s">
        <v>782</v>
      </c>
      <c r="M218" s="1030">
        <v>92000000</v>
      </c>
      <c r="N218" s="1044" t="s">
        <v>730</v>
      </c>
      <c r="O218" s="1056" t="s">
        <v>1456</v>
      </c>
      <c r="P218" s="1056"/>
      <c r="Q218" s="1027"/>
      <c r="R218" s="1022"/>
      <c r="S218" s="1130">
        <v>396</v>
      </c>
      <c r="T218" s="1156">
        <v>64000000</v>
      </c>
    </row>
    <row r="219" spans="1:20" s="995" customFormat="1" ht="62.5" x14ac:dyDescent="0.35">
      <c r="A219" s="1023">
        <v>2022213</v>
      </c>
      <c r="B219" s="1023">
        <v>7655</v>
      </c>
      <c r="C219" s="1023" t="s">
        <v>668</v>
      </c>
      <c r="D219" s="1039" t="s">
        <v>671</v>
      </c>
      <c r="E219" s="1040">
        <v>80111600</v>
      </c>
      <c r="F219" s="1026" t="s">
        <v>902</v>
      </c>
      <c r="G219" s="1041" t="s">
        <v>1414</v>
      </c>
      <c r="H219" s="1028" t="s">
        <v>1414</v>
      </c>
      <c r="I219" s="1072" t="s">
        <v>1467</v>
      </c>
      <c r="J219" s="1043" t="s">
        <v>1455</v>
      </c>
      <c r="K219" s="1027" t="s">
        <v>674</v>
      </c>
      <c r="L219" s="1073" t="s">
        <v>782</v>
      </c>
      <c r="M219" s="1030">
        <v>51750000</v>
      </c>
      <c r="N219" s="1044" t="s">
        <v>730</v>
      </c>
      <c r="O219" s="1056" t="s">
        <v>1456</v>
      </c>
      <c r="P219" s="1056"/>
      <c r="Q219" s="1027"/>
      <c r="R219" s="1022"/>
      <c r="S219" s="1130">
        <v>354</v>
      </c>
      <c r="T219" s="1156">
        <v>49500000</v>
      </c>
    </row>
    <row r="220" spans="1:20" s="995" customFormat="1" ht="75" x14ac:dyDescent="0.35">
      <c r="A220" s="1023">
        <v>2022214</v>
      </c>
      <c r="B220" s="1023">
        <v>7655</v>
      </c>
      <c r="C220" s="1023" t="s">
        <v>668</v>
      </c>
      <c r="D220" s="1039" t="s">
        <v>671</v>
      </c>
      <c r="E220" s="1040">
        <v>80111600</v>
      </c>
      <c r="F220" s="1026" t="s">
        <v>903</v>
      </c>
      <c r="G220" s="1041" t="s">
        <v>1414</v>
      </c>
      <c r="H220" s="1028" t="s">
        <v>1414</v>
      </c>
      <c r="I220" s="1072" t="s">
        <v>1468</v>
      </c>
      <c r="J220" s="1043" t="s">
        <v>1455</v>
      </c>
      <c r="K220" s="1027" t="s">
        <v>674</v>
      </c>
      <c r="L220" s="1073" t="s">
        <v>675</v>
      </c>
      <c r="M220" s="1030">
        <f>4500000*10.6666666</f>
        <v>47999999.699999996</v>
      </c>
      <c r="N220" s="1044" t="s">
        <v>730</v>
      </c>
      <c r="O220" s="1056" t="s">
        <v>1456</v>
      </c>
      <c r="P220" s="1056"/>
      <c r="Q220" s="1027"/>
      <c r="R220" s="1022"/>
      <c r="S220" s="1130">
        <v>470</v>
      </c>
      <c r="T220" s="1156">
        <v>36000000</v>
      </c>
    </row>
    <row r="221" spans="1:20" s="995" customFormat="1" ht="62.5" x14ac:dyDescent="0.35">
      <c r="A221" s="1023">
        <v>2022215</v>
      </c>
      <c r="B221" s="1023">
        <v>7655</v>
      </c>
      <c r="C221" s="1023" t="s">
        <v>668</v>
      </c>
      <c r="D221" s="1039" t="s">
        <v>671</v>
      </c>
      <c r="E221" s="1040">
        <v>80111600</v>
      </c>
      <c r="F221" s="1026" t="s">
        <v>904</v>
      </c>
      <c r="G221" s="1041" t="s">
        <v>1414</v>
      </c>
      <c r="H221" s="1028" t="s">
        <v>1414</v>
      </c>
      <c r="I221" s="1072" t="s">
        <v>1467</v>
      </c>
      <c r="J221" s="1043" t="s">
        <v>1455</v>
      </c>
      <c r="K221" s="1027" t="s">
        <v>674</v>
      </c>
      <c r="L221" s="1073" t="s">
        <v>675</v>
      </c>
      <c r="M221" s="1030">
        <v>57500000</v>
      </c>
      <c r="N221" s="1044" t="s">
        <v>730</v>
      </c>
      <c r="O221" s="1056" t="s">
        <v>1456</v>
      </c>
      <c r="P221" s="1056"/>
      <c r="Q221" s="1027"/>
      <c r="R221" s="1022"/>
      <c r="S221" s="1130">
        <v>466</v>
      </c>
      <c r="T221" s="1156">
        <v>40000000</v>
      </c>
    </row>
    <row r="222" spans="1:20" s="995" customFormat="1" ht="87.5" x14ac:dyDescent="0.35">
      <c r="A222" s="1023">
        <v>2022216</v>
      </c>
      <c r="B222" s="1023">
        <v>7655</v>
      </c>
      <c r="C222" s="1023" t="s">
        <v>668</v>
      </c>
      <c r="D222" s="1039" t="s">
        <v>671</v>
      </c>
      <c r="E222" s="1040">
        <v>80111600</v>
      </c>
      <c r="F222" s="1026" t="s">
        <v>905</v>
      </c>
      <c r="G222" s="1041" t="s">
        <v>1414</v>
      </c>
      <c r="H222" s="1028" t="s">
        <v>1414</v>
      </c>
      <c r="I222" s="1072" t="s">
        <v>1467</v>
      </c>
      <c r="J222" s="1043" t="s">
        <v>1455</v>
      </c>
      <c r="K222" s="1027" t="s">
        <v>674</v>
      </c>
      <c r="L222" s="1073" t="s">
        <v>675</v>
      </c>
      <c r="M222" s="1030">
        <v>80500000</v>
      </c>
      <c r="N222" s="1044" t="s">
        <v>730</v>
      </c>
      <c r="O222" s="1056" t="s">
        <v>1456</v>
      </c>
      <c r="P222" s="1056"/>
      <c r="Q222" s="1027"/>
      <c r="R222" s="1022"/>
      <c r="S222" s="1130">
        <v>232</v>
      </c>
      <c r="T222" s="1156">
        <v>77000000</v>
      </c>
    </row>
    <row r="223" spans="1:20" s="995" customFormat="1" ht="75" x14ac:dyDescent="0.35">
      <c r="A223" s="1023">
        <v>2022217</v>
      </c>
      <c r="B223" s="1023">
        <v>7655</v>
      </c>
      <c r="C223" s="1023" t="s">
        <v>668</v>
      </c>
      <c r="D223" s="1039" t="s">
        <v>671</v>
      </c>
      <c r="E223" s="1040">
        <v>80111600</v>
      </c>
      <c r="F223" s="1026" t="s">
        <v>906</v>
      </c>
      <c r="G223" s="1041" t="s">
        <v>1414</v>
      </c>
      <c r="H223" s="1028" t="s">
        <v>1414</v>
      </c>
      <c r="I223" s="1072" t="s">
        <v>1467</v>
      </c>
      <c r="J223" s="1043" t="s">
        <v>1455</v>
      </c>
      <c r="K223" s="1027" t="s">
        <v>674</v>
      </c>
      <c r="L223" s="1073" t="s">
        <v>675</v>
      </c>
      <c r="M223" s="1030">
        <v>57500000</v>
      </c>
      <c r="N223" s="1044" t="s">
        <v>730</v>
      </c>
      <c r="O223" s="1056" t="s">
        <v>1456</v>
      </c>
      <c r="P223" s="1056"/>
      <c r="Q223" s="1027"/>
      <c r="R223" s="1022"/>
      <c r="S223" s="1130">
        <v>294</v>
      </c>
      <c r="T223" s="1156">
        <v>55000000</v>
      </c>
    </row>
    <row r="224" spans="1:20" s="995" customFormat="1" ht="87.5" x14ac:dyDescent="0.35">
      <c r="A224" s="1023">
        <v>2022218</v>
      </c>
      <c r="B224" s="1023">
        <v>7655</v>
      </c>
      <c r="C224" s="1023" t="s">
        <v>668</v>
      </c>
      <c r="D224" s="1039" t="s">
        <v>671</v>
      </c>
      <c r="E224" s="1040">
        <v>80111600</v>
      </c>
      <c r="F224" s="1026" t="s">
        <v>907</v>
      </c>
      <c r="G224" s="1041" t="s">
        <v>1414</v>
      </c>
      <c r="H224" s="1028" t="s">
        <v>1414</v>
      </c>
      <c r="I224" s="1072" t="s">
        <v>1467</v>
      </c>
      <c r="J224" s="1043" t="s">
        <v>1455</v>
      </c>
      <c r="K224" s="1027" t="s">
        <v>674</v>
      </c>
      <c r="L224" s="1073" t="s">
        <v>675</v>
      </c>
      <c r="M224" s="1030">
        <v>57500000</v>
      </c>
      <c r="N224" s="1044" t="s">
        <v>730</v>
      </c>
      <c r="O224" s="1056" t="s">
        <v>1456</v>
      </c>
      <c r="P224" s="1056"/>
      <c r="Q224" s="1027"/>
      <c r="R224" s="1022"/>
      <c r="S224" s="1130">
        <v>395</v>
      </c>
      <c r="T224" s="1156">
        <v>36000000</v>
      </c>
    </row>
    <row r="225" spans="1:103" s="995" customFormat="1" ht="75" x14ac:dyDescent="0.35">
      <c r="A225" s="1023">
        <v>2022219</v>
      </c>
      <c r="B225" s="1023">
        <v>7655</v>
      </c>
      <c r="C225" s="1023" t="s">
        <v>668</v>
      </c>
      <c r="D225" s="1039" t="s">
        <v>671</v>
      </c>
      <c r="E225" s="1040">
        <v>80111600</v>
      </c>
      <c r="F225" s="1026" t="s">
        <v>908</v>
      </c>
      <c r="G225" s="1041" t="s">
        <v>1414</v>
      </c>
      <c r="H225" s="1028" t="s">
        <v>1414</v>
      </c>
      <c r="I225" s="1072" t="s">
        <v>1467</v>
      </c>
      <c r="J225" s="1043" t="s">
        <v>1455</v>
      </c>
      <c r="K225" s="1027" t="s">
        <v>674</v>
      </c>
      <c r="L225" s="1073" t="s">
        <v>675</v>
      </c>
      <c r="M225" s="1030">
        <v>57500000</v>
      </c>
      <c r="N225" s="1044" t="s">
        <v>730</v>
      </c>
      <c r="O225" s="1056" t="s">
        <v>1456</v>
      </c>
      <c r="P225" s="1056"/>
      <c r="Q225" s="1027"/>
      <c r="R225" s="1022"/>
      <c r="S225" s="1130">
        <v>350</v>
      </c>
      <c r="T225" s="1156">
        <v>40000000</v>
      </c>
    </row>
    <row r="226" spans="1:103" s="995" customFormat="1" ht="62.5" x14ac:dyDescent="0.35">
      <c r="A226" s="1023">
        <v>2022220</v>
      </c>
      <c r="B226" s="1023">
        <v>7655</v>
      </c>
      <c r="C226" s="1023" t="s">
        <v>668</v>
      </c>
      <c r="D226" s="1039" t="s">
        <v>671</v>
      </c>
      <c r="E226" s="1040">
        <v>80111600</v>
      </c>
      <c r="F226" s="1026" t="s">
        <v>909</v>
      </c>
      <c r="G226" s="1041" t="s">
        <v>1414</v>
      </c>
      <c r="H226" s="1028" t="s">
        <v>1414</v>
      </c>
      <c r="I226" s="1072" t="s">
        <v>1459</v>
      </c>
      <c r="J226" s="1043" t="s">
        <v>1455</v>
      </c>
      <c r="K226" s="1027" t="s">
        <v>674</v>
      </c>
      <c r="L226" s="1073" t="s">
        <v>675</v>
      </c>
      <c r="M226" s="1030">
        <f>10*4500000</f>
        <v>45000000</v>
      </c>
      <c r="N226" s="1044" t="s">
        <v>730</v>
      </c>
      <c r="O226" s="1056" t="s">
        <v>1456</v>
      </c>
      <c r="P226" s="1056"/>
      <c r="Q226" s="1027"/>
      <c r="R226" s="1022"/>
      <c r="S226" s="1130">
        <v>457</v>
      </c>
      <c r="T226" s="1156">
        <v>27000000</v>
      </c>
    </row>
    <row r="227" spans="1:103" s="995" customFormat="1" ht="62.5" x14ac:dyDescent="0.35">
      <c r="A227" s="1023">
        <v>2022221</v>
      </c>
      <c r="B227" s="1023">
        <v>7655</v>
      </c>
      <c r="C227" s="1023" t="s">
        <v>668</v>
      </c>
      <c r="D227" s="1039" t="s">
        <v>671</v>
      </c>
      <c r="E227" s="1040">
        <v>80111600</v>
      </c>
      <c r="F227" s="1026" t="s">
        <v>910</v>
      </c>
      <c r="G227" s="1041" t="s">
        <v>1414</v>
      </c>
      <c r="H227" s="1028" t="s">
        <v>1414</v>
      </c>
      <c r="I227" s="1072" t="s">
        <v>1467</v>
      </c>
      <c r="J227" s="1043" t="s">
        <v>1455</v>
      </c>
      <c r="K227" s="1027" t="s">
        <v>674</v>
      </c>
      <c r="L227" s="1073" t="s">
        <v>675</v>
      </c>
      <c r="M227" s="1030">
        <v>57500000</v>
      </c>
      <c r="N227" s="1044" t="s">
        <v>730</v>
      </c>
      <c r="O227" s="1056" t="s">
        <v>1456</v>
      </c>
      <c r="P227" s="1056"/>
      <c r="Q227" s="1027"/>
      <c r="R227" s="1022"/>
      <c r="S227" s="1130">
        <v>261</v>
      </c>
      <c r="T227" s="1156">
        <v>55000000</v>
      </c>
    </row>
    <row r="228" spans="1:103" s="995" customFormat="1" ht="62.5" x14ac:dyDescent="0.35">
      <c r="A228" s="1023">
        <v>2022222</v>
      </c>
      <c r="B228" s="1023">
        <v>7655</v>
      </c>
      <c r="C228" s="1023" t="s">
        <v>668</v>
      </c>
      <c r="D228" s="1039" t="s">
        <v>671</v>
      </c>
      <c r="E228" s="1040">
        <v>80111600</v>
      </c>
      <c r="F228" s="1026" t="s">
        <v>911</v>
      </c>
      <c r="G228" s="1041" t="s">
        <v>1414</v>
      </c>
      <c r="H228" s="1028" t="s">
        <v>1414</v>
      </c>
      <c r="I228" s="1072" t="s">
        <v>1467</v>
      </c>
      <c r="J228" s="1043" t="s">
        <v>1455</v>
      </c>
      <c r="K228" s="1027" t="s">
        <v>674</v>
      </c>
      <c r="L228" s="1073" t="s">
        <v>675</v>
      </c>
      <c r="M228" s="1030">
        <v>57500000</v>
      </c>
      <c r="N228" s="1044" t="s">
        <v>730</v>
      </c>
      <c r="O228" s="1056" t="s">
        <v>1456</v>
      </c>
      <c r="P228" s="1056"/>
      <c r="Q228" s="1027"/>
      <c r="R228" s="1022"/>
      <c r="S228" s="1130">
        <v>473</v>
      </c>
      <c r="T228" s="1156">
        <v>36000000</v>
      </c>
    </row>
    <row r="229" spans="1:103" s="995" customFormat="1" ht="62.5" x14ac:dyDescent="0.35">
      <c r="A229" s="1023">
        <v>2022223</v>
      </c>
      <c r="B229" s="1023">
        <v>7655</v>
      </c>
      <c r="C229" s="1023" t="s">
        <v>668</v>
      </c>
      <c r="D229" s="1039" t="s">
        <v>671</v>
      </c>
      <c r="E229" s="1040">
        <v>80111600</v>
      </c>
      <c r="F229" s="1026" t="s">
        <v>912</v>
      </c>
      <c r="G229" s="1041" t="s">
        <v>1414</v>
      </c>
      <c r="H229" s="1028" t="s">
        <v>1414</v>
      </c>
      <c r="I229" s="1072" t="s">
        <v>1467</v>
      </c>
      <c r="J229" s="1043" t="s">
        <v>1455</v>
      </c>
      <c r="K229" s="1027" t="s">
        <v>674</v>
      </c>
      <c r="L229" s="1073" t="s">
        <v>675</v>
      </c>
      <c r="M229" s="1030">
        <v>72450000</v>
      </c>
      <c r="N229" s="1044" t="s">
        <v>730</v>
      </c>
      <c r="O229" s="1056" t="s">
        <v>1456</v>
      </c>
      <c r="P229" s="1056"/>
      <c r="Q229" s="1027"/>
      <c r="R229" s="1022"/>
      <c r="S229" s="1130">
        <v>458</v>
      </c>
      <c r="T229" s="1156">
        <v>69300000</v>
      </c>
    </row>
    <row r="230" spans="1:103" s="995" customFormat="1" ht="62.5" x14ac:dyDescent="0.35">
      <c r="A230" s="1023">
        <v>2022224</v>
      </c>
      <c r="B230" s="1023">
        <v>7655</v>
      </c>
      <c r="C230" s="1023" t="s">
        <v>668</v>
      </c>
      <c r="D230" s="1039" t="s">
        <v>671</v>
      </c>
      <c r="E230" s="1040">
        <v>80111600</v>
      </c>
      <c r="F230" s="1026" t="s">
        <v>913</v>
      </c>
      <c r="G230" s="1041" t="s">
        <v>1414</v>
      </c>
      <c r="H230" s="1028" t="s">
        <v>1414</v>
      </c>
      <c r="I230" s="1072" t="s">
        <v>1467</v>
      </c>
      <c r="J230" s="1043" t="s">
        <v>1455</v>
      </c>
      <c r="K230" s="1027" t="s">
        <v>674</v>
      </c>
      <c r="L230" s="1073" t="s">
        <v>675</v>
      </c>
      <c r="M230" s="1030">
        <v>59800000</v>
      </c>
      <c r="N230" s="1044" t="s">
        <v>730</v>
      </c>
      <c r="O230" s="1056" t="s">
        <v>1456</v>
      </c>
      <c r="P230" s="1056"/>
      <c r="Q230" s="1027"/>
      <c r="R230" s="1022"/>
      <c r="S230" s="1130">
        <v>426</v>
      </c>
      <c r="T230" s="1156">
        <v>57200000</v>
      </c>
    </row>
    <row r="231" spans="1:103" s="995" customFormat="1" ht="62.5" x14ac:dyDescent="0.35">
      <c r="A231" s="1023">
        <v>2022225</v>
      </c>
      <c r="B231" s="1023">
        <v>7655</v>
      </c>
      <c r="C231" s="1023" t="s">
        <v>668</v>
      </c>
      <c r="D231" s="1039" t="s">
        <v>671</v>
      </c>
      <c r="E231" s="1040">
        <v>80111600</v>
      </c>
      <c r="F231" s="1026" t="s">
        <v>914</v>
      </c>
      <c r="G231" s="1041" t="s">
        <v>1414</v>
      </c>
      <c r="H231" s="1028" t="s">
        <v>1414</v>
      </c>
      <c r="I231" s="1072" t="s">
        <v>1469</v>
      </c>
      <c r="J231" s="1043" t="s">
        <v>1455</v>
      </c>
      <c r="K231" s="1027" t="s">
        <v>674</v>
      </c>
      <c r="L231" s="1073" t="s">
        <v>675</v>
      </c>
      <c r="M231" s="1030">
        <v>57000000</v>
      </c>
      <c r="N231" s="1044" t="s">
        <v>730</v>
      </c>
      <c r="O231" s="1056" t="s">
        <v>1456</v>
      </c>
      <c r="P231" s="1056"/>
      <c r="Q231" s="1027"/>
      <c r="R231" s="1022"/>
      <c r="S231" s="1130">
        <v>456</v>
      </c>
      <c r="T231" s="1156">
        <v>40000000</v>
      </c>
    </row>
    <row r="232" spans="1:103" s="995" customFormat="1" ht="62.5" x14ac:dyDescent="0.35">
      <c r="A232" s="1013">
        <v>2022226</v>
      </c>
      <c r="B232" s="1013">
        <v>7655</v>
      </c>
      <c r="C232" s="1013" t="s">
        <v>668</v>
      </c>
      <c r="D232" s="1045" t="s">
        <v>671</v>
      </c>
      <c r="E232" s="1046">
        <v>80111600</v>
      </c>
      <c r="F232" s="1074" t="s">
        <v>915</v>
      </c>
      <c r="G232" s="1075"/>
      <c r="H232" s="1075"/>
      <c r="I232" s="1019"/>
      <c r="J232" s="1049" t="s">
        <v>1455</v>
      </c>
      <c r="K232" s="1017" t="s">
        <v>674</v>
      </c>
      <c r="L232" s="1076" t="s">
        <v>675</v>
      </c>
      <c r="M232" s="1077">
        <v>13800000</v>
      </c>
      <c r="N232" s="1050" t="s">
        <v>730</v>
      </c>
      <c r="O232" s="1061" t="s">
        <v>1456</v>
      </c>
      <c r="P232" s="1061"/>
      <c r="Q232" s="1017"/>
      <c r="R232" s="1022"/>
      <c r="S232" s="1130"/>
      <c r="T232" s="1156"/>
    </row>
    <row r="233" spans="1:103" s="995" customFormat="1" ht="75" x14ac:dyDescent="0.35">
      <c r="A233" s="1023">
        <v>2022227</v>
      </c>
      <c r="B233" s="1023">
        <v>7655</v>
      </c>
      <c r="C233" s="1023" t="s">
        <v>668</v>
      </c>
      <c r="D233" s="1039" t="s">
        <v>669</v>
      </c>
      <c r="E233" s="1040">
        <v>80111600</v>
      </c>
      <c r="F233" s="1068" t="s">
        <v>916</v>
      </c>
      <c r="G233" s="1078" t="s">
        <v>1414</v>
      </c>
      <c r="H233" s="1054" t="s">
        <v>1414</v>
      </c>
      <c r="I233" s="1079" t="s">
        <v>1470</v>
      </c>
      <c r="J233" s="1043" t="s">
        <v>1455</v>
      </c>
      <c r="K233" s="1027" t="s">
        <v>674</v>
      </c>
      <c r="L233" s="1073" t="s">
        <v>675</v>
      </c>
      <c r="M233" s="1030">
        <v>29920000</v>
      </c>
      <c r="N233" s="1044" t="s">
        <v>730</v>
      </c>
      <c r="O233" s="1056" t="s">
        <v>1456</v>
      </c>
      <c r="P233" s="1056"/>
      <c r="Q233" s="1027"/>
      <c r="R233" s="1022"/>
      <c r="S233" s="1130">
        <v>150</v>
      </c>
      <c r="T233" s="1156">
        <v>27000000</v>
      </c>
    </row>
    <row r="234" spans="1:103" s="995" customFormat="1" ht="62.5" x14ac:dyDescent="0.35">
      <c r="A234" s="1023">
        <v>2022228</v>
      </c>
      <c r="B234" s="1023">
        <v>7655</v>
      </c>
      <c r="C234" s="1023" t="s">
        <v>668</v>
      </c>
      <c r="D234" s="1039" t="s">
        <v>669</v>
      </c>
      <c r="E234" s="1040">
        <v>80111600</v>
      </c>
      <c r="F234" s="1068" t="s">
        <v>917</v>
      </c>
      <c r="G234" s="1078" t="s">
        <v>1414</v>
      </c>
      <c r="H234" s="1054" t="s">
        <v>1414</v>
      </c>
      <c r="I234" s="1079" t="s">
        <v>1470</v>
      </c>
      <c r="J234" s="1043" t="s">
        <v>1455</v>
      </c>
      <c r="K234" s="1027" t="s">
        <v>674</v>
      </c>
      <c r="L234" s="1073" t="s">
        <v>675</v>
      </c>
      <c r="M234" s="1030">
        <v>30800000</v>
      </c>
      <c r="N234" s="1044" t="s">
        <v>730</v>
      </c>
      <c r="O234" s="1056" t="s">
        <v>1456</v>
      </c>
      <c r="P234" s="1056"/>
      <c r="Q234" s="1027"/>
      <c r="R234" s="1022"/>
      <c r="S234" s="1130">
        <v>161</v>
      </c>
      <c r="T234" s="1156">
        <v>30800000</v>
      </c>
    </row>
    <row r="235" spans="1:103" s="995" customFormat="1" ht="75" x14ac:dyDescent="0.35">
      <c r="A235" s="1023">
        <v>2022229</v>
      </c>
      <c r="B235" s="1023">
        <v>7655</v>
      </c>
      <c r="C235" s="1023" t="s">
        <v>668</v>
      </c>
      <c r="D235" s="1039" t="s">
        <v>669</v>
      </c>
      <c r="E235" s="1040">
        <v>80111600</v>
      </c>
      <c r="F235" s="1068" t="s">
        <v>918</v>
      </c>
      <c r="G235" s="1078" t="s">
        <v>1414</v>
      </c>
      <c r="H235" s="1054" t="s">
        <v>1414</v>
      </c>
      <c r="I235" s="1079" t="s">
        <v>1470</v>
      </c>
      <c r="J235" s="1043" t="s">
        <v>1455</v>
      </c>
      <c r="K235" s="1027" t="s">
        <v>674</v>
      </c>
      <c r="L235" s="1073" t="s">
        <v>675</v>
      </c>
      <c r="M235" s="1030">
        <v>78320000</v>
      </c>
      <c r="N235" s="1044" t="s">
        <v>730</v>
      </c>
      <c r="O235" s="1056" t="s">
        <v>1456</v>
      </c>
      <c r="P235" s="1056"/>
      <c r="Q235" s="1027"/>
      <c r="R235" s="1022"/>
      <c r="S235" s="1130">
        <v>67</v>
      </c>
      <c r="T235" s="1156">
        <v>42720000</v>
      </c>
    </row>
    <row r="236" spans="1:103" s="1034" customFormat="1" ht="75" x14ac:dyDescent="0.35">
      <c r="A236" s="1131">
        <v>2022230</v>
      </c>
      <c r="B236" s="1131">
        <v>7655</v>
      </c>
      <c r="C236" s="1131" t="s">
        <v>668</v>
      </c>
      <c r="D236" s="1139" t="s">
        <v>669</v>
      </c>
      <c r="E236" s="1145">
        <v>80111600</v>
      </c>
      <c r="F236" s="1146" t="s">
        <v>919</v>
      </c>
      <c r="G236" s="1147" t="s">
        <v>1414</v>
      </c>
      <c r="H236" s="1148" t="s">
        <v>1414</v>
      </c>
      <c r="I236" s="1082" t="s">
        <v>1470</v>
      </c>
      <c r="J236" s="1143" t="s">
        <v>1455</v>
      </c>
      <c r="K236" s="1135" t="s">
        <v>674</v>
      </c>
      <c r="L236" s="1149" t="s">
        <v>675</v>
      </c>
      <c r="M236" s="1136">
        <v>102520000</v>
      </c>
      <c r="N236" s="1144" t="s">
        <v>730</v>
      </c>
      <c r="O236" s="1150" t="s">
        <v>1456</v>
      </c>
      <c r="P236" s="1150"/>
      <c r="Q236" s="1135"/>
      <c r="R236" s="1130">
        <v>53</v>
      </c>
      <c r="S236" s="1130"/>
      <c r="T236" s="1156"/>
      <c r="U236" s="995"/>
      <c r="V236" s="995"/>
      <c r="W236" s="995"/>
      <c r="X236" s="995"/>
      <c r="Y236" s="995"/>
      <c r="Z236" s="995"/>
      <c r="AA236" s="995"/>
      <c r="AB236" s="995"/>
      <c r="AC236" s="995"/>
      <c r="AD236" s="995"/>
      <c r="AE236" s="995"/>
      <c r="AF236" s="995"/>
      <c r="AG236" s="995"/>
      <c r="AH236" s="995"/>
      <c r="AI236" s="995"/>
      <c r="AJ236" s="995"/>
      <c r="AK236" s="995"/>
      <c r="AL236" s="995"/>
      <c r="AM236" s="995"/>
      <c r="AN236" s="995"/>
      <c r="AO236" s="995"/>
      <c r="AP236" s="995"/>
      <c r="AQ236" s="995"/>
      <c r="AR236" s="995"/>
      <c r="AS236" s="995"/>
      <c r="AT236" s="995"/>
      <c r="AU236" s="995"/>
      <c r="AV236" s="995"/>
      <c r="AW236" s="995"/>
      <c r="AX236" s="995"/>
      <c r="AY236" s="995"/>
      <c r="AZ236" s="995"/>
      <c r="BA236" s="995"/>
      <c r="BB236" s="995"/>
      <c r="BC236" s="995"/>
      <c r="BD236" s="995"/>
      <c r="BE236" s="995"/>
      <c r="BF236" s="995"/>
      <c r="BG236" s="995"/>
      <c r="BH236" s="995"/>
      <c r="BI236" s="995"/>
      <c r="BJ236" s="995"/>
      <c r="BK236" s="995"/>
      <c r="BL236" s="995"/>
      <c r="BM236" s="995"/>
      <c r="BN236" s="995"/>
      <c r="BO236" s="995"/>
      <c r="BP236" s="995"/>
      <c r="BQ236" s="995"/>
      <c r="BR236" s="995"/>
      <c r="BS236" s="995"/>
      <c r="BT236" s="995"/>
      <c r="BU236" s="995"/>
      <c r="BV236" s="995"/>
      <c r="BW236" s="995"/>
      <c r="BX236" s="995"/>
      <c r="BY236" s="995"/>
      <c r="BZ236" s="995"/>
      <c r="CA236" s="995"/>
      <c r="CB236" s="995"/>
      <c r="CC236" s="995"/>
      <c r="CD236" s="995"/>
      <c r="CE236" s="995"/>
      <c r="CF236" s="995"/>
      <c r="CG236" s="995"/>
      <c r="CH236" s="995"/>
      <c r="CI236" s="995"/>
      <c r="CJ236" s="995"/>
      <c r="CK236" s="995"/>
      <c r="CL236" s="995"/>
      <c r="CM236" s="995"/>
      <c r="CN236" s="995"/>
      <c r="CO236" s="995"/>
      <c r="CP236" s="995"/>
      <c r="CQ236" s="995"/>
      <c r="CR236" s="995"/>
      <c r="CS236" s="995"/>
      <c r="CT236" s="995"/>
      <c r="CU236" s="995"/>
      <c r="CV236" s="995"/>
      <c r="CW236" s="995"/>
      <c r="CX236" s="995"/>
      <c r="CY236" s="995"/>
    </row>
    <row r="237" spans="1:103" s="995" customFormat="1" ht="87.5" x14ac:dyDescent="0.35">
      <c r="A237" s="1023">
        <v>2022231</v>
      </c>
      <c r="B237" s="1023">
        <v>7655</v>
      </c>
      <c r="C237" s="1023" t="s">
        <v>668</v>
      </c>
      <c r="D237" s="1039" t="s">
        <v>669</v>
      </c>
      <c r="E237" s="1040">
        <v>80111600</v>
      </c>
      <c r="F237" s="1068" t="s">
        <v>920</v>
      </c>
      <c r="G237" s="1078" t="s">
        <v>1414</v>
      </c>
      <c r="H237" s="1054" t="s">
        <v>1414</v>
      </c>
      <c r="I237" s="1079" t="s">
        <v>1470</v>
      </c>
      <c r="J237" s="1043" t="s">
        <v>1455</v>
      </c>
      <c r="K237" s="1027" t="s">
        <v>674</v>
      </c>
      <c r="L237" s="1073" t="s">
        <v>675</v>
      </c>
      <c r="M237" s="1030">
        <f>101200000-8800000-19200000</f>
        <v>73200000</v>
      </c>
      <c r="N237" s="1044" t="s">
        <v>730</v>
      </c>
      <c r="O237" s="1056" t="s">
        <v>1456</v>
      </c>
      <c r="P237" s="1056"/>
      <c r="Q237" s="1027"/>
      <c r="R237" s="1022"/>
      <c r="S237" s="1130">
        <v>200</v>
      </c>
      <c r="T237" s="1156">
        <v>55200000</v>
      </c>
    </row>
    <row r="238" spans="1:103" s="995" customFormat="1" ht="62.5" x14ac:dyDescent="0.35">
      <c r="A238" s="1023">
        <v>2022232</v>
      </c>
      <c r="B238" s="1023">
        <v>7655</v>
      </c>
      <c r="C238" s="1023" t="s">
        <v>668</v>
      </c>
      <c r="D238" s="1039" t="s">
        <v>669</v>
      </c>
      <c r="E238" s="1040">
        <v>80111600</v>
      </c>
      <c r="F238" s="1068" t="s">
        <v>921</v>
      </c>
      <c r="G238" s="1078" t="s">
        <v>1414</v>
      </c>
      <c r="H238" s="1054" t="s">
        <v>1414</v>
      </c>
      <c r="I238" s="1079" t="s">
        <v>1470</v>
      </c>
      <c r="J238" s="1043" t="s">
        <v>1455</v>
      </c>
      <c r="K238" s="1027" t="s">
        <v>674</v>
      </c>
      <c r="L238" s="1073" t="s">
        <v>675</v>
      </c>
      <c r="M238" s="1030">
        <v>58080000</v>
      </c>
      <c r="N238" s="1044" t="s">
        <v>730</v>
      </c>
      <c r="O238" s="1056" t="s">
        <v>1456</v>
      </c>
      <c r="P238" s="1056"/>
      <c r="Q238" s="1027"/>
      <c r="R238" s="1022"/>
      <c r="S238" s="1130">
        <v>45</v>
      </c>
      <c r="T238" s="1156">
        <v>58080000</v>
      </c>
    </row>
    <row r="239" spans="1:103" s="995" customFormat="1" ht="100" x14ac:dyDescent="0.35">
      <c r="A239" s="1023">
        <v>2022233</v>
      </c>
      <c r="B239" s="1023">
        <v>7655</v>
      </c>
      <c r="C239" s="1023" t="s">
        <v>668</v>
      </c>
      <c r="D239" s="1039" t="s">
        <v>669</v>
      </c>
      <c r="E239" s="1040">
        <v>80111600</v>
      </c>
      <c r="F239" s="1026" t="s">
        <v>922</v>
      </c>
      <c r="G239" s="1078" t="s">
        <v>1414</v>
      </c>
      <c r="H239" s="1054" t="s">
        <v>1414</v>
      </c>
      <c r="I239" s="1079" t="s">
        <v>1470</v>
      </c>
      <c r="J239" s="1043" t="s">
        <v>1455</v>
      </c>
      <c r="K239" s="1027" t="s">
        <v>674</v>
      </c>
      <c r="L239" s="1073" t="s">
        <v>675</v>
      </c>
      <c r="M239" s="1030">
        <v>42350000</v>
      </c>
      <c r="N239" s="1044" t="s">
        <v>730</v>
      </c>
      <c r="O239" s="1056" t="s">
        <v>1456</v>
      </c>
      <c r="P239" s="1056"/>
      <c r="Q239" s="1027"/>
      <c r="R239" s="1022"/>
      <c r="S239" s="1130">
        <v>81</v>
      </c>
      <c r="T239" s="1156">
        <v>42350000</v>
      </c>
    </row>
    <row r="240" spans="1:103" s="995" customFormat="1" ht="62.5" x14ac:dyDescent="0.35">
      <c r="A240" s="1023">
        <v>2022234</v>
      </c>
      <c r="B240" s="1023">
        <v>7655</v>
      </c>
      <c r="C240" s="1023" t="s">
        <v>668</v>
      </c>
      <c r="D240" s="1039" t="s">
        <v>669</v>
      </c>
      <c r="E240" s="1040">
        <v>80111600</v>
      </c>
      <c r="F240" s="1068" t="s">
        <v>923</v>
      </c>
      <c r="G240" s="1078" t="s">
        <v>1414</v>
      </c>
      <c r="H240" s="1054" t="s">
        <v>1414</v>
      </c>
      <c r="I240" s="1079" t="s">
        <v>1417</v>
      </c>
      <c r="J240" s="1043" t="s">
        <v>1455</v>
      </c>
      <c r="K240" s="1027" t="s">
        <v>674</v>
      </c>
      <c r="L240" s="1080" t="s">
        <v>675</v>
      </c>
      <c r="M240" s="1030">
        <v>39600000</v>
      </c>
      <c r="N240" s="1044" t="s">
        <v>730</v>
      </c>
      <c r="O240" s="1056" t="s">
        <v>1456</v>
      </c>
      <c r="P240" s="1056"/>
      <c r="Q240" s="1027"/>
      <c r="R240" s="1022"/>
      <c r="S240" s="1130">
        <v>332</v>
      </c>
      <c r="T240" s="1156">
        <v>13800000</v>
      </c>
    </row>
    <row r="241" spans="1:20" s="995" customFormat="1" ht="62.5" x14ac:dyDescent="0.35">
      <c r="A241" s="1023">
        <v>2022235</v>
      </c>
      <c r="B241" s="1023">
        <v>7655</v>
      </c>
      <c r="C241" s="1023" t="s">
        <v>668</v>
      </c>
      <c r="D241" s="1039" t="s">
        <v>669</v>
      </c>
      <c r="E241" s="1040">
        <v>80111600</v>
      </c>
      <c r="F241" s="1026" t="s">
        <v>924</v>
      </c>
      <c r="G241" s="1078" t="s">
        <v>1414</v>
      </c>
      <c r="H241" s="1054" t="s">
        <v>1414</v>
      </c>
      <c r="I241" s="1079" t="s">
        <v>1470</v>
      </c>
      <c r="J241" s="1043" t="s">
        <v>1455</v>
      </c>
      <c r="K241" s="1027" t="s">
        <v>674</v>
      </c>
      <c r="L241" s="1073" t="s">
        <v>675</v>
      </c>
      <c r="M241" s="1030">
        <v>39600000</v>
      </c>
      <c r="N241" s="1044" t="s">
        <v>730</v>
      </c>
      <c r="O241" s="1056" t="s">
        <v>1456</v>
      </c>
      <c r="P241" s="1056"/>
      <c r="Q241" s="1027"/>
      <c r="R241" s="1022"/>
      <c r="S241" s="1130">
        <v>164</v>
      </c>
      <c r="T241" s="1156">
        <v>39600000</v>
      </c>
    </row>
    <row r="242" spans="1:20" s="995" customFormat="1" ht="62.5" x14ac:dyDescent="0.35">
      <c r="A242" s="1013">
        <v>2022237</v>
      </c>
      <c r="B242" s="1013">
        <v>7655</v>
      </c>
      <c r="C242" s="1013" t="s">
        <v>668</v>
      </c>
      <c r="D242" s="1045" t="s">
        <v>669</v>
      </c>
      <c r="E242" s="1046">
        <v>80111600</v>
      </c>
      <c r="F242" s="1016" t="s">
        <v>1471</v>
      </c>
      <c r="G242" s="1081" t="s">
        <v>1414</v>
      </c>
      <c r="H242" s="1059" t="s">
        <v>1414</v>
      </c>
      <c r="I242" s="1082" t="s">
        <v>1470</v>
      </c>
      <c r="J242" s="1049" t="s">
        <v>1455</v>
      </c>
      <c r="K242" s="1017" t="s">
        <v>674</v>
      </c>
      <c r="L242" s="1076" t="s">
        <v>675</v>
      </c>
      <c r="M242" s="1020">
        <v>48735000</v>
      </c>
      <c r="N242" s="1050" t="s">
        <v>730</v>
      </c>
      <c r="O242" s="1061" t="s">
        <v>1456</v>
      </c>
      <c r="P242" s="1061"/>
      <c r="Q242" s="1017"/>
      <c r="R242" s="1022"/>
      <c r="S242" s="1130"/>
      <c r="T242" s="1156"/>
    </row>
    <row r="243" spans="1:20" s="995" customFormat="1" ht="62.5" x14ac:dyDescent="0.35">
      <c r="A243" s="1023">
        <v>2022238</v>
      </c>
      <c r="B243" s="1023">
        <v>7655</v>
      </c>
      <c r="C243" s="1023" t="s">
        <v>668</v>
      </c>
      <c r="D243" s="1039" t="s">
        <v>669</v>
      </c>
      <c r="E243" s="1040">
        <v>80111600</v>
      </c>
      <c r="F243" s="1068" t="s">
        <v>927</v>
      </c>
      <c r="G243" s="1078" t="s">
        <v>1414</v>
      </c>
      <c r="H243" s="1054" t="s">
        <v>1414</v>
      </c>
      <c r="I243" s="1079" t="s">
        <v>1470</v>
      </c>
      <c r="J243" s="1043" t="s">
        <v>1455</v>
      </c>
      <c r="K243" s="1027" t="s">
        <v>674</v>
      </c>
      <c r="L243" s="1073" t="s">
        <v>675</v>
      </c>
      <c r="M243" s="1030">
        <f>44000000+8800000</f>
        <v>52800000</v>
      </c>
      <c r="N243" s="1044" t="s">
        <v>730</v>
      </c>
      <c r="O243" s="1056" t="s">
        <v>1456</v>
      </c>
      <c r="P243" s="1056"/>
      <c r="Q243" s="1027"/>
      <c r="R243" s="1022"/>
      <c r="S243" s="1130">
        <v>435</v>
      </c>
      <c r="T243" s="1156">
        <v>28800000</v>
      </c>
    </row>
    <row r="244" spans="1:20" s="995" customFormat="1" ht="62.5" x14ac:dyDescent="0.35">
      <c r="A244" s="1023">
        <v>2022239</v>
      </c>
      <c r="B244" s="1023">
        <v>7655</v>
      </c>
      <c r="C244" s="1023" t="s">
        <v>668</v>
      </c>
      <c r="D244" s="1039" t="s">
        <v>1472</v>
      </c>
      <c r="E244" s="1040">
        <v>80111600</v>
      </c>
      <c r="F244" s="1068" t="s">
        <v>928</v>
      </c>
      <c r="G244" s="1078" t="s">
        <v>1414</v>
      </c>
      <c r="H244" s="1078" t="s">
        <v>1414</v>
      </c>
      <c r="I244" s="1079" t="s">
        <v>1470</v>
      </c>
      <c r="J244" s="1043" t="s">
        <v>1455</v>
      </c>
      <c r="K244" s="1027" t="s">
        <v>674</v>
      </c>
      <c r="L244" s="1073" t="s">
        <v>675</v>
      </c>
      <c r="M244" s="1030">
        <v>102520000</v>
      </c>
      <c r="N244" s="1044" t="s">
        <v>730</v>
      </c>
      <c r="O244" s="1056" t="s">
        <v>1456</v>
      </c>
      <c r="P244" s="1056"/>
      <c r="Q244" s="1027"/>
      <c r="R244" s="1022"/>
      <c r="S244" s="1130">
        <v>158</v>
      </c>
      <c r="T244" s="1156">
        <v>102520000</v>
      </c>
    </row>
    <row r="245" spans="1:20" s="995" customFormat="1" ht="87.5" x14ac:dyDescent="0.35">
      <c r="A245" s="1023">
        <v>2022240</v>
      </c>
      <c r="B245" s="1023">
        <v>7655</v>
      </c>
      <c r="C245" s="1023" t="s">
        <v>668</v>
      </c>
      <c r="D245" s="1039" t="s">
        <v>1472</v>
      </c>
      <c r="E245" s="1040">
        <v>80111600</v>
      </c>
      <c r="F245" s="1068" t="s">
        <v>929</v>
      </c>
      <c r="G245" s="1078" t="s">
        <v>1414</v>
      </c>
      <c r="H245" s="1078" t="s">
        <v>1414</v>
      </c>
      <c r="I245" s="1079" t="s">
        <v>1470</v>
      </c>
      <c r="J245" s="1043" t="s">
        <v>1455</v>
      </c>
      <c r="K245" s="1027" t="s">
        <v>674</v>
      </c>
      <c r="L245" s="1073" t="s">
        <v>675</v>
      </c>
      <c r="M245" s="1030">
        <v>90200000</v>
      </c>
      <c r="N245" s="1044" t="s">
        <v>730</v>
      </c>
      <c r="O245" s="1056" t="s">
        <v>1456</v>
      </c>
      <c r="P245" s="1056"/>
      <c r="Q245" s="1027"/>
      <c r="R245" s="1022"/>
      <c r="S245" s="1130">
        <v>44</v>
      </c>
      <c r="T245" s="1156">
        <v>90200000</v>
      </c>
    </row>
    <row r="246" spans="1:20" s="995" customFormat="1" ht="75" x14ac:dyDescent="0.35">
      <c r="A246" s="1023">
        <v>2022241</v>
      </c>
      <c r="B246" s="1023">
        <v>7655</v>
      </c>
      <c r="C246" s="1023" t="s">
        <v>668</v>
      </c>
      <c r="D246" s="1039" t="s">
        <v>1472</v>
      </c>
      <c r="E246" s="1040">
        <v>80111600</v>
      </c>
      <c r="F246" s="1068" t="s">
        <v>930</v>
      </c>
      <c r="G246" s="1078" t="s">
        <v>1414</v>
      </c>
      <c r="H246" s="1078" t="s">
        <v>1414</v>
      </c>
      <c r="I246" s="1079" t="s">
        <v>1470</v>
      </c>
      <c r="J246" s="1043" t="s">
        <v>1455</v>
      </c>
      <c r="K246" s="1027" t="s">
        <v>674</v>
      </c>
      <c r="L246" s="1073" t="s">
        <v>675</v>
      </c>
      <c r="M246" s="1030">
        <v>82500000</v>
      </c>
      <c r="N246" s="1044" t="s">
        <v>730</v>
      </c>
      <c r="O246" s="1056" t="s">
        <v>1456</v>
      </c>
      <c r="P246" s="1056"/>
      <c r="Q246" s="1027"/>
      <c r="R246" s="1022"/>
      <c r="S246" s="1130">
        <v>244</v>
      </c>
      <c r="T246" s="1156">
        <v>82500000</v>
      </c>
    </row>
    <row r="247" spans="1:20" s="995" customFormat="1" ht="75" x14ac:dyDescent="0.35">
      <c r="A247" s="1023">
        <v>2022242</v>
      </c>
      <c r="B247" s="1023">
        <v>7655</v>
      </c>
      <c r="C247" s="1023" t="s">
        <v>668</v>
      </c>
      <c r="D247" s="1039" t="s">
        <v>1472</v>
      </c>
      <c r="E247" s="1040">
        <v>80111600</v>
      </c>
      <c r="F247" s="1068" t="s">
        <v>931</v>
      </c>
      <c r="G247" s="1078" t="s">
        <v>1414</v>
      </c>
      <c r="H247" s="1078" t="s">
        <v>1414</v>
      </c>
      <c r="I247" s="1079" t="s">
        <v>1470</v>
      </c>
      <c r="J247" s="1043" t="s">
        <v>1455</v>
      </c>
      <c r="K247" s="1027" t="s">
        <v>674</v>
      </c>
      <c r="L247" s="1073" t="s">
        <v>675</v>
      </c>
      <c r="M247" s="1030">
        <v>50600000</v>
      </c>
      <c r="N247" s="1044" t="s">
        <v>730</v>
      </c>
      <c r="O247" s="1056" t="s">
        <v>1456</v>
      </c>
      <c r="P247" s="1056"/>
      <c r="Q247" s="1027"/>
      <c r="R247" s="1022"/>
      <c r="S247" s="1130">
        <v>249</v>
      </c>
      <c r="T247" s="1156">
        <v>50600000</v>
      </c>
    </row>
    <row r="248" spans="1:20" s="995" customFormat="1" ht="62.5" x14ac:dyDescent="0.35">
      <c r="A248" s="1023">
        <v>2022243</v>
      </c>
      <c r="B248" s="1023">
        <v>7655</v>
      </c>
      <c r="C248" s="1023" t="s">
        <v>668</v>
      </c>
      <c r="D248" s="1039" t="s">
        <v>1472</v>
      </c>
      <c r="E248" s="1040">
        <v>80111600</v>
      </c>
      <c r="F248" s="1068" t="s">
        <v>932</v>
      </c>
      <c r="G248" s="1078" t="s">
        <v>1414</v>
      </c>
      <c r="H248" s="1078" t="s">
        <v>1414</v>
      </c>
      <c r="I248" s="1079" t="s">
        <v>1470</v>
      </c>
      <c r="J248" s="1043" t="s">
        <v>1455</v>
      </c>
      <c r="K248" s="1027" t="s">
        <v>674</v>
      </c>
      <c r="L248" s="1073" t="s">
        <v>675</v>
      </c>
      <c r="M248" s="1030">
        <v>35200000</v>
      </c>
      <c r="N248" s="1044" t="s">
        <v>730</v>
      </c>
      <c r="O248" s="1056" t="s">
        <v>1456</v>
      </c>
      <c r="P248" s="1056"/>
      <c r="Q248" s="1027"/>
      <c r="R248" s="1022"/>
      <c r="S248" s="1130">
        <v>376</v>
      </c>
      <c r="T248" s="1156">
        <v>30250000</v>
      </c>
    </row>
    <row r="249" spans="1:20" s="995" customFormat="1" ht="62.5" x14ac:dyDescent="0.35">
      <c r="A249" s="1023">
        <v>2022244</v>
      </c>
      <c r="B249" s="1023">
        <v>7655</v>
      </c>
      <c r="C249" s="1023" t="s">
        <v>668</v>
      </c>
      <c r="D249" s="1039" t="s">
        <v>1472</v>
      </c>
      <c r="E249" s="1040">
        <v>80111600</v>
      </c>
      <c r="F249" s="1068" t="s">
        <v>933</v>
      </c>
      <c r="G249" s="1078" t="s">
        <v>1414</v>
      </c>
      <c r="H249" s="1078" t="s">
        <v>1414</v>
      </c>
      <c r="I249" s="1079" t="s">
        <v>1470</v>
      </c>
      <c r="J249" s="1043" t="s">
        <v>1455</v>
      </c>
      <c r="K249" s="1027" t="s">
        <v>674</v>
      </c>
      <c r="L249" s="1073" t="s">
        <v>675</v>
      </c>
      <c r="M249" s="1030">
        <v>39050000</v>
      </c>
      <c r="N249" s="1044" t="s">
        <v>730</v>
      </c>
      <c r="O249" s="1056" t="s">
        <v>1456</v>
      </c>
      <c r="P249" s="1056"/>
      <c r="Q249" s="1027"/>
      <c r="R249" s="1022"/>
      <c r="S249" s="1130">
        <v>163</v>
      </c>
      <c r="T249" s="1156">
        <v>39050000</v>
      </c>
    </row>
    <row r="250" spans="1:20" s="995" customFormat="1" ht="62.5" x14ac:dyDescent="0.35">
      <c r="A250" s="1023">
        <v>2022245</v>
      </c>
      <c r="B250" s="1023">
        <v>7655</v>
      </c>
      <c r="C250" s="1023" t="s">
        <v>668</v>
      </c>
      <c r="D250" s="1039" t="s">
        <v>1472</v>
      </c>
      <c r="E250" s="1040">
        <v>80111600</v>
      </c>
      <c r="F250" s="1068" t="s">
        <v>934</v>
      </c>
      <c r="G250" s="1078" t="s">
        <v>1414</v>
      </c>
      <c r="H250" s="1078" t="s">
        <v>1414</v>
      </c>
      <c r="I250" s="1079" t="s">
        <v>1470</v>
      </c>
      <c r="J250" s="1043" t="s">
        <v>1455</v>
      </c>
      <c r="K250" s="1027" t="s">
        <v>674</v>
      </c>
      <c r="L250" s="1073" t="s">
        <v>675</v>
      </c>
      <c r="M250" s="1030">
        <v>39050000</v>
      </c>
      <c r="N250" s="1044" t="s">
        <v>730</v>
      </c>
      <c r="O250" s="1056" t="s">
        <v>1456</v>
      </c>
      <c r="P250" s="1056"/>
      <c r="Q250" s="1027"/>
      <c r="R250" s="1022"/>
      <c r="S250" s="1130">
        <v>160</v>
      </c>
      <c r="T250" s="1156">
        <v>39050000</v>
      </c>
    </row>
    <row r="251" spans="1:20" s="995" customFormat="1" ht="62.5" x14ac:dyDescent="0.35">
      <c r="A251" s="1023">
        <v>2022246</v>
      </c>
      <c r="B251" s="1023">
        <v>7655</v>
      </c>
      <c r="C251" s="1023" t="s">
        <v>668</v>
      </c>
      <c r="D251" s="1039" t="s">
        <v>1472</v>
      </c>
      <c r="E251" s="1040">
        <v>80111600</v>
      </c>
      <c r="F251" s="1068" t="s">
        <v>935</v>
      </c>
      <c r="G251" s="1078" t="s">
        <v>1414</v>
      </c>
      <c r="H251" s="1078" t="s">
        <v>1414</v>
      </c>
      <c r="I251" s="1079" t="s">
        <v>1470</v>
      </c>
      <c r="J251" s="1043" t="s">
        <v>1455</v>
      </c>
      <c r="K251" s="1027" t="s">
        <v>674</v>
      </c>
      <c r="L251" s="1073" t="s">
        <v>675</v>
      </c>
      <c r="M251" s="1030">
        <v>39050000</v>
      </c>
      <c r="N251" s="1044" t="s">
        <v>730</v>
      </c>
      <c r="O251" s="1056" t="s">
        <v>1456</v>
      </c>
      <c r="P251" s="1056"/>
      <c r="Q251" s="1027"/>
      <c r="R251" s="1022"/>
      <c r="S251" s="1130">
        <v>159</v>
      </c>
      <c r="T251" s="1156">
        <v>39050000</v>
      </c>
    </row>
    <row r="252" spans="1:20" s="995" customFormat="1" ht="75" x14ac:dyDescent="0.35">
      <c r="A252" s="1023">
        <v>2022247</v>
      </c>
      <c r="B252" s="1023">
        <v>7655</v>
      </c>
      <c r="C252" s="1023" t="s">
        <v>668</v>
      </c>
      <c r="D252" s="1039" t="s">
        <v>1472</v>
      </c>
      <c r="E252" s="1040">
        <v>80111600</v>
      </c>
      <c r="F252" s="1068" t="s">
        <v>936</v>
      </c>
      <c r="G252" s="1078" t="s">
        <v>1414</v>
      </c>
      <c r="H252" s="1078" t="s">
        <v>1414</v>
      </c>
      <c r="I252" s="1079" t="s">
        <v>1470</v>
      </c>
      <c r="J252" s="1043" t="s">
        <v>1455</v>
      </c>
      <c r="K252" s="1027" t="s">
        <v>674</v>
      </c>
      <c r="L252" s="1073" t="s">
        <v>675</v>
      </c>
      <c r="M252" s="1030">
        <v>30250000</v>
      </c>
      <c r="N252" s="1044" t="s">
        <v>730</v>
      </c>
      <c r="O252" s="1056" t="s">
        <v>1456</v>
      </c>
      <c r="P252" s="1056"/>
      <c r="Q252" s="1027"/>
      <c r="R252" s="1022"/>
      <c r="S252" s="1130">
        <v>96</v>
      </c>
      <c r="T252" s="1156">
        <v>30250000</v>
      </c>
    </row>
    <row r="253" spans="1:20" s="995" customFormat="1" ht="62.5" x14ac:dyDescent="0.35">
      <c r="A253" s="1023">
        <v>2022248</v>
      </c>
      <c r="B253" s="1023">
        <v>7655</v>
      </c>
      <c r="C253" s="1023" t="s">
        <v>668</v>
      </c>
      <c r="D253" s="1039" t="s">
        <v>1472</v>
      </c>
      <c r="E253" s="1040">
        <v>80111600</v>
      </c>
      <c r="F253" s="1068" t="s">
        <v>937</v>
      </c>
      <c r="G253" s="1078" t="s">
        <v>1414</v>
      </c>
      <c r="H253" s="1078" t="s">
        <v>1414</v>
      </c>
      <c r="I253" s="1079" t="s">
        <v>1470</v>
      </c>
      <c r="J253" s="1043" t="s">
        <v>1455</v>
      </c>
      <c r="K253" s="1027" t="s">
        <v>674</v>
      </c>
      <c r="L253" s="1073" t="s">
        <v>675</v>
      </c>
      <c r="M253" s="1030">
        <v>36850000</v>
      </c>
      <c r="N253" s="1044" t="s">
        <v>730</v>
      </c>
      <c r="O253" s="1056" t="s">
        <v>1456</v>
      </c>
      <c r="P253" s="1056"/>
      <c r="Q253" s="1027"/>
      <c r="R253" s="1022"/>
      <c r="S253" s="1130">
        <v>250</v>
      </c>
      <c r="T253" s="1156">
        <v>36850000</v>
      </c>
    </row>
    <row r="254" spans="1:20" s="995" customFormat="1" ht="62.5" x14ac:dyDescent="0.35">
      <c r="A254" s="1023">
        <v>2022249</v>
      </c>
      <c r="B254" s="1023">
        <v>7655</v>
      </c>
      <c r="C254" s="1023" t="s">
        <v>668</v>
      </c>
      <c r="D254" s="1039" t="s">
        <v>1472</v>
      </c>
      <c r="E254" s="1040">
        <v>80111600</v>
      </c>
      <c r="F254" s="1026" t="s">
        <v>938</v>
      </c>
      <c r="G254" s="1078" t="s">
        <v>1414</v>
      </c>
      <c r="H254" s="1054" t="s">
        <v>1414</v>
      </c>
      <c r="I254" s="1079" t="s">
        <v>1470</v>
      </c>
      <c r="J254" s="1043" t="s">
        <v>1455</v>
      </c>
      <c r="K254" s="1027" t="s">
        <v>674</v>
      </c>
      <c r="L254" s="1073" t="s">
        <v>675</v>
      </c>
      <c r="M254" s="1030">
        <v>38500000</v>
      </c>
      <c r="N254" s="1044" t="s">
        <v>730</v>
      </c>
      <c r="O254" s="1056" t="s">
        <v>1456</v>
      </c>
      <c r="P254" s="1056"/>
      <c r="Q254" s="1027"/>
      <c r="R254" s="1022"/>
      <c r="S254" s="1130">
        <v>162</v>
      </c>
      <c r="T254" s="1156">
        <v>38500000</v>
      </c>
    </row>
    <row r="255" spans="1:20" s="995" customFormat="1" ht="62.5" x14ac:dyDescent="0.35">
      <c r="A255" s="1023">
        <v>2022250</v>
      </c>
      <c r="B255" s="1023">
        <v>7655</v>
      </c>
      <c r="C255" s="1023" t="s">
        <v>668</v>
      </c>
      <c r="D255" s="1039" t="s">
        <v>1472</v>
      </c>
      <c r="E255" s="1040">
        <v>80111600</v>
      </c>
      <c r="F255" s="1068" t="s">
        <v>939</v>
      </c>
      <c r="G255" s="1078" t="s">
        <v>1414</v>
      </c>
      <c r="H255" s="1078" t="s">
        <v>1414</v>
      </c>
      <c r="I255" s="1079" t="s">
        <v>1470</v>
      </c>
      <c r="J255" s="1043" t="s">
        <v>1455</v>
      </c>
      <c r="K255" s="1027" t="s">
        <v>674</v>
      </c>
      <c r="L255" s="1073" t="s">
        <v>675</v>
      </c>
      <c r="M255" s="1030">
        <v>95700000</v>
      </c>
      <c r="N255" s="1044" t="s">
        <v>730</v>
      </c>
      <c r="O255" s="1056" t="s">
        <v>1456</v>
      </c>
      <c r="P255" s="1056"/>
      <c r="Q255" s="1027"/>
      <c r="R255" s="1022"/>
      <c r="S255" s="1130">
        <v>214</v>
      </c>
      <c r="T255" s="1156">
        <v>95700000</v>
      </c>
    </row>
    <row r="256" spans="1:20" s="995" customFormat="1" ht="87.5" x14ac:dyDescent="0.35">
      <c r="A256" s="1023">
        <v>2022251</v>
      </c>
      <c r="B256" s="1023">
        <v>7658</v>
      </c>
      <c r="C256" s="1023" t="s">
        <v>679</v>
      </c>
      <c r="D256" s="1039" t="s">
        <v>689</v>
      </c>
      <c r="E256" s="1040">
        <v>80111600</v>
      </c>
      <c r="F256" s="1026" t="s">
        <v>940</v>
      </c>
      <c r="G256" s="1041">
        <v>44575</v>
      </c>
      <c r="H256" s="1041">
        <v>44575</v>
      </c>
      <c r="I256" s="1042" t="s">
        <v>1454</v>
      </c>
      <c r="J256" s="1043" t="s">
        <v>1455</v>
      </c>
      <c r="K256" s="1027" t="s">
        <v>674</v>
      </c>
      <c r="L256" s="1029" t="s">
        <v>675</v>
      </c>
      <c r="M256" s="1030">
        <v>103500000</v>
      </c>
      <c r="N256" s="1083" t="s">
        <v>744</v>
      </c>
      <c r="O256" s="1083" t="s">
        <v>1473</v>
      </c>
      <c r="P256" s="1083"/>
      <c r="Q256" s="1027"/>
      <c r="R256" s="1022"/>
      <c r="S256" s="1130">
        <v>77</v>
      </c>
      <c r="T256" s="1156">
        <v>103500000</v>
      </c>
    </row>
    <row r="257" spans="1:20" s="995" customFormat="1" ht="87.5" x14ac:dyDescent="0.35">
      <c r="A257" s="1023">
        <v>2022253</v>
      </c>
      <c r="B257" s="1023">
        <v>7658</v>
      </c>
      <c r="C257" s="1023" t="s">
        <v>679</v>
      </c>
      <c r="D257" s="1039" t="s">
        <v>689</v>
      </c>
      <c r="E257" s="1040">
        <v>80111600</v>
      </c>
      <c r="F257" s="1026" t="s">
        <v>942</v>
      </c>
      <c r="G257" s="1041">
        <v>44575</v>
      </c>
      <c r="H257" s="1041">
        <v>44575</v>
      </c>
      <c r="I257" s="1042" t="s">
        <v>1454</v>
      </c>
      <c r="J257" s="1043" t="s">
        <v>1455</v>
      </c>
      <c r="K257" s="1027" t="s">
        <v>674</v>
      </c>
      <c r="L257" s="1029" t="s">
        <v>675</v>
      </c>
      <c r="M257" s="1030">
        <v>32775000</v>
      </c>
      <c r="N257" s="1083" t="s">
        <v>744</v>
      </c>
      <c r="O257" s="1083" t="s">
        <v>1473</v>
      </c>
      <c r="P257" s="1083"/>
      <c r="Q257" s="1027"/>
      <c r="R257" s="1022"/>
      <c r="S257" s="1130">
        <v>300</v>
      </c>
      <c r="T257" s="1156">
        <v>32200000</v>
      </c>
    </row>
    <row r="258" spans="1:20" s="995" customFormat="1" ht="87.5" x14ac:dyDescent="0.35">
      <c r="A258" s="1023">
        <v>2022255</v>
      </c>
      <c r="B258" s="1023">
        <v>7658</v>
      </c>
      <c r="C258" s="1023" t="s">
        <v>679</v>
      </c>
      <c r="D258" s="1039" t="s">
        <v>689</v>
      </c>
      <c r="E258" s="1040">
        <v>80111600</v>
      </c>
      <c r="F258" s="1026" t="s">
        <v>943</v>
      </c>
      <c r="G258" s="1041">
        <v>44575</v>
      </c>
      <c r="H258" s="1041">
        <v>44575</v>
      </c>
      <c r="I258" s="1042" t="s">
        <v>1454</v>
      </c>
      <c r="J258" s="1043" t="s">
        <v>1455</v>
      </c>
      <c r="K258" s="1027" t="s">
        <v>674</v>
      </c>
      <c r="L258" s="1029" t="s">
        <v>675</v>
      </c>
      <c r="M258" s="1030">
        <v>83950000</v>
      </c>
      <c r="N258" s="1083" t="s">
        <v>744</v>
      </c>
      <c r="O258" s="1083" t="s">
        <v>1473</v>
      </c>
      <c r="P258" s="1083"/>
      <c r="Q258" s="1027"/>
      <c r="R258" s="1022"/>
      <c r="S258" s="1130">
        <v>238</v>
      </c>
      <c r="T258" s="1156">
        <v>83950000</v>
      </c>
    </row>
    <row r="259" spans="1:20" s="995" customFormat="1" ht="87.5" x14ac:dyDescent="0.35">
      <c r="A259" s="1023">
        <v>2022258</v>
      </c>
      <c r="B259" s="1023">
        <v>7658</v>
      </c>
      <c r="C259" s="1023" t="s">
        <v>679</v>
      </c>
      <c r="D259" s="1039" t="s">
        <v>689</v>
      </c>
      <c r="E259" s="1040">
        <v>80111600</v>
      </c>
      <c r="F259" s="1026" t="s">
        <v>945</v>
      </c>
      <c r="G259" s="1041">
        <v>44575</v>
      </c>
      <c r="H259" s="1041">
        <v>44575</v>
      </c>
      <c r="I259" s="1042" t="s">
        <v>1454</v>
      </c>
      <c r="J259" s="1043" t="s">
        <v>1455</v>
      </c>
      <c r="K259" s="1027" t="s">
        <v>674</v>
      </c>
      <c r="L259" s="1029" t="s">
        <v>675</v>
      </c>
      <c r="M259" s="1030">
        <v>83950000</v>
      </c>
      <c r="N259" s="1083" t="s">
        <v>744</v>
      </c>
      <c r="O259" s="1083" t="s">
        <v>1473</v>
      </c>
      <c r="P259" s="1083"/>
      <c r="Q259" s="1027"/>
      <c r="R259" s="1022"/>
      <c r="S259" s="1130">
        <v>215</v>
      </c>
      <c r="T259" s="1156">
        <v>43800000</v>
      </c>
    </row>
    <row r="260" spans="1:20" s="995" customFormat="1" ht="87.5" x14ac:dyDescent="0.35">
      <c r="A260" s="1023">
        <v>2022260</v>
      </c>
      <c r="B260" s="1023">
        <v>7658</v>
      </c>
      <c r="C260" s="1023" t="s">
        <v>679</v>
      </c>
      <c r="D260" s="1039" t="s">
        <v>689</v>
      </c>
      <c r="E260" s="1040">
        <v>80111600</v>
      </c>
      <c r="F260" s="1026" t="s">
        <v>945</v>
      </c>
      <c r="G260" s="1041">
        <v>44575</v>
      </c>
      <c r="H260" s="1041">
        <v>44575</v>
      </c>
      <c r="I260" s="1042" t="s">
        <v>1454</v>
      </c>
      <c r="J260" s="1043" t="s">
        <v>1455</v>
      </c>
      <c r="K260" s="1027" t="s">
        <v>674</v>
      </c>
      <c r="L260" s="1029" t="s">
        <v>675</v>
      </c>
      <c r="M260" s="1030">
        <v>83950000</v>
      </c>
      <c r="N260" s="1083" t="s">
        <v>744</v>
      </c>
      <c r="O260" s="1083" t="s">
        <v>1473</v>
      </c>
      <c r="P260" s="1083"/>
      <c r="Q260" s="1027"/>
      <c r="R260" s="1022"/>
      <c r="S260" s="1130">
        <v>401</v>
      </c>
      <c r="T260" s="1156">
        <v>51100000</v>
      </c>
    </row>
    <row r="261" spans="1:20" s="995" customFormat="1" ht="87.5" x14ac:dyDescent="0.35">
      <c r="A261" s="1023">
        <v>2022261</v>
      </c>
      <c r="B261" s="1023">
        <v>7658</v>
      </c>
      <c r="C261" s="1023" t="s">
        <v>679</v>
      </c>
      <c r="D261" s="1039" t="s">
        <v>689</v>
      </c>
      <c r="E261" s="1040">
        <v>80111600</v>
      </c>
      <c r="F261" s="1026" t="s">
        <v>945</v>
      </c>
      <c r="G261" s="1041">
        <v>44575</v>
      </c>
      <c r="H261" s="1041">
        <v>44575</v>
      </c>
      <c r="I261" s="1042" t="s">
        <v>1454</v>
      </c>
      <c r="J261" s="1043" t="s">
        <v>1455</v>
      </c>
      <c r="K261" s="1027" t="s">
        <v>674</v>
      </c>
      <c r="L261" s="1029" t="s">
        <v>675</v>
      </c>
      <c r="M261" s="1030">
        <v>83950000</v>
      </c>
      <c r="N261" s="1083" t="s">
        <v>744</v>
      </c>
      <c r="O261" s="1083" t="s">
        <v>1473</v>
      </c>
      <c r="P261" s="1083"/>
      <c r="Q261" s="1027"/>
      <c r="R261" s="1022"/>
      <c r="S261" s="1130">
        <v>138</v>
      </c>
      <c r="T261" s="1156">
        <v>78200000</v>
      </c>
    </row>
    <row r="262" spans="1:20" s="995" customFormat="1" ht="87.5" x14ac:dyDescent="0.35">
      <c r="A262" s="1023">
        <v>2022262</v>
      </c>
      <c r="B262" s="1023">
        <v>7658</v>
      </c>
      <c r="C262" s="1023" t="s">
        <v>679</v>
      </c>
      <c r="D262" s="1039" t="s">
        <v>689</v>
      </c>
      <c r="E262" s="1040">
        <v>80111600</v>
      </c>
      <c r="F262" s="1026" t="s">
        <v>945</v>
      </c>
      <c r="G262" s="1041">
        <v>44575</v>
      </c>
      <c r="H262" s="1041">
        <v>44575</v>
      </c>
      <c r="I262" s="1042" t="s">
        <v>1454</v>
      </c>
      <c r="J262" s="1043" t="s">
        <v>1455</v>
      </c>
      <c r="K262" s="1027" t="s">
        <v>674</v>
      </c>
      <c r="L262" s="1029" t="s">
        <v>675</v>
      </c>
      <c r="M262" s="1030">
        <v>83950000</v>
      </c>
      <c r="N262" s="1083" t="s">
        <v>744</v>
      </c>
      <c r="O262" s="1083" t="s">
        <v>1473</v>
      </c>
      <c r="P262" s="1083"/>
      <c r="Q262" s="1027"/>
      <c r="R262" s="1022"/>
      <c r="S262" s="1130">
        <v>255</v>
      </c>
      <c r="T262" s="1156">
        <v>83950000</v>
      </c>
    </row>
    <row r="263" spans="1:20" s="995" customFormat="1" ht="87.5" x14ac:dyDescent="0.35">
      <c r="A263" s="1023">
        <v>2022264</v>
      </c>
      <c r="B263" s="1023">
        <v>7658</v>
      </c>
      <c r="C263" s="1023" t="s">
        <v>679</v>
      </c>
      <c r="D263" s="1039" t="s">
        <v>689</v>
      </c>
      <c r="E263" s="1040">
        <v>80111600</v>
      </c>
      <c r="F263" s="1026" t="s">
        <v>946</v>
      </c>
      <c r="G263" s="1041">
        <v>44575</v>
      </c>
      <c r="H263" s="1041">
        <v>44575</v>
      </c>
      <c r="I263" s="1042" t="s">
        <v>1454</v>
      </c>
      <c r="J263" s="1043" t="s">
        <v>1455</v>
      </c>
      <c r="K263" s="1027" t="s">
        <v>674</v>
      </c>
      <c r="L263" s="1029" t="s">
        <v>675</v>
      </c>
      <c r="M263" s="1030">
        <v>44275000</v>
      </c>
      <c r="N263" s="1083" t="s">
        <v>744</v>
      </c>
      <c r="O263" s="1083" t="s">
        <v>1473</v>
      </c>
      <c r="P263" s="1083"/>
      <c r="Q263" s="1027"/>
      <c r="R263" s="1022"/>
      <c r="S263" s="1130">
        <v>373</v>
      </c>
      <c r="T263" s="1156">
        <v>44275000</v>
      </c>
    </row>
    <row r="264" spans="1:20" s="995" customFormat="1" ht="87.5" x14ac:dyDescent="0.35">
      <c r="A264" s="1023">
        <v>2022265</v>
      </c>
      <c r="B264" s="1023">
        <v>7658</v>
      </c>
      <c r="C264" s="1023" t="s">
        <v>679</v>
      </c>
      <c r="D264" s="1039" t="s">
        <v>689</v>
      </c>
      <c r="E264" s="1040">
        <v>80111600</v>
      </c>
      <c r="F264" s="1026" t="s">
        <v>947</v>
      </c>
      <c r="G264" s="1041">
        <v>44575</v>
      </c>
      <c r="H264" s="1041">
        <v>44575</v>
      </c>
      <c r="I264" s="1042" t="s">
        <v>1454</v>
      </c>
      <c r="J264" s="1043" t="s">
        <v>1455</v>
      </c>
      <c r="K264" s="1027" t="s">
        <v>674</v>
      </c>
      <c r="L264" s="1029" t="s">
        <v>675</v>
      </c>
      <c r="M264" s="1030">
        <v>28175000</v>
      </c>
      <c r="N264" s="1083" t="s">
        <v>744</v>
      </c>
      <c r="O264" s="1083" t="s">
        <v>1473</v>
      </c>
      <c r="P264" s="1083"/>
      <c r="Q264" s="1027"/>
      <c r="R264" s="1022"/>
      <c r="S264" s="1130">
        <v>257</v>
      </c>
      <c r="T264" s="1156">
        <v>28175000</v>
      </c>
    </row>
    <row r="265" spans="1:20" s="995" customFormat="1" ht="87.5" x14ac:dyDescent="0.35">
      <c r="A265" s="1023">
        <v>2022266</v>
      </c>
      <c r="B265" s="1023">
        <v>7658</v>
      </c>
      <c r="C265" s="1023" t="s">
        <v>679</v>
      </c>
      <c r="D265" s="1039" t="s">
        <v>689</v>
      </c>
      <c r="E265" s="1040">
        <v>80111600</v>
      </c>
      <c r="F265" s="1026" t="s">
        <v>948</v>
      </c>
      <c r="G265" s="1041">
        <v>44575</v>
      </c>
      <c r="H265" s="1041">
        <v>44575</v>
      </c>
      <c r="I265" s="1042" t="s">
        <v>1454</v>
      </c>
      <c r="J265" s="1043" t="s">
        <v>1455</v>
      </c>
      <c r="K265" s="1027" t="s">
        <v>674</v>
      </c>
      <c r="L265" s="1029" t="s">
        <v>675</v>
      </c>
      <c r="M265" s="1030">
        <v>63250000</v>
      </c>
      <c r="N265" s="1083" t="s">
        <v>744</v>
      </c>
      <c r="O265" s="1083" t="s">
        <v>1473</v>
      </c>
      <c r="P265" s="1083"/>
      <c r="Q265" s="1027"/>
      <c r="R265" s="1022"/>
      <c r="S265" s="1130">
        <v>110</v>
      </c>
      <c r="T265" s="1156">
        <v>63250000</v>
      </c>
    </row>
    <row r="266" spans="1:20" s="995" customFormat="1" ht="87.5" x14ac:dyDescent="0.35">
      <c r="A266" s="1023">
        <v>2022267</v>
      </c>
      <c r="B266" s="1023">
        <v>7658</v>
      </c>
      <c r="C266" s="1023" t="s">
        <v>679</v>
      </c>
      <c r="D266" s="1039" t="s">
        <v>689</v>
      </c>
      <c r="E266" s="1040">
        <v>80111600</v>
      </c>
      <c r="F266" s="1026" t="s">
        <v>949</v>
      </c>
      <c r="G266" s="1041">
        <v>44575</v>
      </c>
      <c r="H266" s="1041">
        <v>44575</v>
      </c>
      <c r="I266" s="1042" t="s">
        <v>1454</v>
      </c>
      <c r="J266" s="1043" t="s">
        <v>1455</v>
      </c>
      <c r="K266" s="1027" t="s">
        <v>674</v>
      </c>
      <c r="L266" s="1029" t="s">
        <v>675</v>
      </c>
      <c r="M266" s="1030">
        <v>28175000</v>
      </c>
      <c r="N266" s="1083" t="s">
        <v>744</v>
      </c>
      <c r="O266" s="1083" t="s">
        <v>1473</v>
      </c>
      <c r="P266" s="1083"/>
      <c r="Q266" s="1027"/>
      <c r="R266" s="1022"/>
      <c r="S266" s="1130">
        <v>441</v>
      </c>
      <c r="T266" s="1156">
        <v>28175000</v>
      </c>
    </row>
    <row r="267" spans="1:20" s="995" customFormat="1" ht="87.5" x14ac:dyDescent="0.35">
      <c r="A267" s="1023">
        <v>2022268</v>
      </c>
      <c r="B267" s="1023">
        <v>7658</v>
      </c>
      <c r="C267" s="1023" t="s">
        <v>679</v>
      </c>
      <c r="D267" s="1039" t="s">
        <v>689</v>
      </c>
      <c r="E267" s="1040">
        <v>80111600</v>
      </c>
      <c r="F267" s="1026" t="s">
        <v>949</v>
      </c>
      <c r="G267" s="1041">
        <v>44575</v>
      </c>
      <c r="H267" s="1041">
        <v>44575</v>
      </c>
      <c r="I267" s="1042" t="s">
        <v>1454</v>
      </c>
      <c r="J267" s="1043" t="s">
        <v>1455</v>
      </c>
      <c r="K267" s="1027" t="s">
        <v>674</v>
      </c>
      <c r="L267" s="1029" t="s">
        <v>675</v>
      </c>
      <c r="M267" s="1030">
        <v>28175000</v>
      </c>
      <c r="N267" s="1083" t="s">
        <v>744</v>
      </c>
      <c r="O267" s="1083" t="s">
        <v>1473</v>
      </c>
      <c r="P267" s="1083"/>
      <c r="Q267" s="1027"/>
      <c r="R267" s="1022"/>
      <c r="S267" s="1130">
        <v>370</v>
      </c>
      <c r="T267" s="1156">
        <v>28175000</v>
      </c>
    </row>
    <row r="268" spans="1:20" s="995" customFormat="1" ht="87.5" x14ac:dyDescent="0.35">
      <c r="A268" s="1023">
        <v>2022269</v>
      </c>
      <c r="B268" s="1023">
        <v>7658</v>
      </c>
      <c r="C268" s="1023" t="s">
        <v>679</v>
      </c>
      <c r="D268" s="1039" t="s">
        <v>689</v>
      </c>
      <c r="E268" s="1040">
        <v>80111600</v>
      </c>
      <c r="F268" s="1026" t="s">
        <v>949</v>
      </c>
      <c r="G268" s="1041">
        <v>44575</v>
      </c>
      <c r="H268" s="1041">
        <v>44575</v>
      </c>
      <c r="I268" s="1042" t="s">
        <v>1454</v>
      </c>
      <c r="J268" s="1043" t="s">
        <v>1455</v>
      </c>
      <c r="K268" s="1027" t="s">
        <v>674</v>
      </c>
      <c r="L268" s="1029" t="s">
        <v>675</v>
      </c>
      <c r="M268" s="1030">
        <v>28175000</v>
      </c>
      <c r="N268" s="1083" t="s">
        <v>744</v>
      </c>
      <c r="O268" s="1083" t="s">
        <v>1473</v>
      </c>
      <c r="P268" s="1083"/>
      <c r="Q268" s="1027"/>
      <c r="R268" s="1022"/>
      <c r="S268" s="1130">
        <v>438</v>
      </c>
      <c r="T268" s="1156">
        <v>28175000</v>
      </c>
    </row>
    <row r="269" spans="1:20" s="995" customFormat="1" ht="87.5" x14ac:dyDescent="0.35">
      <c r="A269" s="1023">
        <v>2022270</v>
      </c>
      <c r="B269" s="1023">
        <v>7658</v>
      </c>
      <c r="C269" s="1023" t="s">
        <v>679</v>
      </c>
      <c r="D269" s="1039" t="s">
        <v>689</v>
      </c>
      <c r="E269" s="1040">
        <v>80111600</v>
      </c>
      <c r="F269" s="1026" t="s">
        <v>949</v>
      </c>
      <c r="G269" s="1041">
        <v>44575</v>
      </c>
      <c r="H269" s="1041">
        <v>44575</v>
      </c>
      <c r="I269" s="1042" t="s">
        <v>1454</v>
      </c>
      <c r="J269" s="1043" t="s">
        <v>1455</v>
      </c>
      <c r="K269" s="1027" t="s">
        <v>674</v>
      </c>
      <c r="L269" s="1029" t="s">
        <v>675</v>
      </c>
      <c r="M269" s="1030">
        <v>28175000</v>
      </c>
      <c r="N269" s="1083" t="s">
        <v>744</v>
      </c>
      <c r="O269" s="1083" t="s">
        <v>1473</v>
      </c>
      <c r="P269" s="1083"/>
      <c r="Q269" s="1027"/>
      <c r="R269" s="1022"/>
      <c r="S269" s="1130">
        <v>317</v>
      </c>
      <c r="T269" s="1156">
        <v>28175000</v>
      </c>
    </row>
    <row r="270" spans="1:20" s="995" customFormat="1" ht="87.5" x14ac:dyDescent="0.35">
      <c r="A270" s="1023">
        <v>2022271</v>
      </c>
      <c r="B270" s="1023">
        <v>7658</v>
      </c>
      <c r="C270" s="1023" t="s">
        <v>679</v>
      </c>
      <c r="D270" s="1039" t="s">
        <v>689</v>
      </c>
      <c r="E270" s="1040">
        <v>80111600</v>
      </c>
      <c r="F270" s="1026" t="s">
        <v>949</v>
      </c>
      <c r="G270" s="1041">
        <v>44575</v>
      </c>
      <c r="H270" s="1041">
        <v>44575</v>
      </c>
      <c r="I270" s="1042" t="s">
        <v>1454</v>
      </c>
      <c r="J270" s="1043" t="s">
        <v>1455</v>
      </c>
      <c r="K270" s="1027" t="s">
        <v>674</v>
      </c>
      <c r="L270" s="1029" t="s">
        <v>675</v>
      </c>
      <c r="M270" s="1030">
        <v>28175000</v>
      </c>
      <c r="N270" s="1083" t="s">
        <v>744</v>
      </c>
      <c r="O270" s="1083" t="s">
        <v>1473</v>
      </c>
      <c r="P270" s="1083"/>
      <c r="Q270" s="1027"/>
      <c r="R270" s="1022"/>
      <c r="S270" s="1130">
        <v>319</v>
      </c>
      <c r="T270" s="1156">
        <v>28175000</v>
      </c>
    </row>
    <row r="271" spans="1:20" s="995" customFormat="1" ht="87.5" x14ac:dyDescent="0.35">
      <c r="A271" s="1023">
        <v>2022272</v>
      </c>
      <c r="B271" s="1023">
        <v>7658</v>
      </c>
      <c r="C271" s="1023" t="s">
        <v>679</v>
      </c>
      <c r="D271" s="1039" t="s">
        <v>689</v>
      </c>
      <c r="E271" s="1040">
        <v>80111600</v>
      </c>
      <c r="F271" s="1026" t="s">
        <v>949</v>
      </c>
      <c r="G271" s="1041">
        <v>44575</v>
      </c>
      <c r="H271" s="1041">
        <v>44575</v>
      </c>
      <c r="I271" s="1042" t="s">
        <v>1454</v>
      </c>
      <c r="J271" s="1043" t="s">
        <v>1455</v>
      </c>
      <c r="K271" s="1027" t="s">
        <v>674</v>
      </c>
      <c r="L271" s="1029" t="s">
        <v>675</v>
      </c>
      <c r="M271" s="1030">
        <v>28175000</v>
      </c>
      <c r="N271" s="1083" t="s">
        <v>744</v>
      </c>
      <c r="O271" s="1083" t="s">
        <v>1473</v>
      </c>
      <c r="P271" s="1083"/>
      <c r="Q271" s="1027"/>
      <c r="R271" s="1022"/>
      <c r="S271" s="1130">
        <v>337</v>
      </c>
      <c r="T271" s="1156">
        <v>28175000</v>
      </c>
    </row>
    <row r="272" spans="1:20" s="995" customFormat="1" ht="87.5" x14ac:dyDescent="0.35">
      <c r="A272" s="1023">
        <v>2022273</v>
      </c>
      <c r="B272" s="1023">
        <v>7658</v>
      </c>
      <c r="C272" s="1023" t="s">
        <v>679</v>
      </c>
      <c r="D272" s="1039" t="s">
        <v>689</v>
      </c>
      <c r="E272" s="1040">
        <v>80111600</v>
      </c>
      <c r="F272" s="1026" t="s">
        <v>949</v>
      </c>
      <c r="G272" s="1041">
        <v>44575</v>
      </c>
      <c r="H272" s="1041">
        <v>44575</v>
      </c>
      <c r="I272" s="1042" t="s">
        <v>1454</v>
      </c>
      <c r="J272" s="1043" t="s">
        <v>1455</v>
      </c>
      <c r="K272" s="1027" t="s">
        <v>674</v>
      </c>
      <c r="L272" s="1029" t="s">
        <v>675</v>
      </c>
      <c r="M272" s="1030">
        <v>28175000</v>
      </c>
      <c r="N272" s="1083" t="s">
        <v>744</v>
      </c>
      <c r="O272" s="1083" t="s">
        <v>1473</v>
      </c>
      <c r="P272" s="1083"/>
      <c r="Q272" s="1027"/>
      <c r="R272" s="1022"/>
      <c r="S272" s="1130">
        <v>400</v>
      </c>
      <c r="T272" s="1156">
        <v>28175000</v>
      </c>
    </row>
    <row r="273" spans="1:103" s="995" customFormat="1" ht="87.5" x14ac:dyDescent="0.35">
      <c r="A273" s="1023">
        <v>2022274</v>
      </c>
      <c r="B273" s="1023">
        <v>7658</v>
      </c>
      <c r="C273" s="1023" t="s">
        <v>679</v>
      </c>
      <c r="D273" s="1039" t="s">
        <v>689</v>
      </c>
      <c r="E273" s="1040">
        <v>80111600</v>
      </c>
      <c r="F273" s="1026" t="s">
        <v>949</v>
      </c>
      <c r="G273" s="1041">
        <v>44575</v>
      </c>
      <c r="H273" s="1041">
        <v>44575</v>
      </c>
      <c r="I273" s="1042" t="s">
        <v>1454</v>
      </c>
      <c r="J273" s="1043" t="s">
        <v>1455</v>
      </c>
      <c r="K273" s="1027" t="s">
        <v>674</v>
      </c>
      <c r="L273" s="1029" t="s">
        <v>675</v>
      </c>
      <c r="M273" s="1030">
        <v>28175000</v>
      </c>
      <c r="N273" s="1083" t="s">
        <v>744</v>
      </c>
      <c r="O273" s="1083" t="s">
        <v>1473</v>
      </c>
      <c r="P273" s="1083"/>
      <c r="Q273" s="1027"/>
      <c r="R273" s="1022"/>
      <c r="S273" s="1130">
        <v>425</v>
      </c>
      <c r="T273" s="1156">
        <v>28175000</v>
      </c>
    </row>
    <row r="274" spans="1:103" s="995" customFormat="1" ht="87.5" x14ac:dyDescent="0.35">
      <c r="A274" s="1023">
        <v>2022275</v>
      </c>
      <c r="B274" s="1023">
        <v>7658</v>
      </c>
      <c r="C274" s="1023" t="s">
        <v>679</v>
      </c>
      <c r="D274" s="1039" t="s">
        <v>689</v>
      </c>
      <c r="E274" s="1040">
        <v>80111600</v>
      </c>
      <c r="F274" s="1026" t="s">
        <v>949</v>
      </c>
      <c r="G274" s="1041">
        <v>44575</v>
      </c>
      <c r="H274" s="1041">
        <v>44575</v>
      </c>
      <c r="I274" s="1042" t="s">
        <v>1454</v>
      </c>
      <c r="J274" s="1043" t="s">
        <v>1455</v>
      </c>
      <c r="K274" s="1027" t="s">
        <v>674</v>
      </c>
      <c r="L274" s="1029" t="s">
        <v>675</v>
      </c>
      <c r="M274" s="1030">
        <v>28175000</v>
      </c>
      <c r="N274" s="1083" t="s">
        <v>744</v>
      </c>
      <c r="O274" s="1083" t="s">
        <v>1473</v>
      </c>
      <c r="P274" s="1083"/>
      <c r="Q274" s="1027"/>
      <c r="R274" s="1022"/>
      <c r="S274" s="1130">
        <v>369</v>
      </c>
      <c r="T274" s="1156">
        <v>28175000</v>
      </c>
    </row>
    <row r="275" spans="1:103" s="995" customFormat="1" ht="87.5" x14ac:dyDescent="0.35">
      <c r="A275" s="1023">
        <v>2022276</v>
      </c>
      <c r="B275" s="1023">
        <v>7658</v>
      </c>
      <c r="C275" s="1023" t="s">
        <v>679</v>
      </c>
      <c r="D275" s="1039" t="s">
        <v>689</v>
      </c>
      <c r="E275" s="1040">
        <v>80111600</v>
      </c>
      <c r="F275" s="1026" t="s">
        <v>949</v>
      </c>
      <c r="G275" s="1041">
        <v>44575</v>
      </c>
      <c r="H275" s="1041">
        <v>44575</v>
      </c>
      <c r="I275" s="1042" t="s">
        <v>1454</v>
      </c>
      <c r="J275" s="1043" t="s">
        <v>1455</v>
      </c>
      <c r="K275" s="1027" t="s">
        <v>674</v>
      </c>
      <c r="L275" s="1029" t="s">
        <v>675</v>
      </c>
      <c r="M275" s="1030">
        <v>24150000</v>
      </c>
      <c r="N275" s="1083" t="s">
        <v>744</v>
      </c>
      <c r="O275" s="1083" t="s">
        <v>1473</v>
      </c>
      <c r="P275" s="1083"/>
      <c r="Q275" s="1027"/>
      <c r="R275" s="1022"/>
      <c r="S275" s="1130">
        <v>325</v>
      </c>
      <c r="T275" s="1156">
        <v>24150000</v>
      </c>
    </row>
    <row r="276" spans="1:103" s="995" customFormat="1" ht="87.5" x14ac:dyDescent="0.35">
      <c r="A276" s="1023">
        <v>2022277</v>
      </c>
      <c r="B276" s="1023">
        <v>7658</v>
      </c>
      <c r="C276" s="1023" t="s">
        <v>679</v>
      </c>
      <c r="D276" s="1039" t="s">
        <v>689</v>
      </c>
      <c r="E276" s="1040">
        <v>80111600</v>
      </c>
      <c r="F276" s="1026" t="s">
        <v>949</v>
      </c>
      <c r="G276" s="1041">
        <v>44575</v>
      </c>
      <c r="H276" s="1041">
        <v>44575</v>
      </c>
      <c r="I276" s="1042" t="s">
        <v>1454</v>
      </c>
      <c r="J276" s="1043" t="s">
        <v>1455</v>
      </c>
      <c r="K276" s="1027" t="s">
        <v>674</v>
      </c>
      <c r="L276" s="1029" t="s">
        <v>675</v>
      </c>
      <c r="M276" s="1030">
        <v>28175000</v>
      </c>
      <c r="N276" s="1083" t="s">
        <v>744</v>
      </c>
      <c r="O276" s="1083" t="s">
        <v>1473</v>
      </c>
      <c r="P276" s="1083"/>
      <c r="Q276" s="1027"/>
      <c r="R276" s="1022"/>
      <c r="S276" s="1130">
        <v>88</v>
      </c>
      <c r="T276" s="1156">
        <v>28175000</v>
      </c>
    </row>
    <row r="277" spans="1:103" s="995" customFormat="1" ht="87.5" x14ac:dyDescent="0.35">
      <c r="A277" s="1023">
        <v>2022278</v>
      </c>
      <c r="B277" s="1023">
        <v>7658</v>
      </c>
      <c r="C277" s="1023" t="s">
        <v>679</v>
      </c>
      <c r="D277" s="1039" t="s">
        <v>689</v>
      </c>
      <c r="E277" s="1040">
        <v>80111600</v>
      </c>
      <c r="F277" s="1026" t="s">
        <v>949</v>
      </c>
      <c r="G277" s="1041">
        <v>44575</v>
      </c>
      <c r="H277" s="1041">
        <v>44575</v>
      </c>
      <c r="I277" s="1042" t="s">
        <v>1454</v>
      </c>
      <c r="J277" s="1043" t="s">
        <v>1455</v>
      </c>
      <c r="K277" s="1027" t="s">
        <v>674</v>
      </c>
      <c r="L277" s="1029" t="s">
        <v>675</v>
      </c>
      <c r="M277" s="1030">
        <v>28175000</v>
      </c>
      <c r="N277" s="1083" t="s">
        <v>744</v>
      </c>
      <c r="O277" s="1083" t="s">
        <v>1473</v>
      </c>
      <c r="P277" s="1083"/>
      <c r="Q277" s="1027"/>
      <c r="R277" s="1022"/>
      <c r="S277" s="1130">
        <v>335</v>
      </c>
      <c r="T277" s="1156">
        <v>28175000</v>
      </c>
    </row>
    <row r="278" spans="1:103" s="995" customFormat="1" ht="87.5" x14ac:dyDescent="0.35">
      <c r="A278" s="1023">
        <v>2022280</v>
      </c>
      <c r="B278" s="1023">
        <v>7658</v>
      </c>
      <c r="C278" s="1023" t="s">
        <v>679</v>
      </c>
      <c r="D278" s="1039" t="s">
        <v>689</v>
      </c>
      <c r="E278" s="1040">
        <v>80111600</v>
      </c>
      <c r="F278" s="1026" t="s">
        <v>949</v>
      </c>
      <c r="G278" s="1041">
        <v>44575</v>
      </c>
      <c r="H278" s="1041">
        <v>44575</v>
      </c>
      <c r="I278" s="1042" t="s">
        <v>1454</v>
      </c>
      <c r="J278" s="1043" t="s">
        <v>1455</v>
      </c>
      <c r="K278" s="1027" t="s">
        <v>674</v>
      </c>
      <c r="L278" s="1029" t="s">
        <v>675</v>
      </c>
      <c r="M278" s="1030">
        <v>28175000</v>
      </c>
      <c r="N278" s="1083" t="s">
        <v>744</v>
      </c>
      <c r="O278" s="1083" t="s">
        <v>1473</v>
      </c>
      <c r="P278" s="1083"/>
      <c r="Q278" s="1027"/>
      <c r="R278" s="1022"/>
      <c r="S278" s="1130">
        <v>326</v>
      </c>
      <c r="T278" s="1156">
        <v>28175000</v>
      </c>
    </row>
    <row r="279" spans="1:103" s="995" customFormat="1" ht="87.5" x14ac:dyDescent="0.35">
      <c r="A279" s="1023">
        <v>2022281</v>
      </c>
      <c r="B279" s="1023">
        <v>7658</v>
      </c>
      <c r="C279" s="1023" t="s">
        <v>679</v>
      </c>
      <c r="D279" s="1039" t="s">
        <v>689</v>
      </c>
      <c r="E279" s="1040">
        <v>80111600</v>
      </c>
      <c r="F279" s="1026" t="s">
        <v>949</v>
      </c>
      <c r="G279" s="1041">
        <v>44575</v>
      </c>
      <c r="H279" s="1041">
        <v>44575</v>
      </c>
      <c r="I279" s="1042" t="s">
        <v>1454</v>
      </c>
      <c r="J279" s="1043" t="s">
        <v>1455</v>
      </c>
      <c r="K279" s="1027" t="s">
        <v>674</v>
      </c>
      <c r="L279" s="1029" t="s">
        <v>675</v>
      </c>
      <c r="M279" s="1030">
        <v>28175000</v>
      </c>
      <c r="N279" s="1083" t="s">
        <v>744</v>
      </c>
      <c r="O279" s="1083" t="s">
        <v>1473</v>
      </c>
      <c r="P279" s="1083"/>
      <c r="Q279" s="1027"/>
      <c r="R279" s="1022"/>
      <c r="S279" s="1130">
        <v>320</v>
      </c>
      <c r="T279" s="1156">
        <v>28175000</v>
      </c>
    </row>
    <row r="280" spans="1:103" s="995" customFormat="1" ht="87.5" x14ac:dyDescent="0.35">
      <c r="A280" s="1023">
        <v>2022283</v>
      </c>
      <c r="B280" s="1023">
        <v>7658</v>
      </c>
      <c r="C280" s="1023" t="s">
        <v>679</v>
      </c>
      <c r="D280" s="1039" t="s">
        <v>689</v>
      </c>
      <c r="E280" s="1040">
        <v>80111600</v>
      </c>
      <c r="F280" s="1026" t="s">
        <v>950</v>
      </c>
      <c r="G280" s="1041">
        <v>44575</v>
      </c>
      <c r="H280" s="1041">
        <v>44575</v>
      </c>
      <c r="I280" s="1042" t="s">
        <v>1454</v>
      </c>
      <c r="J280" s="1043" t="s">
        <v>1455</v>
      </c>
      <c r="K280" s="1027" t="s">
        <v>674</v>
      </c>
      <c r="L280" s="1029" t="s">
        <v>675</v>
      </c>
      <c r="M280" s="1030">
        <v>47150000</v>
      </c>
      <c r="N280" s="1083" t="s">
        <v>744</v>
      </c>
      <c r="O280" s="1083" t="s">
        <v>1473</v>
      </c>
      <c r="P280" s="1083"/>
      <c r="Q280" s="1027"/>
      <c r="R280" s="1022"/>
      <c r="S280" s="1130">
        <v>476</v>
      </c>
      <c r="T280" s="1156">
        <v>44275000</v>
      </c>
    </row>
    <row r="281" spans="1:103" s="995" customFormat="1" ht="87.5" x14ac:dyDescent="0.35">
      <c r="A281" s="1023">
        <v>2022284</v>
      </c>
      <c r="B281" s="1023">
        <v>7658</v>
      </c>
      <c r="C281" s="1023" t="s">
        <v>679</v>
      </c>
      <c r="D281" s="1039" t="s">
        <v>689</v>
      </c>
      <c r="E281" s="1040">
        <v>80111600</v>
      </c>
      <c r="F281" s="1026" t="s">
        <v>940</v>
      </c>
      <c r="G281" s="1041">
        <v>44575</v>
      </c>
      <c r="H281" s="1041">
        <v>44575</v>
      </c>
      <c r="I281" s="1042" t="s">
        <v>1454</v>
      </c>
      <c r="J281" s="1043" t="s">
        <v>1455</v>
      </c>
      <c r="K281" s="1027" t="s">
        <v>674</v>
      </c>
      <c r="L281" s="1029" t="s">
        <v>675</v>
      </c>
      <c r="M281" s="1030">
        <v>51750000</v>
      </c>
      <c r="N281" s="1083" t="s">
        <v>744</v>
      </c>
      <c r="O281" s="1083" t="s">
        <v>1473</v>
      </c>
      <c r="P281" s="1083"/>
      <c r="Q281" s="1027"/>
      <c r="R281" s="1022"/>
      <c r="S281" s="1130">
        <v>412</v>
      </c>
      <c r="T281" s="1156">
        <v>51100000</v>
      </c>
    </row>
    <row r="282" spans="1:103" s="995" customFormat="1" ht="87.5" x14ac:dyDescent="0.35">
      <c r="A282" s="1023">
        <v>2022304</v>
      </c>
      <c r="B282" s="1023">
        <v>7658</v>
      </c>
      <c r="C282" s="1023" t="s">
        <v>679</v>
      </c>
      <c r="D282" s="1039" t="s">
        <v>689</v>
      </c>
      <c r="E282" s="1086" t="s">
        <v>986</v>
      </c>
      <c r="F282" s="1087" t="s">
        <v>989</v>
      </c>
      <c r="G282" s="1041">
        <v>44606</v>
      </c>
      <c r="H282" s="1041">
        <v>44606</v>
      </c>
      <c r="I282" s="1042" t="s">
        <v>1474</v>
      </c>
      <c r="J282" s="1043" t="s">
        <v>1475</v>
      </c>
      <c r="K282" s="1027" t="s">
        <v>674</v>
      </c>
      <c r="L282" s="1029" t="s">
        <v>988</v>
      </c>
      <c r="M282" s="1030">
        <v>109400000</v>
      </c>
      <c r="N282" s="1083" t="s">
        <v>744</v>
      </c>
      <c r="O282" s="1083" t="s">
        <v>1473</v>
      </c>
      <c r="P282" s="1083"/>
      <c r="Q282" s="1027"/>
      <c r="R282" s="1022"/>
      <c r="S282" s="1130">
        <v>462</v>
      </c>
      <c r="T282" s="1156">
        <v>99859613</v>
      </c>
    </row>
    <row r="283" spans="1:103" s="995" customFormat="1" ht="87.5" x14ac:dyDescent="0.35">
      <c r="A283" s="1013">
        <v>2022252</v>
      </c>
      <c r="B283" s="1013">
        <v>7658</v>
      </c>
      <c r="C283" s="1013" t="s">
        <v>679</v>
      </c>
      <c r="D283" s="1045" t="s">
        <v>689</v>
      </c>
      <c r="E283" s="1046">
        <v>80111600</v>
      </c>
      <c r="F283" s="1016" t="s">
        <v>941</v>
      </c>
      <c r="G283" s="1047">
        <v>44575</v>
      </c>
      <c r="H283" s="1047">
        <v>44575</v>
      </c>
      <c r="I283" s="1048" t="s">
        <v>1454</v>
      </c>
      <c r="J283" s="1049" t="s">
        <v>1455</v>
      </c>
      <c r="K283" s="1017" t="s">
        <v>674</v>
      </c>
      <c r="L283" s="1019" t="s">
        <v>782</v>
      </c>
      <c r="M283" s="1020">
        <v>103500000</v>
      </c>
      <c r="N283" s="1037" t="s">
        <v>744</v>
      </c>
      <c r="O283" s="1037" t="s">
        <v>1473</v>
      </c>
      <c r="P283" s="1037"/>
      <c r="Q283" s="1017"/>
      <c r="R283" s="1022"/>
      <c r="S283" s="1130"/>
      <c r="T283" s="1156"/>
    </row>
    <row r="284" spans="1:103" s="1034" customFormat="1" ht="87.5" x14ac:dyDescent="0.35">
      <c r="A284" s="1013">
        <v>2022254</v>
      </c>
      <c r="B284" s="1013">
        <v>7658</v>
      </c>
      <c r="C284" s="1013" t="s">
        <v>679</v>
      </c>
      <c r="D284" s="1045" t="s">
        <v>689</v>
      </c>
      <c r="E284" s="1046">
        <v>80111600</v>
      </c>
      <c r="F284" s="1016" t="s">
        <v>1476</v>
      </c>
      <c r="G284" s="1047">
        <v>44575</v>
      </c>
      <c r="H284" s="1047">
        <v>44575</v>
      </c>
      <c r="I284" s="1048" t="s">
        <v>1454</v>
      </c>
      <c r="J284" s="1049" t="s">
        <v>1455</v>
      </c>
      <c r="K284" s="1017" t="s">
        <v>674</v>
      </c>
      <c r="L284" s="1019" t="s">
        <v>675</v>
      </c>
      <c r="M284" s="1020">
        <v>63250000</v>
      </c>
      <c r="N284" s="1037" t="s">
        <v>744</v>
      </c>
      <c r="O284" s="1037" t="s">
        <v>1473</v>
      </c>
      <c r="P284" s="1037"/>
      <c r="Q284" s="1017"/>
      <c r="R284" s="1022"/>
      <c r="S284" s="1130"/>
      <c r="T284" s="1156"/>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95"/>
      <c r="AU284" s="995"/>
      <c r="AV284" s="995"/>
      <c r="AW284" s="995"/>
      <c r="AX284" s="995"/>
      <c r="AY284" s="995"/>
      <c r="AZ284" s="995"/>
      <c r="BA284" s="995"/>
      <c r="BB284" s="995"/>
      <c r="BC284" s="995"/>
      <c r="BD284" s="995"/>
      <c r="BE284" s="995"/>
      <c r="BF284" s="995"/>
      <c r="BG284" s="995"/>
      <c r="BH284" s="995"/>
      <c r="BI284" s="995"/>
      <c r="BJ284" s="995"/>
      <c r="BK284" s="995"/>
      <c r="BL284" s="995"/>
      <c r="BM284" s="995"/>
      <c r="BN284" s="995"/>
      <c r="BO284" s="995"/>
      <c r="BP284" s="995"/>
      <c r="BQ284" s="995"/>
      <c r="BR284" s="995"/>
      <c r="BS284" s="995"/>
      <c r="BT284" s="995"/>
      <c r="BU284" s="995"/>
      <c r="BV284" s="995"/>
      <c r="BW284" s="995"/>
      <c r="BX284" s="995"/>
      <c r="BY284" s="995"/>
      <c r="BZ284" s="995"/>
      <c r="CA284" s="995"/>
      <c r="CB284" s="995"/>
      <c r="CC284" s="995"/>
      <c r="CD284" s="995"/>
      <c r="CE284" s="995"/>
      <c r="CF284" s="995"/>
      <c r="CG284" s="995"/>
      <c r="CH284" s="995"/>
      <c r="CI284" s="995"/>
      <c r="CJ284" s="995"/>
      <c r="CK284" s="995"/>
      <c r="CL284" s="995"/>
      <c r="CM284" s="995"/>
      <c r="CN284" s="995"/>
      <c r="CO284" s="995"/>
      <c r="CP284" s="995"/>
      <c r="CQ284" s="995"/>
      <c r="CR284" s="995"/>
      <c r="CS284" s="995"/>
      <c r="CT284" s="995"/>
      <c r="CU284" s="995"/>
      <c r="CV284" s="995"/>
      <c r="CW284" s="995"/>
      <c r="CX284" s="995"/>
      <c r="CY284" s="995"/>
    </row>
    <row r="285" spans="1:103" s="995" customFormat="1" ht="87.5" x14ac:dyDescent="0.35">
      <c r="A285" s="1013">
        <v>2022256</v>
      </c>
      <c r="B285" s="1013">
        <v>7658</v>
      </c>
      <c r="C285" s="1013" t="s">
        <v>679</v>
      </c>
      <c r="D285" s="1045" t="s">
        <v>689</v>
      </c>
      <c r="E285" s="1046">
        <v>80111600</v>
      </c>
      <c r="F285" s="1016" t="s">
        <v>1477</v>
      </c>
      <c r="G285" s="1047">
        <v>44575</v>
      </c>
      <c r="H285" s="1047">
        <v>44575</v>
      </c>
      <c r="I285" s="1048" t="s">
        <v>1454</v>
      </c>
      <c r="J285" s="1049" t="s">
        <v>1455</v>
      </c>
      <c r="K285" s="1017" t="s">
        <v>674</v>
      </c>
      <c r="L285" s="1019" t="s">
        <v>675</v>
      </c>
      <c r="M285" s="1020">
        <v>51750000</v>
      </c>
      <c r="N285" s="1037" t="s">
        <v>744</v>
      </c>
      <c r="O285" s="1037" t="s">
        <v>1473</v>
      </c>
      <c r="P285" s="1037"/>
      <c r="Q285" s="1017"/>
      <c r="R285" s="1022"/>
      <c r="S285" s="1130"/>
      <c r="T285" s="1156"/>
    </row>
    <row r="286" spans="1:103" s="995" customFormat="1" ht="87.5" x14ac:dyDescent="0.35">
      <c r="A286" s="1013">
        <v>2022257</v>
      </c>
      <c r="B286" s="1013">
        <v>7658</v>
      </c>
      <c r="C286" s="1013" t="s">
        <v>679</v>
      </c>
      <c r="D286" s="1045" t="s">
        <v>689</v>
      </c>
      <c r="E286" s="1046">
        <v>80111600</v>
      </c>
      <c r="F286" s="1016" t="s">
        <v>944</v>
      </c>
      <c r="G286" s="1047">
        <v>44575</v>
      </c>
      <c r="H286" s="1047">
        <v>44575</v>
      </c>
      <c r="I286" s="1048" t="s">
        <v>1454</v>
      </c>
      <c r="J286" s="1049" t="s">
        <v>1455</v>
      </c>
      <c r="K286" s="1017" t="s">
        <v>674</v>
      </c>
      <c r="L286" s="1019" t="s">
        <v>675</v>
      </c>
      <c r="M286" s="1020">
        <v>83950000</v>
      </c>
      <c r="N286" s="1037" t="s">
        <v>744</v>
      </c>
      <c r="O286" s="1037" t="s">
        <v>1473</v>
      </c>
      <c r="P286" s="1037"/>
      <c r="Q286" s="1017"/>
      <c r="R286" s="1022"/>
      <c r="S286" s="1130"/>
      <c r="T286" s="1156"/>
    </row>
    <row r="287" spans="1:103" s="995" customFormat="1" ht="87.5" x14ac:dyDescent="0.35">
      <c r="A287" s="1013">
        <v>2022259</v>
      </c>
      <c r="B287" s="1013">
        <v>7658</v>
      </c>
      <c r="C287" s="1013" t="s">
        <v>679</v>
      </c>
      <c r="D287" s="1045" t="s">
        <v>689</v>
      </c>
      <c r="E287" s="1046">
        <v>80111600</v>
      </c>
      <c r="F287" s="1016" t="s">
        <v>1478</v>
      </c>
      <c r="G287" s="1047">
        <v>44575</v>
      </c>
      <c r="H287" s="1047">
        <v>44575</v>
      </c>
      <c r="I287" s="1048" t="s">
        <v>1454</v>
      </c>
      <c r="J287" s="1049" t="s">
        <v>1455</v>
      </c>
      <c r="K287" s="1017" t="s">
        <v>674</v>
      </c>
      <c r="L287" s="1019" t="s">
        <v>675</v>
      </c>
      <c r="M287" s="1020">
        <v>94300000</v>
      </c>
      <c r="N287" s="1037" t="s">
        <v>744</v>
      </c>
      <c r="O287" s="1037" t="s">
        <v>1473</v>
      </c>
      <c r="P287" s="1037"/>
      <c r="Q287" s="1017"/>
      <c r="R287" s="1022"/>
      <c r="S287" s="1130"/>
      <c r="T287" s="1156"/>
    </row>
    <row r="288" spans="1:103" s="995" customFormat="1" ht="87.5" x14ac:dyDescent="0.35">
      <c r="A288" s="1013">
        <v>2022263</v>
      </c>
      <c r="B288" s="1013">
        <v>7658</v>
      </c>
      <c r="C288" s="1013" t="s">
        <v>679</v>
      </c>
      <c r="D288" s="1045" t="s">
        <v>689</v>
      </c>
      <c r="E288" s="1046">
        <v>80111600</v>
      </c>
      <c r="F288" s="1016" t="s">
        <v>944</v>
      </c>
      <c r="G288" s="1047">
        <v>44575</v>
      </c>
      <c r="H288" s="1047">
        <v>44575</v>
      </c>
      <c r="I288" s="1048" t="s">
        <v>1454</v>
      </c>
      <c r="J288" s="1049" t="s">
        <v>1455</v>
      </c>
      <c r="K288" s="1017" t="s">
        <v>674</v>
      </c>
      <c r="L288" s="1019" t="s">
        <v>675</v>
      </c>
      <c r="M288" s="1020">
        <v>78200000</v>
      </c>
      <c r="N288" s="1037" t="s">
        <v>744</v>
      </c>
      <c r="O288" s="1037" t="s">
        <v>1473</v>
      </c>
      <c r="P288" s="1037"/>
      <c r="Q288" s="1017"/>
      <c r="R288" s="1022"/>
      <c r="S288" s="1130"/>
      <c r="T288" s="1156"/>
    </row>
    <row r="289" spans="1:20" s="995" customFormat="1" ht="87.5" x14ac:dyDescent="0.35">
      <c r="A289" s="1131">
        <v>2022279</v>
      </c>
      <c r="B289" s="1131">
        <v>7658</v>
      </c>
      <c r="C289" s="1131" t="s">
        <v>679</v>
      </c>
      <c r="D289" s="1139" t="s">
        <v>689</v>
      </c>
      <c r="E289" s="1145">
        <v>80111600</v>
      </c>
      <c r="F289" s="1134" t="s">
        <v>949</v>
      </c>
      <c r="G289" s="1141">
        <v>44575</v>
      </c>
      <c r="H289" s="1141">
        <v>44575</v>
      </c>
      <c r="I289" s="1142" t="s">
        <v>1454</v>
      </c>
      <c r="J289" s="1143" t="s">
        <v>1455</v>
      </c>
      <c r="K289" s="1135" t="s">
        <v>674</v>
      </c>
      <c r="L289" s="1132" t="s">
        <v>675</v>
      </c>
      <c r="M289" s="1136">
        <v>28175000</v>
      </c>
      <c r="N289" s="1151" t="s">
        <v>744</v>
      </c>
      <c r="O289" s="1151" t="s">
        <v>1473</v>
      </c>
      <c r="P289" s="1151"/>
      <c r="Q289" s="1135"/>
      <c r="R289" s="1130">
        <v>209</v>
      </c>
      <c r="S289" s="1130"/>
      <c r="T289" s="1156"/>
    </row>
    <row r="290" spans="1:20" s="995" customFormat="1" ht="87.5" x14ac:dyDescent="0.35">
      <c r="A290" s="1013">
        <v>2022282</v>
      </c>
      <c r="B290" s="1013">
        <v>7658</v>
      </c>
      <c r="C290" s="1013" t="s">
        <v>679</v>
      </c>
      <c r="D290" s="1045" t="s">
        <v>689</v>
      </c>
      <c r="E290" s="1046">
        <v>80111600</v>
      </c>
      <c r="F290" s="1016" t="s">
        <v>1479</v>
      </c>
      <c r="G290" s="1047">
        <v>44575</v>
      </c>
      <c r="H290" s="1141">
        <v>44575</v>
      </c>
      <c r="I290" s="1048" t="s">
        <v>1454</v>
      </c>
      <c r="J290" s="1049" t="s">
        <v>1455</v>
      </c>
      <c r="K290" s="1017" t="s">
        <v>674</v>
      </c>
      <c r="L290" s="1019" t="s">
        <v>675</v>
      </c>
      <c r="M290" s="1020">
        <v>92000000</v>
      </c>
      <c r="N290" s="1037" t="s">
        <v>744</v>
      </c>
      <c r="O290" s="1037" t="s">
        <v>1473</v>
      </c>
      <c r="P290" s="1037"/>
      <c r="Q290" s="1017"/>
      <c r="R290" s="1022"/>
      <c r="S290" s="1130"/>
      <c r="T290" s="1156"/>
    </row>
    <row r="291" spans="1:20" s="995" customFormat="1" ht="87.5" x14ac:dyDescent="0.35">
      <c r="A291" s="1013">
        <v>2022285</v>
      </c>
      <c r="B291" s="1013">
        <v>7658</v>
      </c>
      <c r="C291" s="1013" t="s">
        <v>679</v>
      </c>
      <c r="D291" s="1045" t="s">
        <v>689</v>
      </c>
      <c r="E291" s="1051" t="s">
        <v>951</v>
      </c>
      <c r="F291" s="1016" t="s">
        <v>1480</v>
      </c>
      <c r="G291" s="1047">
        <v>44774</v>
      </c>
      <c r="H291" s="1141">
        <v>44774</v>
      </c>
      <c r="I291" s="1048" t="s">
        <v>1458</v>
      </c>
      <c r="J291" s="1049" t="s">
        <v>1422</v>
      </c>
      <c r="K291" s="1017" t="s">
        <v>674</v>
      </c>
      <c r="L291" s="1019" t="s">
        <v>953</v>
      </c>
      <c r="M291" s="1020">
        <v>100000000</v>
      </c>
      <c r="N291" s="1037" t="s">
        <v>744</v>
      </c>
      <c r="O291" s="1037" t="s">
        <v>1473</v>
      </c>
      <c r="P291" s="1037"/>
      <c r="Q291" s="1017"/>
      <c r="R291" s="1022"/>
      <c r="S291" s="1130"/>
      <c r="T291" s="1156"/>
    </row>
    <row r="292" spans="1:20" s="995" customFormat="1" ht="87.5" x14ac:dyDescent="0.35">
      <c r="A292" s="1013">
        <v>2022286</v>
      </c>
      <c r="B292" s="1013">
        <v>7658</v>
      </c>
      <c r="C292" s="1013" t="s">
        <v>679</v>
      </c>
      <c r="D292" s="1045" t="s">
        <v>689</v>
      </c>
      <c r="E292" s="1051" t="s">
        <v>955</v>
      </c>
      <c r="F292" s="1084" t="s">
        <v>1481</v>
      </c>
      <c r="G292" s="1047">
        <v>44774</v>
      </c>
      <c r="H292" s="1141">
        <v>44774</v>
      </c>
      <c r="I292" s="1048" t="s">
        <v>1458</v>
      </c>
      <c r="J292" s="1049" t="s">
        <v>1422</v>
      </c>
      <c r="K292" s="1014" t="s">
        <v>674</v>
      </c>
      <c r="L292" s="1085" t="s">
        <v>957</v>
      </c>
      <c r="M292" s="1020">
        <v>150000000</v>
      </c>
      <c r="N292" s="1037" t="s">
        <v>744</v>
      </c>
      <c r="O292" s="1037" t="s">
        <v>1473</v>
      </c>
      <c r="P292" s="1037"/>
      <c r="Q292" s="1017"/>
      <c r="R292" s="1022"/>
      <c r="S292" s="1130"/>
      <c r="T292" s="1156"/>
    </row>
    <row r="293" spans="1:20" s="995" customFormat="1" ht="87.5" x14ac:dyDescent="0.35">
      <c r="A293" s="1013">
        <v>2022287</v>
      </c>
      <c r="B293" s="1013">
        <v>7658</v>
      </c>
      <c r="C293" s="1013" t="s">
        <v>679</v>
      </c>
      <c r="D293" s="1045" t="s">
        <v>689</v>
      </c>
      <c r="E293" s="1046" t="s">
        <v>1482</v>
      </c>
      <c r="F293" s="1084" t="s">
        <v>959</v>
      </c>
      <c r="G293" s="1047">
        <v>44713</v>
      </c>
      <c r="H293" s="1141">
        <v>44713</v>
      </c>
      <c r="I293" s="1048" t="s">
        <v>1457</v>
      </c>
      <c r="J293" s="1049" t="s">
        <v>1422</v>
      </c>
      <c r="K293" s="1017" t="s">
        <v>674</v>
      </c>
      <c r="L293" s="1085" t="s">
        <v>957</v>
      </c>
      <c r="M293" s="1020">
        <v>100000000</v>
      </c>
      <c r="N293" s="1037" t="s">
        <v>744</v>
      </c>
      <c r="O293" s="1037" t="s">
        <v>1473</v>
      </c>
      <c r="P293" s="1037"/>
      <c r="Q293" s="1017"/>
      <c r="R293" s="1022"/>
      <c r="S293" s="1130"/>
      <c r="T293" s="1156"/>
    </row>
    <row r="294" spans="1:20" s="995" customFormat="1" ht="87.5" x14ac:dyDescent="0.35">
      <c r="A294" s="1013">
        <v>2022288</v>
      </c>
      <c r="B294" s="1013">
        <v>7658</v>
      </c>
      <c r="C294" s="1013" t="s">
        <v>679</v>
      </c>
      <c r="D294" s="1045" t="s">
        <v>689</v>
      </c>
      <c r="E294" s="1046" t="s">
        <v>960</v>
      </c>
      <c r="F294" s="1084" t="s">
        <v>1483</v>
      </c>
      <c r="G294" s="1047">
        <v>44743</v>
      </c>
      <c r="H294" s="1141">
        <v>44743</v>
      </c>
      <c r="I294" s="1048" t="s">
        <v>1457</v>
      </c>
      <c r="J294" s="1049" t="s">
        <v>1422</v>
      </c>
      <c r="K294" s="1017" t="s">
        <v>674</v>
      </c>
      <c r="L294" s="1085" t="s">
        <v>957</v>
      </c>
      <c r="M294" s="1020">
        <v>80000000</v>
      </c>
      <c r="N294" s="1037" t="s">
        <v>744</v>
      </c>
      <c r="O294" s="1037" t="s">
        <v>1473</v>
      </c>
      <c r="P294" s="1037"/>
      <c r="Q294" s="1017"/>
      <c r="R294" s="1022"/>
      <c r="S294" s="1130"/>
      <c r="T294" s="1156"/>
    </row>
    <row r="295" spans="1:20" s="995" customFormat="1" ht="125" x14ac:dyDescent="0.35">
      <c r="A295" s="1013">
        <v>2022289</v>
      </c>
      <c r="B295" s="1013">
        <v>7658</v>
      </c>
      <c r="C295" s="1013" t="s">
        <v>679</v>
      </c>
      <c r="D295" s="1045" t="s">
        <v>689</v>
      </c>
      <c r="E295" s="1051" t="s">
        <v>1484</v>
      </c>
      <c r="F295" s="1084" t="s">
        <v>1485</v>
      </c>
      <c r="G295" s="1047">
        <v>44621</v>
      </c>
      <c r="H295" s="1141">
        <v>44621</v>
      </c>
      <c r="I295" s="1048" t="s">
        <v>1459</v>
      </c>
      <c r="J295" s="1049" t="s">
        <v>1422</v>
      </c>
      <c r="K295" s="1017" t="s">
        <v>674</v>
      </c>
      <c r="L295" s="1085" t="s">
        <v>957</v>
      </c>
      <c r="M295" s="1020">
        <v>70000000</v>
      </c>
      <c r="N295" s="1037" t="s">
        <v>744</v>
      </c>
      <c r="O295" s="1037" t="s">
        <v>1473</v>
      </c>
      <c r="P295" s="1037"/>
      <c r="Q295" s="1017"/>
      <c r="R295" s="1022"/>
      <c r="S295" s="1130"/>
      <c r="T295" s="1156"/>
    </row>
    <row r="296" spans="1:20" s="995" customFormat="1" ht="87.5" x14ac:dyDescent="0.35">
      <c r="A296" s="1013">
        <v>2022290</v>
      </c>
      <c r="B296" s="1013">
        <v>7658</v>
      </c>
      <c r="C296" s="1013" t="s">
        <v>679</v>
      </c>
      <c r="D296" s="1045" t="s">
        <v>689</v>
      </c>
      <c r="E296" s="1051" t="s">
        <v>962</v>
      </c>
      <c r="F296" s="1084" t="s">
        <v>963</v>
      </c>
      <c r="G296" s="1047">
        <v>44593</v>
      </c>
      <c r="H296" s="1141">
        <v>44593</v>
      </c>
      <c r="I296" s="1048" t="s">
        <v>1417</v>
      </c>
      <c r="J296" s="1049" t="s">
        <v>1422</v>
      </c>
      <c r="K296" s="1017" t="s">
        <v>674</v>
      </c>
      <c r="L296" s="1085" t="s">
        <v>957</v>
      </c>
      <c r="M296" s="1020">
        <v>20000000</v>
      </c>
      <c r="N296" s="1037" t="s">
        <v>744</v>
      </c>
      <c r="O296" s="1037" t="s">
        <v>1473</v>
      </c>
      <c r="P296" s="1037"/>
      <c r="Q296" s="1017"/>
      <c r="R296" s="1022"/>
      <c r="S296" s="1130"/>
      <c r="T296" s="1156"/>
    </row>
    <row r="297" spans="1:20" s="995" customFormat="1" ht="62.5" x14ac:dyDescent="0.35">
      <c r="A297" s="1013">
        <v>2022291</v>
      </c>
      <c r="B297" s="1013">
        <v>7658</v>
      </c>
      <c r="C297" s="1013" t="s">
        <v>679</v>
      </c>
      <c r="D297" s="1045" t="s">
        <v>689</v>
      </c>
      <c r="E297" s="1051" t="s">
        <v>964</v>
      </c>
      <c r="F297" s="1084" t="s">
        <v>1486</v>
      </c>
      <c r="G297" s="1047">
        <v>44593</v>
      </c>
      <c r="H297" s="1141">
        <v>44593</v>
      </c>
      <c r="I297" s="1048" t="s">
        <v>1459</v>
      </c>
      <c r="J297" s="1049" t="s">
        <v>1487</v>
      </c>
      <c r="K297" s="1017" t="s">
        <v>770</v>
      </c>
      <c r="L297" s="1019" t="s">
        <v>966</v>
      </c>
      <c r="M297" s="1020">
        <v>900000000</v>
      </c>
      <c r="N297" s="1037" t="s">
        <v>722</v>
      </c>
      <c r="O297" s="1037" t="s">
        <v>1488</v>
      </c>
      <c r="P297" s="1037"/>
      <c r="Q297" s="1017"/>
      <c r="R297" s="1022"/>
      <c r="S297" s="1130"/>
      <c r="T297" s="1156"/>
    </row>
    <row r="298" spans="1:20" s="995" customFormat="1" ht="87.5" x14ac:dyDescent="0.35">
      <c r="A298" s="1013">
        <v>2022292</v>
      </c>
      <c r="B298" s="1013">
        <v>7658</v>
      </c>
      <c r="C298" s="1013" t="s">
        <v>679</v>
      </c>
      <c r="D298" s="1045" t="s">
        <v>689</v>
      </c>
      <c r="E298" s="1051" t="s">
        <v>967</v>
      </c>
      <c r="F298" s="1084" t="s">
        <v>1489</v>
      </c>
      <c r="G298" s="1047">
        <v>44593</v>
      </c>
      <c r="H298" s="1141">
        <v>44593</v>
      </c>
      <c r="I298" s="1048" t="s">
        <v>1417</v>
      </c>
      <c r="J298" s="1049" t="s">
        <v>1487</v>
      </c>
      <c r="K298" s="1017" t="s">
        <v>770</v>
      </c>
      <c r="L298" s="1019" t="s">
        <v>966</v>
      </c>
      <c r="M298" s="1020">
        <v>180000000</v>
      </c>
      <c r="N298" s="1037" t="s">
        <v>722</v>
      </c>
      <c r="O298" s="1037" t="s">
        <v>1488</v>
      </c>
      <c r="P298" s="1037"/>
      <c r="Q298" s="1017"/>
      <c r="R298" s="1022"/>
      <c r="S298" s="1130"/>
      <c r="T298" s="1156"/>
    </row>
    <row r="299" spans="1:20" s="995" customFormat="1" ht="50" x14ac:dyDescent="0.35">
      <c r="A299" s="1013">
        <v>2022293</v>
      </c>
      <c r="B299" s="1013">
        <v>7658</v>
      </c>
      <c r="C299" s="1013" t="s">
        <v>679</v>
      </c>
      <c r="D299" s="1045" t="s">
        <v>689</v>
      </c>
      <c r="E299" s="1051" t="s">
        <v>964</v>
      </c>
      <c r="F299" s="1084" t="s">
        <v>1490</v>
      </c>
      <c r="G299" s="1047">
        <v>44593</v>
      </c>
      <c r="H299" s="1141">
        <v>44593</v>
      </c>
      <c r="I299" s="1048" t="s">
        <v>1459</v>
      </c>
      <c r="J299" s="1049" t="s">
        <v>1487</v>
      </c>
      <c r="K299" s="1017" t="s">
        <v>770</v>
      </c>
      <c r="L299" s="1019" t="s">
        <v>966</v>
      </c>
      <c r="M299" s="1020">
        <v>450000000</v>
      </c>
      <c r="N299" s="1037" t="s">
        <v>722</v>
      </c>
      <c r="O299" s="1037" t="s">
        <v>1488</v>
      </c>
      <c r="P299" s="1037"/>
      <c r="Q299" s="1017"/>
      <c r="R299" s="1022"/>
      <c r="S299" s="1130"/>
      <c r="T299" s="1156"/>
    </row>
    <row r="300" spans="1:20" s="995" customFormat="1" ht="75" x14ac:dyDescent="0.35">
      <c r="A300" s="1013">
        <v>2022294</v>
      </c>
      <c r="B300" s="1013">
        <v>7658</v>
      </c>
      <c r="C300" s="1013" t="s">
        <v>679</v>
      </c>
      <c r="D300" s="1045" t="s">
        <v>689</v>
      </c>
      <c r="E300" s="1051" t="s">
        <v>967</v>
      </c>
      <c r="F300" s="1084" t="s">
        <v>970</v>
      </c>
      <c r="G300" s="1047">
        <v>44593</v>
      </c>
      <c r="H300" s="1141">
        <v>44593</v>
      </c>
      <c r="I300" s="1048" t="s">
        <v>1417</v>
      </c>
      <c r="J300" s="1049" t="s">
        <v>1487</v>
      </c>
      <c r="K300" s="1017" t="s">
        <v>770</v>
      </c>
      <c r="L300" s="1019" t="s">
        <v>966</v>
      </c>
      <c r="M300" s="1020">
        <v>90000000</v>
      </c>
      <c r="N300" s="1037" t="s">
        <v>722</v>
      </c>
      <c r="O300" s="1037" t="s">
        <v>1488</v>
      </c>
      <c r="P300" s="1037"/>
      <c r="Q300" s="1017"/>
      <c r="R300" s="1022"/>
      <c r="S300" s="1130"/>
      <c r="T300" s="1156"/>
    </row>
    <row r="301" spans="1:20" s="995" customFormat="1" ht="87.5" x14ac:dyDescent="0.35">
      <c r="A301" s="1013">
        <v>2022295</v>
      </c>
      <c r="B301" s="1013">
        <v>7658</v>
      </c>
      <c r="C301" s="1013" t="s">
        <v>679</v>
      </c>
      <c r="D301" s="1045" t="s">
        <v>689</v>
      </c>
      <c r="E301" s="1051" t="s">
        <v>971</v>
      </c>
      <c r="F301" s="1084" t="s">
        <v>972</v>
      </c>
      <c r="G301" s="1047">
        <v>44593</v>
      </c>
      <c r="H301" s="1141">
        <v>44593</v>
      </c>
      <c r="I301" s="1048" t="s">
        <v>1457</v>
      </c>
      <c r="J301" s="1049" t="s">
        <v>1422</v>
      </c>
      <c r="K301" s="1017" t="s">
        <v>674</v>
      </c>
      <c r="L301" s="1085" t="s">
        <v>957</v>
      </c>
      <c r="M301" s="1020">
        <v>70000000</v>
      </c>
      <c r="N301" s="1037" t="s">
        <v>744</v>
      </c>
      <c r="O301" s="1037" t="s">
        <v>1473</v>
      </c>
      <c r="P301" s="1037"/>
      <c r="Q301" s="1017"/>
      <c r="R301" s="1022"/>
      <c r="S301" s="1130"/>
      <c r="T301" s="1156"/>
    </row>
    <row r="302" spans="1:20" s="995" customFormat="1" ht="87.5" x14ac:dyDescent="0.35">
      <c r="A302" s="1013">
        <v>2022296</v>
      </c>
      <c r="B302" s="1013">
        <v>7658</v>
      </c>
      <c r="C302" s="1013" t="s">
        <v>679</v>
      </c>
      <c r="D302" s="1045" t="s">
        <v>689</v>
      </c>
      <c r="E302" s="1051" t="s">
        <v>973</v>
      </c>
      <c r="F302" s="1084" t="s">
        <v>1491</v>
      </c>
      <c r="G302" s="1047">
        <v>44652</v>
      </c>
      <c r="H302" s="1141">
        <v>44652</v>
      </c>
      <c r="I302" s="1048" t="s">
        <v>1461</v>
      </c>
      <c r="J302" s="1049" t="s">
        <v>1438</v>
      </c>
      <c r="K302" s="1017" t="s">
        <v>674</v>
      </c>
      <c r="L302" s="1019" t="s">
        <v>1492</v>
      </c>
      <c r="M302" s="1020">
        <v>300000000</v>
      </c>
      <c r="N302" s="1037" t="s">
        <v>744</v>
      </c>
      <c r="O302" s="1037" t="s">
        <v>1473</v>
      </c>
      <c r="P302" s="1037"/>
      <c r="Q302" s="1017"/>
      <c r="R302" s="1022"/>
      <c r="S302" s="1130"/>
      <c r="T302" s="1156"/>
    </row>
    <row r="303" spans="1:20" s="995" customFormat="1" ht="87.5" x14ac:dyDescent="0.35">
      <c r="A303" s="1013">
        <v>2022297</v>
      </c>
      <c r="B303" s="1013">
        <v>7658</v>
      </c>
      <c r="C303" s="1013" t="s">
        <v>679</v>
      </c>
      <c r="D303" s="1045" t="s">
        <v>689</v>
      </c>
      <c r="E303" s="1051" t="s">
        <v>975</v>
      </c>
      <c r="F303" s="1084" t="s">
        <v>976</v>
      </c>
      <c r="G303" s="1047">
        <v>44593</v>
      </c>
      <c r="H303" s="1141">
        <v>44593</v>
      </c>
      <c r="I303" s="1048" t="s">
        <v>1417</v>
      </c>
      <c r="J303" s="1049" t="s">
        <v>1326</v>
      </c>
      <c r="K303" s="1017" t="s">
        <v>674</v>
      </c>
      <c r="L303" s="1019" t="s">
        <v>966</v>
      </c>
      <c r="M303" s="1020">
        <v>1119870000</v>
      </c>
      <c r="N303" s="1037" t="s">
        <v>744</v>
      </c>
      <c r="O303" s="1037" t="s">
        <v>1473</v>
      </c>
      <c r="P303" s="1037"/>
      <c r="Q303" s="1017"/>
      <c r="R303" s="1022"/>
      <c r="S303" s="1130"/>
      <c r="T303" s="1156"/>
    </row>
    <row r="304" spans="1:20" s="995" customFormat="1" ht="87.5" x14ac:dyDescent="0.35">
      <c r="A304" s="1013">
        <v>2022298</v>
      </c>
      <c r="B304" s="1013">
        <v>7658</v>
      </c>
      <c r="C304" s="1013" t="s">
        <v>679</v>
      </c>
      <c r="D304" s="1045" t="s">
        <v>689</v>
      </c>
      <c r="E304" s="1051" t="s">
        <v>967</v>
      </c>
      <c r="F304" s="1084" t="s">
        <v>977</v>
      </c>
      <c r="G304" s="1047">
        <v>44593</v>
      </c>
      <c r="H304" s="1141">
        <v>44593</v>
      </c>
      <c r="I304" s="1048" t="s">
        <v>1417</v>
      </c>
      <c r="J304" s="1049" t="s">
        <v>1487</v>
      </c>
      <c r="K304" s="1017" t="s">
        <v>674</v>
      </c>
      <c r="L304" s="1019" t="s">
        <v>966</v>
      </c>
      <c r="M304" s="1020">
        <v>420000000</v>
      </c>
      <c r="N304" s="1037" t="s">
        <v>744</v>
      </c>
      <c r="O304" s="1037" t="s">
        <v>1473</v>
      </c>
      <c r="P304" s="1037"/>
      <c r="Q304" s="1017"/>
      <c r="R304" s="1022"/>
      <c r="S304" s="1130"/>
      <c r="T304" s="1156"/>
    </row>
    <row r="305" spans="1:20" s="995" customFormat="1" ht="87.5" x14ac:dyDescent="0.35">
      <c r="A305" s="1013">
        <v>2022299</v>
      </c>
      <c r="B305" s="1013">
        <v>7658</v>
      </c>
      <c r="C305" s="1013" t="s">
        <v>679</v>
      </c>
      <c r="D305" s="1045" t="s">
        <v>689</v>
      </c>
      <c r="E305" s="1051" t="s">
        <v>1493</v>
      </c>
      <c r="F305" s="1084" t="s">
        <v>1494</v>
      </c>
      <c r="G305" s="1047">
        <v>44621</v>
      </c>
      <c r="H305" s="1141">
        <v>44621</v>
      </c>
      <c r="I305" s="1048" t="s">
        <v>1495</v>
      </c>
      <c r="J305" s="1049" t="s">
        <v>1496</v>
      </c>
      <c r="K305" s="1017" t="s">
        <v>770</v>
      </c>
      <c r="L305" s="1019" t="s">
        <v>1492</v>
      </c>
      <c r="M305" s="1020">
        <v>500000000</v>
      </c>
      <c r="N305" s="1037" t="s">
        <v>744</v>
      </c>
      <c r="O305" s="1037" t="s">
        <v>1473</v>
      </c>
      <c r="P305" s="1037"/>
      <c r="Q305" s="1017"/>
      <c r="R305" s="1022"/>
      <c r="S305" s="1130"/>
      <c r="T305" s="1156"/>
    </row>
    <row r="306" spans="1:20" s="995" customFormat="1" ht="87.5" x14ac:dyDescent="0.35">
      <c r="A306" s="1013">
        <v>2022300</v>
      </c>
      <c r="B306" s="1013">
        <v>7658</v>
      </c>
      <c r="C306" s="1013" t="s">
        <v>679</v>
      </c>
      <c r="D306" s="1045" t="s">
        <v>689</v>
      </c>
      <c r="E306" s="1051" t="s">
        <v>978</v>
      </c>
      <c r="F306" s="1084" t="s">
        <v>1497</v>
      </c>
      <c r="G306" s="1047">
        <v>44621</v>
      </c>
      <c r="H306" s="1141">
        <v>44621</v>
      </c>
      <c r="I306" s="1048" t="s">
        <v>1367</v>
      </c>
      <c r="J306" s="1049" t="s">
        <v>1496</v>
      </c>
      <c r="K306" s="1017" t="s">
        <v>770</v>
      </c>
      <c r="L306" s="1019" t="s">
        <v>1492</v>
      </c>
      <c r="M306" s="1020">
        <v>300000000</v>
      </c>
      <c r="N306" s="1037" t="s">
        <v>744</v>
      </c>
      <c r="O306" s="1037" t="s">
        <v>1473</v>
      </c>
      <c r="P306" s="1037"/>
      <c r="Q306" s="1017"/>
      <c r="R306" s="1022"/>
      <c r="S306" s="1130"/>
      <c r="T306" s="1156"/>
    </row>
    <row r="307" spans="1:20" s="995" customFormat="1" ht="50" x14ac:dyDescent="0.35">
      <c r="A307" s="1013">
        <v>2022301</v>
      </c>
      <c r="B307" s="1013">
        <v>7658</v>
      </c>
      <c r="C307" s="1013" t="s">
        <v>679</v>
      </c>
      <c r="D307" s="1045" t="s">
        <v>689</v>
      </c>
      <c r="E307" s="1046" t="s">
        <v>97</v>
      </c>
      <c r="F307" s="1084" t="s">
        <v>980</v>
      </c>
      <c r="G307" s="1047">
        <v>44621</v>
      </c>
      <c r="H307" s="1141">
        <v>44621</v>
      </c>
      <c r="I307" s="1018" t="s">
        <v>97</v>
      </c>
      <c r="J307" s="1049" t="s">
        <v>814</v>
      </c>
      <c r="K307" s="1017" t="s">
        <v>674</v>
      </c>
      <c r="L307" s="1019" t="s">
        <v>966</v>
      </c>
      <c r="M307" s="1020">
        <v>170000000</v>
      </c>
      <c r="N307" s="1019" t="s">
        <v>722</v>
      </c>
      <c r="O307" s="1019" t="s">
        <v>1488</v>
      </c>
      <c r="P307" s="1019"/>
      <c r="Q307" s="1017"/>
      <c r="R307" s="1022"/>
      <c r="S307" s="1130"/>
      <c r="T307" s="1156"/>
    </row>
    <row r="308" spans="1:20" s="995" customFormat="1" ht="87.5" x14ac:dyDescent="0.35">
      <c r="A308" s="1131">
        <v>2022302</v>
      </c>
      <c r="B308" s="1131">
        <v>7658</v>
      </c>
      <c r="C308" s="1131" t="s">
        <v>679</v>
      </c>
      <c r="D308" s="1139" t="s">
        <v>689</v>
      </c>
      <c r="E308" s="1140" t="s">
        <v>983</v>
      </c>
      <c r="F308" s="1152" t="s">
        <v>984</v>
      </c>
      <c r="G308" s="1141">
        <v>44652</v>
      </c>
      <c r="H308" s="1141">
        <v>44652</v>
      </c>
      <c r="I308" s="1142" t="s">
        <v>1461</v>
      </c>
      <c r="J308" s="1143" t="s">
        <v>1326</v>
      </c>
      <c r="K308" s="1135" t="s">
        <v>674</v>
      </c>
      <c r="L308" s="1132" t="s">
        <v>1498</v>
      </c>
      <c r="M308" s="1136">
        <v>308129000</v>
      </c>
      <c r="N308" s="1151" t="s">
        <v>744</v>
      </c>
      <c r="O308" s="1151" t="s">
        <v>1473</v>
      </c>
      <c r="P308" s="1151"/>
      <c r="Q308" s="1135"/>
      <c r="R308" s="1130">
        <v>594</v>
      </c>
      <c r="S308" s="1130"/>
      <c r="T308" s="1156"/>
    </row>
    <row r="309" spans="1:20" s="995" customFormat="1" ht="87.5" x14ac:dyDescent="0.35">
      <c r="A309" s="1013">
        <v>2022303</v>
      </c>
      <c r="B309" s="1013">
        <v>7658</v>
      </c>
      <c r="C309" s="1013" t="s">
        <v>679</v>
      </c>
      <c r="D309" s="1045" t="s">
        <v>689</v>
      </c>
      <c r="E309" s="1051" t="s">
        <v>986</v>
      </c>
      <c r="F309" s="1084" t="s">
        <v>987</v>
      </c>
      <c r="G309" s="1047">
        <v>44575</v>
      </c>
      <c r="H309" s="1141">
        <v>44575</v>
      </c>
      <c r="I309" s="1048" t="s">
        <v>1499</v>
      </c>
      <c r="J309" s="1049" t="s">
        <v>1475</v>
      </c>
      <c r="K309" s="1017" t="s">
        <v>674</v>
      </c>
      <c r="L309" s="1019" t="s">
        <v>988</v>
      </c>
      <c r="M309" s="1020">
        <v>10600000</v>
      </c>
      <c r="N309" s="1037" t="s">
        <v>744</v>
      </c>
      <c r="O309" s="1037" t="s">
        <v>1473</v>
      </c>
      <c r="P309" s="1037"/>
      <c r="Q309" s="1017"/>
      <c r="R309" s="1022"/>
      <c r="S309" s="1130"/>
      <c r="T309" s="1156"/>
    </row>
    <row r="310" spans="1:20" s="995" customFormat="1" ht="50" x14ac:dyDescent="0.35">
      <c r="A310" s="1013">
        <v>2022305</v>
      </c>
      <c r="B310" s="1013">
        <v>7658</v>
      </c>
      <c r="C310" s="1013" t="s">
        <v>679</v>
      </c>
      <c r="D310" s="1045" t="s">
        <v>689</v>
      </c>
      <c r="E310" s="1046" t="s">
        <v>1500</v>
      </c>
      <c r="F310" s="1084" t="s">
        <v>1501</v>
      </c>
      <c r="G310" s="1047">
        <v>44606</v>
      </c>
      <c r="H310" s="1141">
        <v>44606</v>
      </c>
      <c r="I310" s="1048" t="s">
        <v>1458</v>
      </c>
      <c r="J310" s="1049" t="s">
        <v>1422</v>
      </c>
      <c r="K310" s="1017" t="s">
        <v>770</v>
      </c>
      <c r="L310" s="1019" t="s">
        <v>966</v>
      </c>
      <c r="M310" s="1020">
        <v>205000000</v>
      </c>
      <c r="N310" s="1037" t="s">
        <v>722</v>
      </c>
      <c r="O310" s="1037" t="s">
        <v>1488</v>
      </c>
      <c r="P310" s="1037"/>
      <c r="Q310" s="1017"/>
      <c r="R310" s="1022"/>
      <c r="S310" s="1130"/>
      <c r="T310" s="1156"/>
    </row>
    <row r="311" spans="1:20" s="995" customFormat="1" ht="100" x14ac:dyDescent="0.35">
      <c r="A311" s="1013">
        <v>2022306</v>
      </c>
      <c r="B311" s="1013">
        <v>7658</v>
      </c>
      <c r="C311" s="1013" t="s">
        <v>679</v>
      </c>
      <c r="D311" s="1045" t="s">
        <v>689</v>
      </c>
      <c r="E311" s="1051" t="s">
        <v>967</v>
      </c>
      <c r="F311" s="1084" t="s">
        <v>992</v>
      </c>
      <c r="G311" s="1047">
        <v>44606</v>
      </c>
      <c r="H311" s="1141">
        <v>44606</v>
      </c>
      <c r="I311" s="1048" t="s">
        <v>1461</v>
      </c>
      <c r="J311" s="1049" t="s">
        <v>1487</v>
      </c>
      <c r="K311" s="1017" t="s">
        <v>770</v>
      </c>
      <c r="L311" s="1019" t="s">
        <v>966</v>
      </c>
      <c r="M311" s="1020">
        <v>21000000</v>
      </c>
      <c r="N311" s="1037" t="s">
        <v>722</v>
      </c>
      <c r="O311" s="1037" t="s">
        <v>1488</v>
      </c>
      <c r="P311" s="1037"/>
      <c r="Q311" s="1017"/>
      <c r="R311" s="1022"/>
      <c r="S311" s="1130"/>
      <c r="T311" s="1156"/>
    </row>
    <row r="312" spans="1:20" s="995" customFormat="1" ht="50" x14ac:dyDescent="0.35">
      <c r="A312" s="1013">
        <v>2022307</v>
      </c>
      <c r="B312" s="1013">
        <v>7658</v>
      </c>
      <c r="C312" s="1013" t="s">
        <v>679</v>
      </c>
      <c r="D312" s="1045" t="s">
        <v>689</v>
      </c>
      <c r="E312" s="1051" t="s">
        <v>971</v>
      </c>
      <c r="F312" s="1084" t="s">
        <v>1502</v>
      </c>
      <c r="G312" s="1047">
        <v>44634</v>
      </c>
      <c r="H312" s="1141">
        <v>44634</v>
      </c>
      <c r="I312" s="1048" t="s">
        <v>1371</v>
      </c>
      <c r="J312" s="1049" t="s">
        <v>1326</v>
      </c>
      <c r="K312" s="1017" t="s">
        <v>770</v>
      </c>
      <c r="L312" s="1019" t="s">
        <v>966</v>
      </c>
      <c r="M312" s="1020">
        <v>1000000000</v>
      </c>
      <c r="N312" s="1037" t="s">
        <v>722</v>
      </c>
      <c r="O312" s="1037" t="s">
        <v>1488</v>
      </c>
      <c r="P312" s="1037"/>
      <c r="Q312" s="1017"/>
      <c r="R312" s="1022"/>
      <c r="S312" s="1130"/>
      <c r="T312" s="1156"/>
    </row>
    <row r="313" spans="1:20" s="995" customFormat="1" ht="87.5" x14ac:dyDescent="0.35">
      <c r="A313" s="1013">
        <v>2022308</v>
      </c>
      <c r="B313" s="1013">
        <v>7658</v>
      </c>
      <c r="C313" s="1013" t="s">
        <v>679</v>
      </c>
      <c r="D313" s="1045" t="s">
        <v>689</v>
      </c>
      <c r="E313" s="1051" t="s">
        <v>967</v>
      </c>
      <c r="F313" s="1084" t="s">
        <v>1503</v>
      </c>
      <c r="G313" s="1047">
        <v>44634</v>
      </c>
      <c r="H313" s="1141">
        <v>44634</v>
      </c>
      <c r="I313" s="1048" t="s">
        <v>1504</v>
      </c>
      <c r="J313" s="1049" t="s">
        <v>1487</v>
      </c>
      <c r="K313" s="1017" t="s">
        <v>770</v>
      </c>
      <c r="L313" s="1019" t="s">
        <v>966</v>
      </c>
      <c r="M313" s="1020">
        <v>345000000</v>
      </c>
      <c r="N313" s="1037" t="s">
        <v>722</v>
      </c>
      <c r="O313" s="1037" t="s">
        <v>1488</v>
      </c>
      <c r="P313" s="1037"/>
      <c r="Q313" s="1017"/>
      <c r="R313" s="1022"/>
      <c r="S313" s="1130"/>
      <c r="T313" s="1156"/>
    </row>
    <row r="314" spans="1:20" s="995" customFormat="1" ht="87.5" x14ac:dyDescent="0.35">
      <c r="A314" s="1013">
        <v>2022309</v>
      </c>
      <c r="B314" s="1013">
        <v>7658</v>
      </c>
      <c r="C314" s="1013" t="s">
        <v>679</v>
      </c>
      <c r="D314" s="1045" t="s">
        <v>689</v>
      </c>
      <c r="E314" s="1051" t="s">
        <v>1505</v>
      </c>
      <c r="F314" s="1084" t="s">
        <v>1506</v>
      </c>
      <c r="G314" s="1047">
        <v>44695</v>
      </c>
      <c r="H314" s="1141">
        <v>44695</v>
      </c>
      <c r="I314" s="1048" t="s">
        <v>1457</v>
      </c>
      <c r="J314" s="1049" t="s">
        <v>1326</v>
      </c>
      <c r="K314" s="1017" t="s">
        <v>770</v>
      </c>
      <c r="L314" s="1019" t="s">
        <v>966</v>
      </c>
      <c r="M314" s="1020">
        <v>175000000</v>
      </c>
      <c r="N314" s="1037" t="s">
        <v>759</v>
      </c>
      <c r="O314" s="1037" t="s">
        <v>1507</v>
      </c>
      <c r="P314" s="1037"/>
      <c r="Q314" s="1017"/>
      <c r="R314" s="1022"/>
      <c r="S314" s="1130"/>
      <c r="T314" s="1156"/>
    </row>
    <row r="315" spans="1:20" s="995" customFormat="1" ht="100" x14ac:dyDescent="0.35">
      <c r="A315" s="1013">
        <v>2022310</v>
      </c>
      <c r="B315" s="1013">
        <v>7658</v>
      </c>
      <c r="C315" s="1013" t="s">
        <v>679</v>
      </c>
      <c r="D315" s="1045" t="s">
        <v>695</v>
      </c>
      <c r="E315" s="1046">
        <v>80111600</v>
      </c>
      <c r="F315" s="1016" t="s">
        <v>998</v>
      </c>
      <c r="G315" s="1047" t="s">
        <v>1414</v>
      </c>
      <c r="H315" s="1141" t="s">
        <v>1414</v>
      </c>
      <c r="I315" s="1048" t="s">
        <v>1458</v>
      </c>
      <c r="J315" s="1049" t="s">
        <v>1455</v>
      </c>
      <c r="K315" s="1017" t="s">
        <v>674</v>
      </c>
      <c r="L315" s="1085" t="s">
        <v>675</v>
      </c>
      <c r="M315" s="1020">
        <v>30429000</v>
      </c>
      <c r="N315" s="1037" t="s">
        <v>1508</v>
      </c>
      <c r="O315" s="1037" t="s">
        <v>1509</v>
      </c>
      <c r="P315" s="1037"/>
      <c r="Q315" s="1017"/>
      <c r="R315" s="1022"/>
      <c r="S315" s="1130"/>
      <c r="T315" s="1156"/>
    </row>
    <row r="316" spans="1:20" s="995" customFormat="1" ht="100" x14ac:dyDescent="0.35">
      <c r="A316" s="1023">
        <v>2022311</v>
      </c>
      <c r="B316" s="1023">
        <v>7658</v>
      </c>
      <c r="C316" s="1023" t="s">
        <v>679</v>
      </c>
      <c r="D316" s="1039" t="s">
        <v>695</v>
      </c>
      <c r="E316" s="1040">
        <v>80111600</v>
      </c>
      <c r="F316" s="1026" t="s">
        <v>999</v>
      </c>
      <c r="G316" s="1041" t="s">
        <v>1414</v>
      </c>
      <c r="H316" s="1141" t="s">
        <v>1414</v>
      </c>
      <c r="I316" s="1042" t="s">
        <v>1417</v>
      </c>
      <c r="J316" s="1043" t="s">
        <v>1455</v>
      </c>
      <c r="K316" s="1027" t="s">
        <v>674</v>
      </c>
      <c r="L316" s="1088" t="s">
        <v>675</v>
      </c>
      <c r="M316" s="1030">
        <v>26950000</v>
      </c>
      <c r="N316" s="1083" t="s">
        <v>1508</v>
      </c>
      <c r="O316" s="1083" t="s">
        <v>1509</v>
      </c>
      <c r="P316" s="1083"/>
      <c r="Q316" s="1027"/>
      <c r="R316" s="1022"/>
      <c r="S316" s="1130">
        <v>117</v>
      </c>
      <c r="T316" s="1156">
        <v>17150000</v>
      </c>
    </row>
    <row r="317" spans="1:20" s="995" customFormat="1" ht="100" x14ac:dyDescent="0.35">
      <c r="A317" s="1023">
        <v>2022312</v>
      </c>
      <c r="B317" s="1023">
        <v>7658</v>
      </c>
      <c r="C317" s="1023" t="s">
        <v>679</v>
      </c>
      <c r="D317" s="1039" t="s">
        <v>695</v>
      </c>
      <c r="E317" s="1040">
        <v>80111600</v>
      </c>
      <c r="F317" s="1026" t="s">
        <v>999</v>
      </c>
      <c r="G317" s="1041" t="s">
        <v>1414</v>
      </c>
      <c r="H317" s="1141" t="s">
        <v>1414</v>
      </c>
      <c r="I317" s="1042" t="s">
        <v>1417</v>
      </c>
      <c r="J317" s="1043" t="s">
        <v>1455</v>
      </c>
      <c r="K317" s="1027" t="s">
        <v>674</v>
      </c>
      <c r="L317" s="1088" t="s">
        <v>675</v>
      </c>
      <c r="M317" s="1030">
        <v>26950000</v>
      </c>
      <c r="N317" s="1083" t="s">
        <v>1508</v>
      </c>
      <c r="O317" s="1083" t="s">
        <v>1509</v>
      </c>
      <c r="P317" s="1083"/>
      <c r="Q317" s="1027"/>
      <c r="R317" s="1022"/>
      <c r="S317" s="1130">
        <v>192</v>
      </c>
      <c r="T317" s="1156">
        <v>17150000</v>
      </c>
    </row>
    <row r="318" spans="1:20" s="995" customFormat="1" ht="100" x14ac:dyDescent="0.35">
      <c r="A318" s="1023">
        <v>2022313</v>
      </c>
      <c r="B318" s="1023">
        <v>7658</v>
      </c>
      <c r="C318" s="1023" t="s">
        <v>679</v>
      </c>
      <c r="D318" s="1039" t="s">
        <v>695</v>
      </c>
      <c r="E318" s="1040">
        <v>80111600</v>
      </c>
      <c r="F318" s="1026" t="s">
        <v>1000</v>
      </c>
      <c r="G318" s="1041" t="s">
        <v>1414</v>
      </c>
      <c r="H318" s="1141" t="s">
        <v>1414</v>
      </c>
      <c r="I318" s="1042" t="s">
        <v>1417</v>
      </c>
      <c r="J318" s="1043" t="s">
        <v>1455</v>
      </c>
      <c r="K318" s="1027" t="s">
        <v>674</v>
      </c>
      <c r="L318" s="1088" t="s">
        <v>675</v>
      </c>
      <c r="M318" s="1030">
        <v>59202000</v>
      </c>
      <c r="N318" s="1083" t="s">
        <v>1508</v>
      </c>
      <c r="O318" s="1083" t="s">
        <v>1509</v>
      </c>
      <c r="P318" s="1083"/>
      <c r="Q318" s="1027"/>
      <c r="R318" s="1022"/>
      <c r="S318" s="1130">
        <v>60</v>
      </c>
      <c r="T318" s="1156">
        <v>48438000</v>
      </c>
    </row>
    <row r="319" spans="1:20" s="995" customFormat="1" ht="100" x14ac:dyDescent="0.35">
      <c r="A319" s="1023">
        <v>2022314</v>
      </c>
      <c r="B319" s="1023">
        <v>7658</v>
      </c>
      <c r="C319" s="1023" t="s">
        <v>679</v>
      </c>
      <c r="D319" s="1039" t="s">
        <v>695</v>
      </c>
      <c r="E319" s="1040">
        <v>80111600</v>
      </c>
      <c r="F319" s="1026" t="s">
        <v>1001</v>
      </c>
      <c r="G319" s="1041" t="s">
        <v>1414</v>
      </c>
      <c r="H319" s="1141" t="s">
        <v>1414</v>
      </c>
      <c r="I319" s="1042" t="s">
        <v>1417</v>
      </c>
      <c r="J319" s="1043" t="s">
        <v>1455</v>
      </c>
      <c r="K319" s="1027" t="s">
        <v>674</v>
      </c>
      <c r="L319" s="1088" t="s">
        <v>675</v>
      </c>
      <c r="M319" s="1030">
        <v>36850000</v>
      </c>
      <c r="N319" s="1083" t="s">
        <v>1508</v>
      </c>
      <c r="O319" s="1083" t="s">
        <v>1509</v>
      </c>
      <c r="P319" s="1083"/>
      <c r="Q319" s="1027"/>
      <c r="R319" s="1022"/>
      <c r="S319" s="1130">
        <v>180</v>
      </c>
      <c r="T319" s="1156">
        <v>36850000</v>
      </c>
    </row>
    <row r="320" spans="1:20" s="995" customFormat="1" ht="100" x14ac:dyDescent="0.35">
      <c r="A320" s="1023">
        <v>2022315</v>
      </c>
      <c r="B320" s="1023">
        <v>7658</v>
      </c>
      <c r="C320" s="1023" t="s">
        <v>679</v>
      </c>
      <c r="D320" s="1039" t="s">
        <v>695</v>
      </c>
      <c r="E320" s="1040">
        <v>80111600</v>
      </c>
      <c r="F320" s="1026" t="s">
        <v>1002</v>
      </c>
      <c r="G320" s="1041" t="s">
        <v>1414</v>
      </c>
      <c r="H320" s="1141" t="s">
        <v>1414</v>
      </c>
      <c r="I320" s="1042" t="s">
        <v>1417</v>
      </c>
      <c r="J320" s="1043" t="s">
        <v>1455</v>
      </c>
      <c r="K320" s="1027" t="s">
        <v>674</v>
      </c>
      <c r="L320" s="1088" t="s">
        <v>675</v>
      </c>
      <c r="M320" s="1030">
        <v>47817000</v>
      </c>
      <c r="N320" s="1083" t="s">
        <v>1508</v>
      </c>
      <c r="O320" s="1083" t="s">
        <v>1509</v>
      </c>
      <c r="P320" s="1083"/>
      <c r="Q320" s="1027"/>
      <c r="R320" s="1022"/>
      <c r="S320" s="1130">
        <v>118</v>
      </c>
      <c r="T320" s="1156">
        <v>30429000</v>
      </c>
    </row>
    <row r="321" spans="1:103" s="995" customFormat="1" ht="100" x14ac:dyDescent="0.35">
      <c r="A321" s="1023">
        <v>2022316</v>
      </c>
      <c r="B321" s="1023">
        <v>7658</v>
      </c>
      <c r="C321" s="1023" t="s">
        <v>679</v>
      </c>
      <c r="D321" s="1039" t="s">
        <v>695</v>
      </c>
      <c r="E321" s="1040">
        <v>80111600</v>
      </c>
      <c r="F321" s="1026" t="s">
        <v>1003</v>
      </c>
      <c r="G321" s="1041" t="s">
        <v>1414</v>
      </c>
      <c r="H321" s="1141" t="s">
        <v>1414</v>
      </c>
      <c r="I321" s="1042" t="s">
        <v>1417</v>
      </c>
      <c r="J321" s="1043" t="s">
        <v>1455</v>
      </c>
      <c r="K321" s="1027" t="s">
        <v>674</v>
      </c>
      <c r="L321" s="1088" t="s">
        <v>675</v>
      </c>
      <c r="M321" s="1030">
        <v>59202000</v>
      </c>
      <c r="N321" s="1083" t="s">
        <v>1508</v>
      </c>
      <c r="O321" s="1083" t="s">
        <v>1509</v>
      </c>
      <c r="P321" s="1083"/>
      <c r="Q321" s="1027"/>
      <c r="R321" s="1022"/>
      <c r="S321" s="1130">
        <v>178</v>
      </c>
      <c r="T321" s="1156">
        <v>59202000</v>
      </c>
    </row>
    <row r="322" spans="1:103" s="995" customFormat="1" ht="100" x14ac:dyDescent="0.35">
      <c r="A322" s="1023">
        <v>2022317</v>
      </c>
      <c r="B322" s="1023">
        <v>7658</v>
      </c>
      <c r="C322" s="1023" t="s">
        <v>679</v>
      </c>
      <c r="D322" s="1039" t="s">
        <v>695</v>
      </c>
      <c r="E322" s="1040">
        <v>80111600</v>
      </c>
      <c r="F322" s="1026" t="s">
        <v>1004</v>
      </c>
      <c r="G322" s="1041" t="s">
        <v>1414</v>
      </c>
      <c r="H322" s="1141" t="s">
        <v>1414</v>
      </c>
      <c r="I322" s="1042" t="s">
        <v>1417</v>
      </c>
      <c r="J322" s="1043" t="s">
        <v>1455</v>
      </c>
      <c r="K322" s="1027" t="s">
        <v>674</v>
      </c>
      <c r="L322" s="1088" t="s">
        <v>675</v>
      </c>
      <c r="M322" s="1030">
        <v>31880000</v>
      </c>
      <c r="N322" s="1083" t="s">
        <v>1508</v>
      </c>
      <c r="O322" s="1083" t="s">
        <v>1509</v>
      </c>
      <c r="P322" s="1083"/>
      <c r="Q322" s="1027"/>
      <c r="R322" s="1022"/>
      <c r="S322" s="1130">
        <v>186</v>
      </c>
      <c r="T322" s="1156">
        <v>27895000</v>
      </c>
    </row>
    <row r="323" spans="1:103" s="995" customFormat="1" ht="100" x14ac:dyDescent="0.35">
      <c r="A323" s="1023">
        <v>2022318</v>
      </c>
      <c r="B323" s="1023">
        <v>7658</v>
      </c>
      <c r="C323" s="1023" t="s">
        <v>679</v>
      </c>
      <c r="D323" s="1039" t="s">
        <v>695</v>
      </c>
      <c r="E323" s="1040">
        <v>80111600</v>
      </c>
      <c r="F323" s="1026" t="s">
        <v>1005</v>
      </c>
      <c r="G323" s="1041" t="s">
        <v>1414</v>
      </c>
      <c r="H323" s="1141" t="s">
        <v>1414</v>
      </c>
      <c r="I323" s="1042" t="s">
        <v>1417</v>
      </c>
      <c r="J323" s="1043" t="s">
        <v>1455</v>
      </c>
      <c r="K323" s="1027" t="s">
        <v>674</v>
      </c>
      <c r="L323" s="1088" t="s">
        <v>675</v>
      </c>
      <c r="M323" s="1030">
        <v>16146000</v>
      </c>
      <c r="N323" s="1083" t="s">
        <v>1508</v>
      </c>
      <c r="O323" s="1083" t="s">
        <v>1509</v>
      </c>
      <c r="P323" s="1083"/>
      <c r="Q323" s="1027"/>
      <c r="R323" s="1022"/>
      <c r="S323" s="1130">
        <v>191</v>
      </c>
      <c r="T323" s="1156">
        <v>16146000</v>
      </c>
    </row>
    <row r="324" spans="1:103" s="995" customFormat="1" ht="100" x14ac:dyDescent="0.35">
      <c r="A324" s="1023">
        <v>2022319</v>
      </c>
      <c r="B324" s="1023">
        <v>7658</v>
      </c>
      <c r="C324" s="1023" t="s">
        <v>679</v>
      </c>
      <c r="D324" s="1039" t="s">
        <v>695</v>
      </c>
      <c r="E324" s="1040">
        <v>80111600</v>
      </c>
      <c r="F324" s="1026" t="s">
        <v>1006</v>
      </c>
      <c r="G324" s="1041" t="s">
        <v>1414</v>
      </c>
      <c r="H324" s="1141" t="s">
        <v>1414</v>
      </c>
      <c r="I324" s="1042" t="s">
        <v>1417</v>
      </c>
      <c r="J324" s="1043" t="s">
        <v>1455</v>
      </c>
      <c r="K324" s="1027" t="s">
        <v>674</v>
      </c>
      <c r="L324" s="1088" t="s">
        <v>675</v>
      </c>
      <c r="M324" s="1030">
        <v>80300000</v>
      </c>
      <c r="N324" s="1083" t="s">
        <v>1508</v>
      </c>
      <c r="O324" s="1083" t="s">
        <v>1509</v>
      </c>
      <c r="P324" s="1083"/>
      <c r="Q324" s="1027"/>
      <c r="R324" s="1022"/>
      <c r="S324" s="1130">
        <v>179</v>
      </c>
      <c r="T324" s="1156">
        <v>80300000</v>
      </c>
    </row>
    <row r="325" spans="1:103" s="995" customFormat="1" ht="100" x14ac:dyDescent="0.35">
      <c r="A325" s="1023">
        <v>2022320</v>
      </c>
      <c r="B325" s="1023">
        <v>7658</v>
      </c>
      <c r="C325" s="1023" t="s">
        <v>679</v>
      </c>
      <c r="D325" s="1039" t="s">
        <v>695</v>
      </c>
      <c r="E325" s="1040">
        <v>80111600</v>
      </c>
      <c r="F325" s="1026" t="s">
        <v>1007</v>
      </c>
      <c r="G325" s="1041" t="s">
        <v>1414</v>
      </c>
      <c r="H325" s="1141" t="s">
        <v>1414</v>
      </c>
      <c r="I325" s="1042" t="s">
        <v>1417</v>
      </c>
      <c r="J325" s="1043" t="s">
        <v>1455</v>
      </c>
      <c r="K325" s="1027" t="s">
        <v>674</v>
      </c>
      <c r="L325" s="1088" t="s">
        <v>675</v>
      </c>
      <c r="M325" s="1030">
        <v>56925000</v>
      </c>
      <c r="N325" s="1083" t="s">
        <v>1508</v>
      </c>
      <c r="O325" s="1083" t="s">
        <v>1509</v>
      </c>
      <c r="P325" s="1083"/>
      <c r="Q325" s="1027"/>
      <c r="R325" s="1022"/>
      <c r="S325" s="1130">
        <v>97</v>
      </c>
      <c r="T325" s="1156">
        <v>36225000</v>
      </c>
    </row>
    <row r="326" spans="1:103" s="995" customFormat="1" ht="100" x14ac:dyDescent="0.35">
      <c r="A326" s="1023">
        <v>2022321</v>
      </c>
      <c r="B326" s="1023">
        <v>7658</v>
      </c>
      <c r="C326" s="1023" t="s">
        <v>679</v>
      </c>
      <c r="D326" s="1039" t="s">
        <v>695</v>
      </c>
      <c r="E326" s="1040">
        <v>80111600</v>
      </c>
      <c r="F326" s="1026" t="s">
        <v>1008</v>
      </c>
      <c r="G326" s="1041" t="s">
        <v>1414</v>
      </c>
      <c r="H326" s="1141" t="s">
        <v>1414</v>
      </c>
      <c r="I326" s="1042" t="s">
        <v>1459</v>
      </c>
      <c r="J326" s="1043" t="s">
        <v>1455</v>
      </c>
      <c r="K326" s="1027" t="s">
        <v>674</v>
      </c>
      <c r="L326" s="1088" t="s">
        <v>675</v>
      </c>
      <c r="M326" s="1030">
        <v>23100000</v>
      </c>
      <c r="N326" s="1083" t="s">
        <v>1508</v>
      </c>
      <c r="O326" s="1083" t="s">
        <v>1509</v>
      </c>
      <c r="P326" s="1083"/>
      <c r="Q326" s="1027"/>
      <c r="R326" s="1022"/>
      <c r="S326" s="1130">
        <v>235</v>
      </c>
      <c r="T326" s="1156">
        <v>11550000</v>
      </c>
    </row>
    <row r="327" spans="1:103" s="995" customFormat="1" ht="100" x14ac:dyDescent="0.35">
      <c r="A327" s="1023">
        <v>2022322</v>
      </c>
      <c r="B327" s="1023">
        <v>7658</v>
      </c>
      <c r="C327" s="1023" t="s">
        <v>679</v>
      </c>
      <c r="D327" s="1039" t="s">
        <v>695</v>
      </c>
      <c r="E327" s="1040">
        <v>80111600</v>
      </c>
      <c r="F327" s="1026" t="s">
        <v>1009</v>
      </c>
      <c r="G327" s="1041" t="s">
        <v>1414</v>
      </c>
      <c r="H327" s="1141" t="s">
        <v>1414</v>
      </c>
      <c r="I327" s="1042" t="s">
        <v>1367</v>
      </c>
      <c r="J327" s="1043" t="s">
        <v>1455</v>
      </c>
      <c r="K327" s="1027" t="s">
        <v>674</v>
      </c>
      <c r="L327" s="1088" t="s">
        <v>675</v>
      </c>
      <c r="M327" s="1030">
        <v>26950000</v>
      </c>
      <c r="N327" s="1083" t="s">
        <v>1508</v>
      </c>
      <c r="O327" s="1083" t="s">
        <v>1509</v>
      </c>
      <c r="P327" s="1083"/>
      <c r="Q327" s="1027"/>
      <c r="R327" s="1022"/>
      <c r="S327" s="1130">
        <v>339</v>
      </c>
      <c r="T327" s="1156">
        <v>26950000</v>
      </c>
    </row>
    <row r="328" spans="1:103" s="995" customFormat="1" ht="100" x14ac:dyDescent="0.35">
      <c r="A328" s="1023">
        <v>2022323</v>
      </c>
      <c r="B328" s="1023">
        <v>7658</v>
      </c>
      <c r="C328" s="1023" t="s">
        <v>679</v>
      </c>
      <c r="D328" s="1039" t="s">
        <v>695</v>
      </c>
      <c r="E328" s="1040">
        <v>80111600</v>
      </c>
      <c r="F328" s="1026" t="s">
        <v>1010</v>
      </c>
      <c r="G328" s="1041" t="s">
        <v>1414</v>
      </c>
      <c r="H328" s="1141" t="s">
        <v>1414</v>
      </c>
      <c r="I328" s="1042" t="s">
        <v>1417</v>
      </c>
      <c r="J328" s="1043" t="s">
        <v>1455</v>
      </c>
      <c r="K328" s="1027" t="s">
        <v>674</v>
      </c>
      <c r="L328" s="1088" t="s">
        <v>675</v>
      </c>
      <c r="M328" s="1030">
        <v>47817000</v>
      </c>
      <c r="N328" s="1083" t="s">
        <v>1508</v>
      </c>
      <c r="O328" s="1083" t="s">
        <v>1509</v>
      </c>
      <c r="P328" s="1083"/>
      <c r="Q328" s="1027"/>
      <c r="R328" s="1022"/>
      <c r="S328" s="1130">
        <v>177</v>
      </c>
      <c r="T328" s="1156">
        <v>34776000</v>
      </c>
    </row>
    <row r="329" spans="1:103" s="995" customFormat="1" ht="118.5" customHeight="1" x14ac:dyDescent="0.35">
      <c r="A329" s="1013">
        <v>2022324</v>
      </c>
      <c r="B329" s="1013">
        <v>7658</v>
      </c>
      <c r="C329" s="1013" t="s">
        <v>679</v>
      </c>
      <c r="D329" s="1045" t="s">
        <v>695</v>
      </c>
      <c r="E329" s="1051" t="s">
        <v>1011</v>
      </c>
      <c r="F329" s="1016" t="s">
        <v>1012</v>
      </c>
      <c r="G329" s="1047" t="s">
        <v>1420</v>
      </c>
      <c r="H329" s="1141" t="s">
        <v>1428</v>
      </c>
      <c r="I329" s="1048" t="s">
        <v>1457</v>
      </c>
      <c r="J329" s="1049" t="s">
        <v>1510</v>
      </c>
      <c r="K329" s="1017" t="s">
        <v>770</v>
      </c>
      <c r="L329" s="1019" t="s">
        <v>1492</v>
      </c>
      <c r="M329" s="1020">
        <v>200000000</v>
      </c>
      <c r="N329" s="1037" t="s">
        <v>1508</v>
      </c>
      <c r="O329" s="1037" t="s">
        <v>1509</v>
      </c>
      <c r="P329" s="1037"/>
      <c r="Q329" s="1047">
        <v>44600</v>
      </c>
      <c r="R329" s="1022"/>
      <c r="S329" s="1130"/>
      <c r="T329" s="1156"/>
    </row>
    <row r="330" spans="1:103" s="995" customFormat="1" ht="100" x14ac:dyDescent="0.35">
      <c r="A330" s="1013">
        <v>2022325</v>
      </c>
      <c r="B330" s="1013">
        <v>7658</v>
      </c>
      <c r="C330" s="1013" t="s">
        <v>679</v>
      </c>
      <c r="D330" s="1045" t="s">
        <v>695</v>
      </c>
      <c r="E330" s="1051" t="s">
        <v>1013</v>
      </c>
      <c r="F330" s="1016" t="s">
        <v>1511</v>
      </c>
      <c r="G330" s="1047" t="s">
        <v>1414</v>
      </c>
      <c r="H330" s="1141" t="s">
        <v>1420</v>
      </c>
      <c r="I330" s="1048" t="s">
        <v>1457</v>
      </c>
      <c r="J330" s="1049" t="s">
        <v>1326</v>
      </c>
      <c r="K330" s="1017" t="s">
        <v>674</v>
      </c>
      <c r="L330" s="1085" t="s">
        <v>675</v>
      </c>
      <c r="M330" s="1020">
        <v>770904000</v>
      </c>
      <c r="N330" s="1037" t="s">
        <v>1508</v>
      </c>
      <c r="O330" s="1037" t="s">
        <v>1509</v>
      </c>
      <c r="P330" s="1037"/>
      <c r="Q330" s="1017"/>
      <c r="R330" s="1022"/>
      <c r="S330" s="1130"/>
      <c r="T330" s="1156"/>
    </row>
    <row r="331" spans="1:103" s="995" customFormat="1" ht="100" x14ac:dyDescent="0.35">
      <c r="A331" s="1013">
        <v>2022326</v>
      </c>
      <c r="B331" s="1013">
        <v>7658</v>
      </c>
      <c r="C331" s="1013" t="s">
        <v>679</v>
      </c>
      <c r="D331" s="1045" t="s">
        <v>695</v>
      </c>
      <c r="E331" s="1046">
        <v>46201002</v>
      </c>
      <c r="F331" s="1016" t="s">
        <v>1512</v>
      </c>
      <c r="G331" s="1047" t="s">
        <v>1414</v>
      </c>
      <c r="H331" s="1141" t="s">
        <v>1420</v>
      </c>
      <c r="I331" s="1048" t="s">
        <v>1457</v>
      </c>
      <c r="J331" s="1049" t="s">
        <v>1326</v>
      </c>
      <c r="K331" s="1017" t="s">
        <v>770</v>
      </c>
      <c r="L331" s="1019" t="s">
        <v>1492</v>
      </c>
      <c r="M331" s="1020">
        <v>1100000000</v>
      </c>
      <c r="N331" s="1037" t="s">
        <v>1508</v>
      </c>
      <c r="O331" s="1037" t="s">
        <v>1509</v>
      </c>
      <c r="P331" s="1037"/>
      <c r="Q331" s="1047">
        <v>44600</v>
      </c>
      <c r="R331" s="1022"/>
      <c r="S331" s="1130"/>
      <c r="T331" s="1156"/>
    </row>
    <row r="332" spans="1:103" s="995" customFormat="1" ht="100" x14ac:dyDescent="0.35">
      <c r="A332" s="1023">
        <v>2022327</v>
      </c>
      <c r="B332" s="1023">
        <v>7658</v>
      </c>
      <c r="C332" s="1023" t="s">
        <v>679</v>
      </c>
      <c r="D332" s="1039" t="s">
        <v>695</v>
      </c>
      <c r="E332" s="1040">
        <v>90121800</v>
      </c>
      <c r="F332" s="1026" t="s">
        <v>1017</v>
      </c>
      <c r="G332" s="1041" t="s">
        <v>1414</v>
      </c>
      <c r="H332" s="1141" t="s">
        <v>1414</v>
      </c>
      <c r="I332" s="1042" t="s">
        <v>1460</v>
      </c>
      <c r="J332" s="1043" t="s">
        <v>814</v>
      </c>
      <c r="K332" s="1027" t="s">
        <v>674</v>
      </c>
      <c r="L332" s="1088" t="s">
        <v>675</v>
      </c>
      <c r="M332" s="1030">
        <f>40000000+10000000</f>
        <v>50000000</v>
      </c>
      <c r="N332" s="1083" t="s">
        <v>1508</v>
      </c>
      <c r="O332" s="1083" t="s">
        <v>1509</v>
      </c>
      <c r="P332" s="1083"/>
      <c r="Q332" s="1041">
        <v>44600</v>
      </c>
      <c r="R332" s="1022"/>
      <c r="S332" s="1130">
        <v>388</v>
      </c>
      <c r="T332" s="1156">
        <v>306300</v>
      </c>
    </row>
    <row r="333" spans="1:103" s="1034" customFormat="1" ht="100" x14ac:dyDescent="0.35">
      <c r="A333" s="1131">
        <v>2022328</v>
      </c>
      <c r="B333" s="1131">
        <v>7658</v>
      </c>
      <c r="C333" s="1131" t="s">
        <v>679</v>
      </c>
      <c r="D333" s="1139" t="s">
        <v>695</v>
      </c>
      <c r="E333" s="1145">
        <v>90121800</v>
      </c>
      <c r="F333" s="1134" t="s">
        <v>1018</v>
      </c>
      <c r="G333" s="1141" t="s">
        <v>1414</v>
      </c>
      <c r="H333" s="1141" t="s">
        <v>1414</v>
      </c>
      <c r="I333" s="1142" t="s">
        <v>1460</v>
      </c>
      <c r="J333" s="1143" t="s">
        <v>814</v>
      </c>
      <c r="K333" s="1135" t="s">
        <v>674</v>
      </c>
      <c r="L333" s="1153" t="s">
        <v>675</v>
      </c>
      <c r="M333" s="1136">
        <v>80000000</v>
      </c>
      <c r="N333" s="1151" t="s">
        <v>1508</v>
      </c>
      <c r="O333" s="1151" t="s">
        <v>1509</v>
      </c>
      <c r="P333" s="1151"/>
      <c r="Q333" s="1135"/>
      <c r="R333" s="1130">
        <v>537</v>
      </c>
      <c r="S333" s="1130"/>
      <c r="T333" s="1156"/>
      <c r="U333" s="995"/>
      <c r="V333" s="995"/>
      <c r="W333" s="995"/>
      <c r="X333" s="995"/>
      <c r="Y333" s="995"/>
      <c r="Z333" s="995"/>
      <c r="AA333" s="995"/>
      <c r="AB333" s="995"/>
      <c r="AC333" s="995"/>
      <c r="AD333" s="995"/>
      <c r="AE333" s="995"/>
      <c r="AF333" s="995"/>
      <c r="AG333" s="995"/>
      <c r="AH333" s="995"/>
      <c r="AI333" s="995"/>
      <c r="AJ333" s="995"/>
      <c r="AK333" s="995"/>
      <c r="AL333" s="995"/>
      <c r="AM333" s="995"/>
      <c r="AN333" s="995"/>
      <c r="AO333" s="995"/>
      <c r="AP333" s="995"/>
      <c r="AQ333" s="995"/>
      <c r="AR333" s="995"/>
      <c r="AS333" s="995"/>
      <c r="AT333" s="995"/>
      <c r="AU333" s="995"/>
      <c r="AV333" s="995"/>
      <c r="AW333" s="995"/>
      <c r="AX333" s="995"/>
      <c r="AY333" s="995"/>
      <c r="AZ333" s="995"/>
      <c r="BA333" s="995"/>
      <c r="BB333" s="995"/>
      <c r="BC333" s="995"/>
      <c r="BD333" s="995"/>
      <c r="BE333" s="995"/>
      <c r="BF333" s="995"/>
      <c r="BG333" s="995"/>
      <c r="BH333" s="995"/>
      <c r="BI333" s="995"/>
      <c r="BJ333" s="995"/>
      <c r="BK333" s="995"/>
      <c r="BL333" s="995"/>
      <c r="BM333" s="995"/>
      <c r="BN333" s="995"/>
      <c r="BO333" s="995"/>
      <c r="BP333" s="995"/>
      <c r="BQ333" s="995"/>
      <c r="BR333" s="995"/>
      <c r="BS333" s="995"/>
      <c r="BT333" s="995"/>
      <c r="BU333" s="995"/>
      <c r="BV333" s="995"/>
      <c r="BW333" s="995"/>
      <c r="BX333" s="995"/>
      <c r="BY333" s="995"/>
      <c r="BZ333" s="995"/>
      <c r="CA333" s="995"/>
      <c r="CB333" s="995"/>
      <c r="CC333" s="995"/>
      <c r="CD333" s="995"/>
      <c r="CE333" s="995"/>
      <c r="CF333" s="995"/>
      <c r="CG333" s="995"/>
      <c r="CH333" s="995"/>
      <c r="CI333" s="995"/>
      <c r="CJ333" s="995"/>
      <c r="CK333" s="995"/>
      <c r="CL333" s="995"/>
      <c r="CM333" s="995"/>
      <c r="CN333" s="995"/>
      <c r="CO333" s="995"/>
      <c r="CP333" s="995"/>
      <c r="CQ333" s="995"/>
      <c r="CR333" s="995"/>
      <c r="CS333" s="995"/>
      <c r="CT333" s="995"/>
      <c r="CU333" s="995"/>
      <c r="CV333" s="995"/>
      <c r="CW333" s="995"/>
      <c r="CX333" s="995"/>
      <c r="CY333" s="995"/>
    </row>
    <row r="334" spans="1:103" s="995" customFormat="1" ht="100" x14ac:dyDescent="0.35">
      <c r="A334" s="1013">
        <v>2022329</v>
      </c>
      <c r="B334" s="1013">
        <v>7658</v>
      </c>
      <c r="C334" s="1013" t="s">
        <v>679</v>
      </c>
      <c r="D334" s="1045" t="s">
        <v>695</v>
      </c>
      <c r="E334" s="1046">
        <v>80111600</v>
      </c>
      <c r="F334" s="1016" t="s">
        <v>1019</v>
      </c>
      <c r="G334" s="1047" t="s">
        <v>1414</v>
      </c>
      <c r="H334" s="1141" t="s">
        <v>1414</v>
      </c>
      <c r="I334" s="1048" t="s">
        <v>1459</v>
      </c>
      <c r="J334" s="1049" t="s">
        <v>1455</v>
      </c>
      <c r="K334" s="1017" t="s">
        <v>674</v>
      </c>
      <c r="L334" s="1085" t="s">
        <v>675</v>
      </c>
      <c r="M334" s="1020">
        <v>39357000</v>
      </c>
      <c r="N334" s="1037" t="s">
        <v>1508</v>
      </c>
      <c r="O334" s="1037" t="s">
        <v>1509</v>
      </c>
      <c r="P334" s="1037"/>
      <c r="Q334" s="1017"/>
      <c r="R334" s="1022"/>
      <c r="S334" s="1130"/>
      <c r="T334" s="1156"/>
    </row>
    <row r="335" spans="1:103" s="995" customFormat="1" ht="87.5" x14ac:dyDescent="0.35">
      <c r="A335" s="1013">
        <v>2022330</v>
      </c>
      <c r="B335" s="1013">
        <v>7658</v>
      </c>
      <c r="C335" s="1013" t="s">
        <v>679</v>
      </c>
      <c r="D335" s="1045" t="s">
        <v>701</v>
      </c>
      <c r="E335" s="1051" t="s">
        <v>1020</v>
      </c>
      <c r="F335" s="1016" t="s">
        <v>1021</v>
      </c>
      <c r="G335" s="1047" t="s">
        <v>1414</v>
      </c>
      <c r="H335" s="1141" t="s">
        <v>1420</v>
      </c>
      <c r="I335" s="1048" t="s">
        <v>1460</v>
      </c>
      <c r="J335" s="1049" t="s">
        <v>1326</v>
      </c>
      <c r="K335" s="1017" t="s">
        <v>770</v>
      </c>
      <c r="L335" s="1019" t="s">
        <v>981</v>
      </c>
      <c r="M335" s="1020">
        <v>5600000000</v>
      </c>
      <c r="N335" s="1037" t="s">
        <v>752</v>
      </c>
      <c r="O335" s="1037" t="s">
        <v>1473</v>
      </c>
      <c r="P335" s="1037"/>
      <c r="Q335" s="1017"/>
      <c r="R335" s="1022"/>
      <c r="S335" s="1130"/>
      <c r="T335" s="1156"/>
    </row>
    <row r="336" spans="1:103" s="995" customFormat="1" ht="87.5" x14ac:dyDescent="0.35">
      <c r="A336" s="1013">
        <v>2022331</v>
      </c>
      <c r="B336" s="1013">
        <v>7658</v>
      </c>
      <c r="C336" s="1013" t="s">
        <v>679</v>
      </c>
      <c r="D336" s="1045" t="s">
        <v>701</v>
      </c>
      <c r="E336" s="1051" t="s">
        <v>1022</v>
      </c>
      <c r="F336" s="1016" t="s">
        <v>1023</v>
      </c>
      <c r="G336" s="1047" t="s">
        <v>1414</v>
      </c>
      <c r="H336" s="1141" t="s">
        <v>1420</v>
      </c>
      <c r="I336" s="1048" t="s">
        <v>1513</v>
      </c>
      <c r="J336" s="1049" t="s">
        <v>1326</v>
      </c>
      <c r="K336" s="1017" t="s">
        <v>770</v>
      </c>
      <c r="L336" s="1019" t="s">
        <v>981</v>
      </c>
      <c r="M336" s="1020">
        <v>1325000000</v>
      </c>
      <c r="N336" s="1037" t="s">
        <v>749</v>
      </c>
      <c r="O336" s="1037" t="s">
        <v>1473</v>
      </c>
      <c r="P336" s="1037"/>
      <c r="Q336" s="1017"/>
      <c r="R336" s="1022"/>
      <c r="S336" s="1130"/>
      <c r="T336" s="1156"/>
    </row>
    <row r="337" spans="1:20" s="995" customFormat="1" ht="87.5" x14ac:dyDescent="0.35">
      <c r="A337" s="1013">
        <v>2022332</v>
      </c>
      <c r="B337" s="1013">
        <v>7658</v>
      </c>
      <c r="C337" s="1013" t="s">
        <v>679</v>
      </c>
      <c r="D337" s="1045" t="s">
        <v>701</v>
      </c>
      <c r="E337" s="1051" t="s">
        <v>1022</v>
      </c>
      <c r="F337" s="1016" t="s">
        <v>1023</v>
      </c>
      <c r="G337" s="1047" t="s">
        <v>1414</v>
      </c>
      <c r="H337" s="1141" t="s">
        <v>1420</v>
      </c>
      <c r="I337" s="1048" t="s">
        <v>1513</v>
      </c>
      <c r="J337" s="1049" t="s">
        <v>1326</v>
      </c>
      <c r="K337" s="1017" t="s">
        <v>674</v>
      </c>
      <c r="L337" s="1019" t="s">
        <v>981</v>
      </c>
      <c r="M337" s="1020">
        <v>548720000</v>
      </c>
      <c r="N337" s="1037" t="s">
        <v>749</v>
      </c>
      <c r="O337" s="1037" t="s">
        <v>1473</v>
      </c>
      <c r="P337" s="1037"/>
      <c r="Q337" s="1017"/>
      <c r="R337" s="1022"/>
      <c r="S337" s="1130"/>
      <c r="T337" s="1156"/>
    </row>
    <row r="338" spans="1:20" s="995" customFormat="1" ht="87.5" x14ac:dyDescent="0.35">
      <c r="A338" s="1013">
        <v>2022333</v>
      </c>
      <c r="B338" s="1013">
        <v>7658</v>
      </c>
      <c r="C338" s="1013" t="s">
        <v>679</v>
      </c>
      <c r="D338" s="1045" t="s">
        <v>701</v>
      </c>
      <c r="E338" s="1051" t="s">
        <v>1514</v>
      </c>
      <c r="F338" s="1016" t="s">
        <v>1026</v>
      </c>
      <c r="G338" s="1047" t="s">
        <v>1414</v>
      </c>
      <c r="H338" s="1141" t="s">
        <v>1515</v>
      </c>
      <c r="I338" s="1048" t="s">
        <v>1513</v>
      </c>
      <c r="J338" s="1049" t="s">
        <v>1326</v>
      </c>
      <c r="K338" s="1017" t="s">
        <v>770</v>
      </c>
      <c r="L338" s="1019" t="s">
        <v>981</v>
      </c>
      <c r="M338" s="1020">
        <v>1078000000</v>
      </c>
      <c r="N338" s="1037" t="s">
        <v>749</v>
      </c>
      <c r="O338" s="1037" t="s">
        <v>1473</v>
      </c>
      <c r="P338" s="1037"/>
      <c r="Q338" s="1017"/>
      <c r="R338" s="1022"/>
      <c r="S338" s="1130"/>
      <c r="T338" s="1156"/>
    </row>
    <row r="339" spans="1:20" s="995" customFormat="1" ht="87.5" x14ac:dyDescent="0.35">
      <c r="A339" s="1013">
        <v>2022334</v>
      </c>
      <c r="B339" s="1013">
        <v>7658</v>
      </c>
      <c r="C339" s="1013" t="s">
        <v>679</v>
      </c>
      <c r="D339" s="1045" t="s">
        <v>701</v>
      </c>
      <c r="E339" s="1051" t="s">
        <v>1514</v>
      </c>
      <c r="F339" s="1016" t="s">
        <v>1026</v>
      </c>
      <c r="G339" s="1047" t="s">
        <v>1414</v>
      </c>
      <c r="H339" s="1141" t="s">
        <v>1515</v>
      </c>
      <c r="I339" s="1048" t="s">
        <v>1513</v>
      </c>
      <c r="J339" s="1049" t="s">
        <v>1326</v>
      </c>
      <c r="K339" s="1017" t="s">
        <v>674</v>
      </c>
      <c r="L339" s="1019" t="s">
        <v>981</v>
      </c>
      <c r="M339" s="1020">
        <v>204051000</v>
      </c>
      <c r="N339" s="1037" t="s">
        <v>749</v>
      </c>
      <c r="O339" s="1037" t="s">
        <v>1473</v>
      </c>
      <c r="P339" s="1037"/>
      <c r="Q339" s="1017"/>
      <c r="R339" s="1022"/>
      <c r="S339" s="1130"/>
      <c r="T339" s="1156"/>
    </row>
    <row r="340" spans="1:20" s="995" customFormat="1" ht="87.5" x14ac:dyDescent="0.35">
      <c r="A340" s="1013">
        <v>2022335</v>
      </c>
      <c r="B340" s="1013">
        <v>7658</v>
      </c>
      <c r="C340" s="1013" t="s">
        <v>679</v>
      </c>
      <c r="D340" s="1045" t="s">
        <v>701</v>
      </c>
      <c r="E340" s="1051" t="s">
        <v>1516</v>
      </c>
      <c r="F340" s="1016" t="s">
        <v>1517</v>
      </c>
      <c r="G340" s="1047" t="s">
        <v>1414</v>
      </c>
      <c r="H340" s="1141" t="s">
        <v>1515</v>
      </c>
      <c r="I340" s="1048" t="s">
        <v>1518</v>
      </c>
      <c r="J340" s="1049" t="s">
        <v>1422</v>
      </c>
      <c r="K340" s="1017" t="s">
        <v>674</v>
      </c>
      <c r="L340" s="1019" t="s">
        <v>981</v>
      </c>
      <c r="M340" s="1020">
        <v>40000000</v>
      </c>
      <c r="N340" s="1037" t="s">
        <v>749</v>
      </c>
      <c r="O340" s="1037" t="s">
        <v>1473</v>
      </c>
      <c r="P340" s="1037"/>
      <c r="Q340" s="1017"/>
      <c r="R340" s="1022"/>
      <c r="S340" s="1130"/>
      <c r="T340" s="1156"/>
    </row>
    <row r="341" spans="1:20" s="995" customFormat="1" ht="87.5" x14ac:dyDescent="0.35">
      <c r="A341" s="1013">
        <v>2022336</v>
      </c>
      <c r="B341" s="1013">
        <v>7658</v>
      </c>
      <c r="C341" s="1013" t="s">
        <v>679</v>
      </c>
      <c r="D341" s="1045" t="s">
        <v>701</v>
      </c>
      <c r="E341" s="1051" t="s">
        <v>1027</v>
      </c>
      <c r="F341" s="1016" t="s">
        <v>1028</v>
      </c>
      <c r="G341" s="1047" t="s">
        <v>1414</v>
      </c>
      <c r="H341" s="1141" t="s">
        <v>1424</v>
      </c>
      <c r="I341" s="1048" t="s">
        <v>1518</v>
      </c>
      <c r="J341" s="1049" t="s">
        <v>1422</v>
      </c>
      <c r="K341" s="1017" t="s">
        <v>674</v>
      </c>
      <c r="L341" s="1019" t="s">
        <v>981</v>
      </c>
      <c r="M341" s="1020">
        <v>125000000</v>
      </c>
      <c r="N341" s="1037" t="s">
        <v>749</v>
      </c>
      <c r="O341" s="1037" t="s">
        <v>1473</v>
      </c>
      <c r="P341" s="1037"/>
      <c r="Q341" s="1017"/>
      <c r="R341" s="1022"/>
      <c r="S341" s="1130"/>
      <c r="T341" s="1156"/>
    </row>
    <row r="342" spans="1:20" s="995" customFormat="1" ht="87.5" x14ac:dyDescent="0.35">
      <c r="A342" s="1023">
        <v>2022337</v>
      </c>
      <c r="B342" s="1023">
        <v>7658</v>
      </c>
      <c r="C342" s="1023" t="s">
        <v>679</v>
      </c>
      <c r="D342" s="1039" t="s">
        <v>701</v>
      </c>
      <c r="E342" s="1040">
        <v>80111600</v>
      </c>
      <c r="F342" s="1026" t="s">
        <v>1029</v>
      </c>
      <c r="G342" s="1041" t="s">
        <v>1414</v>
      </c>
      <c r="H342" s="1141" t="s">
        <v>1414</v>
      </c>
      <c r="I342" s="1042" t="s">
        <v>1460</v>
      </c>
      <c r="J342" s="1043" t="s">
        <v>1455</v>
      </c>
      <c r="K342" s="1027" t="s">
        <v>674</v>
      </c>
      <c r="L342" s="1088" t="s">
        <v>675</v>
      </c>
      <c r="M342" s="1030">
        <v>25980000</v>
      </c>
      <c r="N342" s="1083" t="s">
        <v>749</v>
      </c>
      <c r="O342" s="1083" t="s">
        <v>1473</v>
      </c>
      <c r="P342" s="1083"/>
      <c r="Q342" s="1027"/>
      <c r="R342" s="1022"/>
      <c r="S342" s="1130">
        <v>242</v>
      </c>
      <c r="T342" s="1156">
        <v>25200000</v>
      </c>
    </row>
    <row r="343" spans="1:20" s="995" customFormat="1" ht="87.5" x14ac:dyDescent="0.35">
      <c r="A343" s="1023">
        <v>2022338</v>
      </c>
      <c r="B343" s="1023">
        <v>7658</v>
      </c>
      <c r="C343" s="1023" t="s">
        <v>679</v>
      </c>
      <c r="D343" s="1039" t="s">
        <v>701</v>
      </c>
      <c r="E343" s="1040">
        <v>80111600</v>
      </c>
      <c r="F343" s="1026" t="s">
        <v>1029</v>
      </c>
      <c r="G343" s="1041" t="s">
        <v>1414</v>
      </c>
      <c r="H343" s="1141" t="s">
        <v>1414</v>
      </c>
      <c r="I343" s="1042" t="s">
        <v>1460</v>
      </c>
      <c r="J343" s="1043" t="s">
        <v>1455</v>
      </c>
      <c r="K343" s="1027" t="s">
        <v>674</v>
      </c>
      <c r="L343" s="1088" t="s">
        <v>675</v>
      </c>
      <c r="M343" s="1030">
        <v>25980000</v>
      </c>
      <c r="N343" s="1083" t="s">
        <v>749</v>
      </c>
      <c r="O343" s="1083" t="s">
        <v>1473</v>
      </c>
      <c r="P343" s="1083"/>
      <c r="Q343" s="1027"/>
      <c r="R343" s="1022"/>
      <c r="S343" s="1130">
        <v>251</v>
      </c>
      <c r="T343" s="1156">
        <v>25200000</v>
      </c>
    </row>
    <row r="344" spans="1:20" s="995" customFormat="1" ht="87.5" x14ac:dyDescent="0.35">
      <c r="A344" s="1023">
        <v>2022339</v>
      </c>
      <c r="B344" s="1023">
        <v>7658</v>
      </c>
      <c r="C344" s="1023" t="s">
        <v>679</v>
      </c>
      <c r="D344" s="1039" t="s">
        <v>701</v>
      </c>
      <c r="E344" s="1040">
        <v>80111600</v>
      </c>
      <c r="F344" s="1026" t="s">
        <v>1029</v>
      </c>
      <c r="G344" s="1041" t="s">
        <v>1414</v>
      </c>
      <c r="H344" s="1141" t="s">
        <v>1414</v>
      </c>
      <c r="I344" s="1042" t="s">
        <v>1460</v>
      </c>
      <c r="J344" s="1043" t="s">
        <v>1455</v>
      </c>
      <c r="K344" s="1027" t="s">
        <v>674</v>
      </c>
      <c r="L344" s="1088" t="s">
        <v>675</v>
      </c>
      <c r="M344" s="1030">
        <v>25980000</v>
      </c>
      <c r="N344" s="1083" t="s">
        <v>749</v>
      </c>
      <c r="O344" s="1083" t="s">
        <v>1473</v>
      </c>
      <c r="P344" s="1083"/>
      <c r="Q344" s="1027"/>
      <c r="R344" s="1022"/>
      <c r="S344" s="1130">
        <v>349</v>
      </c>
      <c r="T344" s="1156">
        <v>25200000</v>
      </c>
    </row>
    <row r="345" spans="1:20" s="995" customFormat="1" ht="87.5" x14ac:dyDescent="0.35">
      <c r="A345" s="1023">
        <v>2022340</v>
      </c>
      <c r="B345" s="1023">
        <v>7658</v>
      </c>
      <c r="C345" s="1023" t="s">
        <v>679</v>
      </c>
      <c r="D345" s="1039" t="s">
        <v>701</v>
      </c>
      <c r="E345" s="1040">
        <v>80111600</v>
      </c>
      <c r="F345" s="1026" t="s">
        <v>1029</v>
      </c>
      <c r="G345" s="1041" t="s">
        <v>1414</v>
      </c>
      <c r="H345" s="1141" t="s">
        <v>1414</v>
      </c>
      <c r="I345" s="1042" t="s">
        <v>1460</v>
      </c>
      <c r="J345" s="1043" t="s">
        <v>1455</v>
      </c>
      <c r="K345" s="1027" t="s">
        <v>674</v>
      </c>
      <c r="L345" s="1088" t="s">
        <v>675</v>
      </c>
      <c r="M345" s="1030">
        <v>25980000</v>
      </c>
      <c r="N345" s="1083" t="s">
        <v>749</v>
      </c>
      <c r="O345" s="1083" t="s">
        <v>1473</v>
      </c>
      <c r="P345" s="1083"/>
      <c r="Q345" s="1027"/>
      <c r="R345" s="1022"/>
      <c r="S345" s="1130">
        <v>252</v>
      </c>
      <c r="T345" s="1156">
        <v>25200000</v>
      </c>
    </row>
    <row r="346" spans="1:20" s="995" customFormat="1" ht="87.5" x14ac:dyDescent="0.35">
      <c r="A346" s="1023">
        <v>2022341</v>
      </c>
      <c r="B346" s="1023">
        <v>7658</v>
      </c>
      <c r="C346" s="1023" t="s">
        <v>679</v>
      </c>
      <c r="D346" s="1039" t="s">
        <v>701</v>
      </c>
      <c r="E346" s="1040">
        <v>80111600</v>
      </c>
      <c r="F346" s="1026" t="s">
        <v>1029</v>
      </c>
      <c r="G346" s="1041" t="s">
        <v>1414</v>
      </c>
      <c r="H346" s="1141" t="s">
        <v>1414</v>
      </c>
      <c r="I346" s="1042" t="s">
        <v>1460</v>
      </c>
      <c r="J346" s="1043" t="s">
        <v>1455</v>
      </c>
      <c r="K346" s="1027" t="s">
        <v>674</v>
      </c>
      <c r="L346" s="1088" t="s">
        <v>675</v>
      </c>
      <c r="M346" s="1030">
        <v>25980000</v>
      </c>
      <c r="N346" s="1083" t="s">
        <v>749</v>
      </c>
      <c r="O346" s="1083" t="s">
        <v>1473</v>
      </c>
      <c r="P346" s="1083"/>
      <c r="Q346" s="1027"/>
      <c r="R346" s="1022"/>
      <c r="S346" s="1130">
        <v>321</v>
      </c>
      <c r="T346" s="1156">
        <v>25200000</v>
      </c>
    </row>
    <row r="347" spans="1:20" s="995" customFormat="1" ht="87.5" x14ac:dyDescent="0.35">
      <c r="A347" s="1023">
        <v>2022342</v>
      </c>
      <c r="B347" s="1023">
        <v>7658</v>
      </c>
      <c r="C347" s="1023" t="s">
        <v>679</v>
      </c>
      <c r="D347" s="1039" t="s">
        <v>701</v>
      </c>
      <c r="E347" s="1040">
        <v>80111600</v>
      </c>
      <c r="F347" s="1026" t="s">
        <v>1029</v>
      </c>
      <c r="G347" s="1041" t="s">
        <v>1414</v>
      </c>
      <c r="H347" s="1141" t="s">
        <v>1414</v>
      </c>
      <c r="I347" s="1042" t="s">
        <v>1460</v>
      </c>
      <c r="J347" s="1043" t="s">
        <v>1455</v>
      </c>
      <c r="K347" s="1027" t="s">
        <v>674</v>
      </c>
      <c r="L347" s="1088" t="s">
        <v>675</v>
      </c>
      <c r="M347" s="1030">
        <v>25980000</v>
      </c>
      <c r="N347" s="1083" t="s">
        <v>749</v>
      </c>
      <c r="O347" s="1083" t="s">
        <v>1473</v>
      </c>
      <c r="P347" s="1083"/>
      <c r="Q347" s="1027"/>
      <c r="R347" s="1022"/>
      <c r="S347" s="1130">
        <v>241</v>
      </c>
      <c r="T347" s="1156">
        <v>25200000</v>
      </c>
    </row>
    <row r="348" spans="1:20" s="995" customFormat="1" ht="87.5" x14ac:dyDescent="0.35">
      <c r="A348" s="1023">
        <v>2022343</v>
      </c>
      <c r="B348" s="1023">
        <v>7658</v>
      </c>
      <c r="C348" s="1023" t="s">
        <v>679</v>
      </c>
      <c r="D348" s="1039" t="s">
        <v>701</v>
      </c>
      <c r="E348" s="1040">
        <v>80111600</v>
      </c>
      <c r="F348" s="1026" t="s">
        <v>1029</v>
      </c>
      <c r="G348" s="1041" t="s">
        <v>1414</v>
      </c>
      <c r="H348" s="1141" t="s">
        <v>1414</v>
      </c>
      <c r="I348" s="1042" t="s">
        <v>1460</v>
      </c>
      <c r="J348" s="1043" t="s">
        <v>1455</v>
      </c>
      <c r="K348" s="1027" t="s">
        <v>674</v>
      </c>
      <c r="L348" s="1088" t="s">
        <v>675</v>
      </c>
      <c r="M348" s="1030">
        <v>25980000</v>
      </c>
      <c r="N348" s="1083" t="s">
        <v>749</v>
      </c>
      <c r="O348" s="1083" t="s">
        <v>1473</v>
      </c>
      <c r="P348" s="1083"/>
      <c r="Q348" s="1027"/>
      <c r="R348" s="1022"/>
      <c r="S348" s="1130">
        <v>254</v>
      </c>
      <c r="T348" s="1156">
        <v>25200000</v>
      </c>
    </row>
    <row r="349" spans="1:20" s="995" customFormat="1" ht="87.5" x14ac:dyDescent="0.35">
      <c r="A349" s="1023">
        <v>2022344</v>
      </c>
      <c r="B349" s="1023">
        <v>7658</v>
      </c>
      <c r="C349" s="1023" t="s">
        <v>679</v>
      </c>
      <c r="D349" s="1039" t="s">
        <v>701</v>
      </c>
      <c r="E349" s="1040">
        <v>80111600</v>
      </c>
      <c r="F349" s="1026" t="s">
        <v>1029</v>
      </c>
      <c r="G349" s="1041" t="s">
        <v>1414</v>
      </c>
      <c r="H349" s="1141" t="s">
        <v>1414</v>
      </c>
      <c r="I349" s="1042" t="s">
        <v>1460</v>
      </c>
      <c r="J349" s="1043" t="s">
        <v>1455</v>
      </c>
      <c r="K349" s="1027" t="s">
        <v>674</v>
      </c>
      <c r="L349" s="1088" t="s">
        <v>675</v>
      </c>
      <c r="M349" s="1030">
        <v>25980000</v>
      </c>
      <c r="N349" s="1083" t="s">
        <v>749</v>
      </c>
      <c r="O349" s="1083" t="s">
        <v>1473</v>
      </c>
      <c r="P349" s="1083"/>
      <c r="Q349" s="1027"/>
      <c r="R349" s="1022"/>
      <c r="S349" s="1130">
        <v>271</v>
      </c>
      <c r="T349" s="1156">
        <v>25200000</v>
      </c>
    </row>
    <row r="350" spans="1:20" s="995" customFormat="1" ht="87.5" x14ac:dyDescent="0.35">
      <c r="A350" s="1023">
        <v>2022345</v>
      </c>
      <c r="B350" s="1023">
        <v>7658</v>
      </c>
      <c r="C350" s="1023" t="s">
        <v>679</v>
      </c>
      <c r="D350" s="1039" t="s">
        <v>701</v>
      </c>
      <c r="E350" s="1040">
        <v>80111600</v>
      </c>
      <c r="F350" s="1026" t="s">
        <v>1029</v>
      </c>
      <c r="G350" s="1041" t="s">
        <v>1414</v>
      </c>
      <c r="H350" s="1141" t="s">
        <v>1414</v>
      </c>
      <c r="I350" s="1042" t="s">
        <v>1460</v>
      </c>
      <c r="J350" s="1043" t="s">
        <v>1455</v>
      </c>
      <c r="K350" s="1027" t="s">
        <v>674</v>
      </c>
      <c r="L350" s="1088" t="s">
        <v>675</v>
      </c>
      <c r="M350" s="1030">
        <v>25980000</v>
      </c>
      <c r="N350" s="1083" t="s">
        <v>749</v>
      </c>
      <c r="O350" s="1083" t="s">
        <v>1473</v>
      </c>
      <c r="P350" s="1083"/>
      <c r="Q350" s="1027"/>
      <c r="R350" s="1022"/>
      <c r="S350" s="1130">
        <v>245</v>
      </c>
      <c r="T350" s="1156">
        <v>25200000</v>
      </c>
    </row>
    <row r="351" spans="1:20" s="995" customFormat="1" ht="87.5" x14ac:dyDescent="0.35">
      <c r="A351" s="1023">
        <v>2022346</v>
      </c>
      <c r="B351" s="1023">
        <v>7658</v>
      </c>
      <c r="C351" s="1023" t="s">
        <v>679</v>
      </c>
      <c r="D351" s="1039" t="s">
        <v>701</v>
      </c>
      <c r="E351" s="1040">
        <v>80111600</v>
      </c>
      <c r="F351" s="1026" t="s">
        <v>1029</v>
      </c>
      <c r="G351" s="1041" t="s">
        <v>1414</v>
      </c>
      <c r="H351" s="1141" t="s">
        <v>1414</v>
      </c>
      <c r="I351" s="1042" t="s">
        <v>1460</v>
      </c>
      <c r="J351" s="1043" t="s">
        <v>1455</v>
      </c>
      <c r="K351" s="1027" t="s">
        <v>674</v>
      </c>
      <c r="L351" s="1088" t="s">
        <v>675</v>
      </c>
      <c r="M351" s="1030">
        <v>25980000</v>
      </c>
      <c r="N351" s="1083" t="s">
        <v>749</v>
      </c>
      <c r="O351" s="1083" t="s">
        <v>1473</v>
      </c>
      <c r="P351" s="1083"/>
      <c r="Q351" s="1027"/>
      <c r="R351" s="1022"/>
      <c r="S351" s="1130">
        <v>246</v>
      </c>
      <c r="T351" s="1156">
        <v>25200000</v>
      </c>
    </row>
    <row r="352" spans="1:20" s="1022" customFormat="1" ht="87.5" x14ac:dyDescent="0.35">
      <c r="A352" s="1013">
        <v>2022347</v>
      </c>
      <c r="B352" s="1013">
        <v>7658</v>
      </c>
      <c r="C352" s="1013" t="s">
        <v>679</v>
      </c>
      <c r="D352" s="1045" t="s">
        <v>701</v>
      </c>
      <c r="E352" s="1046">
        <v>80111600</v>
      </c>
      <c r="F352" s="1016" t="s">
        <v>1029</v>
      </c>
      <c r="G352" s="1047" t="s">
        <v>1414</v>
      </c>
      <c r="H352" s="1141" t="s">
        <v>1414</v>
      </c>
      <c r="I352" s="1048" t="s">
        <v>1460</v>
      </c>
      <c r="J352" s="1049" t="s">
        <v>1455</v>
      </c>
      <c r="K352" s="1017" t="s">
        <v>674</v>
      </c>
      <c r="L352" s="1085" t="s">
        <v>675</v>
      </c>
      <c r="M352" s="1020">
        <f>25980000-25980000</f>
        <v>0</v>
      </c>
      <c r="N352" s="1037" t="s">
        <v>749</v>
      </c>
      <c r="O352" s="1037" t="s">
        <v>1473</v>
      </c>
      <c r="P352" s="1037"/>
      <c r="Q352" s="1017"/>
      <c r="S352" s="1130"/>
      <c r="T352" s="1156"/>
    </row>
    <row r="353" spans="1:20" s="995" customFormat="1" ht="87.5" x14ac:dyDescent="0.35">
      <c r="A353" s="1023">
        <v>2022348</v>
      </c>
      <c r="B353" s="1023">
        <v>7658</v>
      </c>
      <c r="C353" s="1023" t="s">
        <v>679</v>
      </c>
      <c r="D353" s="1039" t="s">
        <v>701</v>
      </c>
      <c r="E353" s="1040">
        <v>80111600</v>
      </c>
      <c r="F353" s="1026" t="s">
        <v>1029</v>
      </c>
      <c r="G353" s="1041" t="s">
        <v>1414</v>
      </c>
      <c r="H353" s="1141" t="s">
        <v>1414</v>
      </c>
      <c r="I353" s="1042" t="s">
        <v>1460</v>
      </c>
      <c r="J353" s="1043" t="s">
        <v>1455</v>
      </c>
      <c r="K353" s="1027" t="s">
        <v>674</v>
      </c>
      <c r="L353" s="1088" t="s">
        <v>675</v>
      </c>
      <c r="M353" s="1030">
        <v>25980000</v>
      </c>
      <c r="N353" s="1083" t="s">
        <v>749</v>
      </c>
      <c r="O353" s="1083" t="s">
        <v>1473</v>
      </c>
      <c r="P353" s="1083"/>
      <c r="Q353" s="1027"/>
      <c r="R353" s="1022"/>
      <c r="S353" s="1130">
        <v>253</v>
      </c>
      <c r="T353" s="1156">
        <v>25200000</v>
      </c>
    </row>
    <row r="354" spans="1:20" s="995" customFormat="1" ht="87.5" x14ac:dyDescent="0.35">
      <c r="A354" s="1023">
        <v>2022349</v>
      </c>
      <c r="B354" s="1023">
        <v>7658</v>
      </c>
      <c r="C354" s="1023" t="s">
        <v>679</v>
      </c>
      <c r="D354" s="1039" t="s">
        <v>701</v>
      </c>
      <c r="E354" s="1040">
        <v>80111600</v>
      </c>
      <c r="F354" s="1026" t="s">
        <v>1029</v>
      </c>
      <c r="G354" s="1041" t="s">
        <v>1414</v>
      </c>
      <c r="H354" s="1141" t="s">
        <v>1414</v>
      </c>
      <c r="I354" s="1042" t="s">
        <v>1460</v>
      </c>
      <c r="J354" s="1043" t="s">
        <v>1455</v>
      </c>
      <c r="K354" s="1027" t="s">
        <v>674</v>
      </c>
      <c r="L354" s="1088" t="s">
        <v>675</v>
      </c>
      <c r="M354" s="1030">
        <v>25980000</v>
      </c>
      <c r="N354" s="1083" t="s">
        <v>749</v>
      </c>
      <c r="O354" s="1083" t="s">
        <v>1473</v>
      </c>
      <c r="P354" s="1083"/>
      <c r="Q354" s="1027"/>
      <c r="R354" s="1022"/>
      <c r="S354" s="1130">
        <v>247</v>
      </c>
      <c r="T354" s="1156">
        <v>25200000</v>
      </c>
    </row>
    <row r="355" spans="1:20" s="995" customFormat="1" ht="87.5" x14ac:dyDescent="0.35">
      <c r="A355" s="1023">
        <v>2022350</v>
      </c>
      <c r="B355" s="1023">
        <v>7658</v>
      </c>
      <c r="C355" s="1023" t="s">
        <v>679</v>
      </c>
      <c r="D355" s="1039" t="s">
        <v>701</v>
      </c>
      <c r="E355" s="1040">
        <v>80111600</v>
      </c>
      <c r="F355" s="1026" t="s">
        <v>1029</v>
      </c>
      <c r="G355" s="1041" t="s">
        <v>1414</v>
      </c>
      <c r="H355" s="1141" t="s">
        <v>1414</v>
      </c>
      <c r="I355" s="1042" t="s">
        <v>1460</v>
      </c>
      <c r="J355" s="1043" t="s">
        <v>1455</v>
      </c>
      <c r="K355" s="1027" t="s">
        <v>674</v>
      </c>
      <c r="L355" s="1088" t="s">
        <v>675</v>
      </c>
      <c r="M355" s="1030">
        <v>25980000</v>
      </c>
      <c r="N355" s="1083" t="s">
        <v>749</v>
      </c>
      <c r="O355" s="1083" t="s">
        <v>1473</v>
      </c>
      <c r="P355" s="1083"/>
      <c r="Q355" s="1027"/>
      <c r="R355" s="1022"/>
      <c r="S355" s="1130">
        <v>322</v>
      </c>
      <c r="T355" s="1156">
        <v>25200000</v>
      </c>
    </row>
    <row r="356" spans="1:20" s="995" customFormat="1" ht="87.5" x14ac:dyDescent="0.35">
      <c r="A356" s="1023">
        <v>2022351</v>
      </c>
      <c r="B356" s="1023">
        <v>7658</v>
      </c>
      <c r="C356" s="1023" t="s">
        <v>679</v>
      </c>
      <c r="D356" s="1039" t="s">
        <v>701</v>
      </c>
      <c r="E356" s="1040">
        <v>80111600</v>
      </c>
      <c r="F356" s="1026" t="s">
        <v>1029</v>
      </c>
      <c r="G356" s="1041" t="s">
        <v>1414</v>
      </c>
      <c r="H356" s="1141" t="s">
        <v>1414</v>
      </c>
      <c r="I356" s="1042" t="s">
        <v>1460</v>
      </c>
      <c r="J356" s="1043" t="s">
        <v>1455</v>
      </c>
      <c r="K356" s="1027" t="s">
        <v>674</v>
      </c>
      <c r="L356" s="1088" t="s">
        <v>675</v>
      </c>
      <c r="M356" s="1030">
        <v>25980000</v>
      </c>
      <c r="N356" s="1083" t="s">
        <v>749</v>
      </c>
      <c r="O356" s="1083" t="s">
        <v>1473</v>
      </c>
      <c r="P356" s="1083"/>
      <c r="Q356" s="1027"/>
      <c r="R356" s="1022"/>
      <c r="S356" s="1130">
        <v>272</v>
      </c>
      <c r="T356" s="1156">
        <v>25200000</v>
      </c>
    </row>
    <row r="357" spans="1:20" s="995" customFormat="1" ht="87.5" x14ac:dyDescent="0.35">
      <c r="A357" s="1023">
        <v>2022352</v>
      </c>
      <c r="B357" s="1023">
        <v>7658</v>
      </c>
      <c r="C357" s="1023" t="s">
        <v>679</v>
      </c>
      <c r="D357" s="1039" t="s">
        <v>701</v>
      </c>
      <c r="E357" s="1040">
        <v>80111600</v>
      </c>
      <c r="F357" s="1026" t="s">
        <v>1029</v>
      </c>
      <c r="G357" s="1041" t="s">
        <v>1414</v>
      </c>
      <c r="H357" s="1141" t="s">
        <v>1414</v>
      </c>
      <c r="I357" s="1042" t="s">
        <v>1460</v>
      </c>
      <c r="J357" s="1043" t="s">
        <v>1455</v>
      </c>
      <c r="K357" s="1027" t="s">
        <v>674</v>
      </c>
      <c r="L357" s="1088" t="s">
        <v>675</v>
      </c>
      <c r="M357" s="1030">
        <v>25980000</v>
      </c>
      <c r="N357" s="1083" t="s">
        <v>749</v>
      </c>
      <c r="O357" s="1083" t="s">
        <v>1473</v>
      </c>
      <c r="P357" s="1083"/>
      <c r="Q357" s="1027"/>
      <c r="R357" s="1022"/>
      <c r="S357" s="1130">
        <v>288</v>
      </c>
      <c r="T357" s="1156">
        <v>25200000</v>
      </c>
    </row>
    <row r="358" spans="1:20" s="995" customFormat="1" ht="87.5" x14ac:dyDescent="0.35">
      <c r="A358" s="1023">
        <v>2022353</v>
      </c>
      <c r="B358" s="1023">
        <v>7658</v>
      </c>
      <c r="C358" s="1023" t="s">
        <v>679</v>
      </c>
      <c r="D358" s="1039" t="s">
        <v>701</v>
      </c>
      <c r="E358" s="1040">
        <v>80111600</v>
      </c>
      <c r="F358" s="1026" t="s">
        <v>1029</v>
      </c>
      <c r="G358" s="1041" t="s">
        <v>1414</v>
      </c>
      <c r="H358" s="1141" t="s">
        <v>1414</v>
      </c>
      <c r="I358" s="1042" t="s">
        <v>1460</v>
      </c>
      <c r="J358" s="1043" t="s">
        <v>1455</v>
      </c>
      <c r="K358" s="1027" t="s">
        <v>674</v>
      </c>
      <c r="L358" s="1088" t="s">
        <v>675</v>
      </c>
      <c r="M358" s="1030">
        <f>25980000+25980000</f>
        <v>51960000</v>
      </c>
      <c r="N358" s="1083" t="s">
        <v>749</v>
      </c>
      <c r="O358" s="1083" t="s">
        <v>1473</v>
      </c>
      <c r="P358" s="1083"/>
      <c r="Q358" s="1027"/>
      <c r="R358" s="1022"/>
      <c r="S358" s="1130">
        <v>328</v>
      </c>
      <c r="T358" s="1156">
        <v>25200000</v>
      </c>
    </row>
    <row r="359" spans="1:20" s="995" customFormat="1" ht="87.5" x14ac:dyDescent="0.35">
      <c r="A359" s="1023">
        <v>2022354</v>
      </c>
      <c r="B359" s="1023">
        <v>7658</v>
      </c>
      <c r="C359" s="1023" t="s">
        <v>679</v>
      </c>
      <c r="D359" s="1039" t="s">
        <v>701</v>
      </c>
      <c r="E359" s="1040">
        <v>80111600</v>
      </c>
      <c r="F359" s="1026" t="s">
        <v>1030</v>
      </c>
      <c r="G359" s="1041" t="s">
        <v>1414</v>
      </c>
      <c r="H359" s="1141" t="s">
        <v>1414</v>
      </c>
      <c r="I359" s="1042" t="s">
        <v>1460</v>
      </c>
      <c r="J359" s="1043" t="s">
        <v>1455</v>
      </c>
      <c r="K359" s="1027" t="s">
        <v>674</v>
      </c>
      <c r="L359" s="1088" t="s">
        <v>675</v>
      </c>
      <c r="M359" s="1030">
        <v>30300000</v>
      </c>
      <c r="N359" s="1083" t="s">
        <v>749</v>
      </c>
      <c r="O359" s="1083" t="s">
        <v>1473</v>
      </c>
      <c r="P359" s="1083"/>
      <c r="Q359" s="1027"/>
      <c r="R359" s="1022"/>
      <c r="S359" s="1130">
        <v>345</v>
      </c>
      <c r="T359" s="1156">
        <v>29400000</v>
      </c>
    </row>
    <row r="360" spans="1:20" s="995" customFormat="1" ht="87.5" x14ac:dyDescent="0.35">
      <c r="A360" s="1023">
        <v>2022355</v>
      </c>
      <c r="B360" s="1023">
        <v>7658</v>
      </c>
      <c r="C360" s="1023" t="s">
        <v>679</v>
      </c>
      <c r="D360" s="1039" t="s">
        <v>701</v>
      </c>
      <c r="E360" s="1040">
        <v>80111600</v>
      </c>
      <c r="F360" s="1026" t="s">
        <v>1030</v>
      </c>
      <c r="G360" s="1041" t="s">
        <v>1414</v>
      </c>
      <c r="H360" s="1141" t="s">
        <v>1414</v>
      </c>
      <c r="I360" s="1042" t="s">
        <v>1460</v>
      </c>
      <c r="J360" s="1043" t="s">
        <v>1455</v>
      </c>
      <c r="K360" s="1027" t="s">
        <v>674</v>
      </c>
      <c r="L360" s="1088" t="s">
        <v>675</v>
      </c>
      <c r="M360" s="1030">
        <v>30300000</v>
      </c>
      <c r="N360" s="1083" t="s">
        <v>749</v>
      </c>
      <c r="O360" s="1083" t="s">
        <v>1473</v>
      </c>
      <c r="P360" s="1083"/>
      <c r="Q360" s="1027"/>
      <c r="R360" s="1022"/>
      <c r="S360" s="1130">
        <v>353</v>
      </c>
      <c r="T360" s="1156">
        <v>29400000</v>
      </c>
    </row>
    <row r="361" spans="1:20" s="995" customFormat="1" ht="87.5" x14ac:dyDescent="0.35">
      <c r="A361" s="1023">
        <v>2022356</v>
      </c>
      <c r="B361" s="1023">
        <v>7658</v>
      </c>
      <c r="C361" s="1023" t="s">
        <v>679</v>
      </c>
      <c r="D361" s="1039" t="s">
        <v>701</v>
      </c>
      <c r="E361" s="1040">
        <v>80111600</v>
      </c>
      <c r="F361" s="1026" t="s">
        <v>1030</v>
      </c>
      <c r="G361" s="1041" t="s">
        <v>1414</v>
      </c>
      <c r="H361" s="1141" t="s">
        <v>1414</v>
      </c>
      <c r="I361" s="1042" t="s">
        <v>1460</v>
      </c>
      <c r="J361" s="1043" t="s">
        <v>1455</v>
      </c>
      <c r="K361" s="1027" t="s">
        <v>674</v>
      </c>
      <c r="L361" s="1088" t="s">
        <v>675</v>
      </c>
      <c r="M361" s="1030">
        <v>30300000</v>
      </c>
      <c r="N361" s="1083" t="s">
        <v>749</v>
      </c>
      <c r="O361" s="1083" t="s">
        <v>1473</v>
      </c>
      <c r="P361" s="1083"/>
      <c r="Q361" s="1027"/>
      <c r="R361" s="1022"/>
      <c r="S361" s="1130">
        <v>421</v>
      </c>
      <c r="T361" s="1156">
        <v>29400000</v>
      </c>
    </row>
    <row r="362" spans="1:20" s="995" customFormat="1" ht="87.5" x14ac:dyDescent="0.35">
      <c r="A362" s="1023">
        <v>2022357</v>
      </c>
      <c r="B362" s="1023">
        <v>7658</v>
      </c>
      <c r="C362" s="1023" t="s">
        <v>679</v>
      </c>
      <c r="D362" s="1039" t="s">
        <v>701</v>
      </c>
      <c r="E362" s="1040">
        <v>80111600</v>
      </c>
      <c r="F362" s="1026" t="s">
        <v>1030</v>
      </c>
      <c r="G362" s="1041" t="s">
        <v>1414</v>
      </c>
      <c r="H362" s="1141" t="s">
        <v>1414</v>
      </c>
      <c r="I362" s="1042" t="s">
        <v>1460</v>
      </c>
      <c r="J362" s="1043" t="s">
        <v>1455</v>
      </c>
      <c r="K362" s="1027" t="s">
        <v>674</v>
      </c>
      <c r="L362" s="1088" t="s">
        <v>675</v>
      </c>
      <c r="M362" s="1030">
        <v>30300000</v>
      </c>
      <c r="N362" s="1083" t="s">
        <v>749</v>
      </c>
      <c r="O362" s="1083" t="s">
        <v>1473</v>
      </c>
      <c r="P362" s="1083"/>
      <c r="Q362" s="1027"/>
      <c r="R362" s="1022"/>
      <c r="S362" s="1130">
        <v>420</v>
      </c>
      <c r="T362" s="1156">
        <v>29400000</v>
      </c>
    </row>
    <row r="363" spans="1:20" s="995" customFormat="1" ht="87.5" x14ac:dyDescent="0.35">
      <c r="A363" s="1023">
        <v>2022358</v>
      </c>
      <c r="B363" s="1023">
        <v>7658</v>
      </c>
      <c r="C363" s="1023" t="s">
        <v>679</v>
      </c>
      <c r="D363" s="1039" t="s">
        <v>701</v>
      </c>
      <c r="E363" s="1040">
        <v>80111600</v>
      </c>
      <c r="F363" s="1026" t="s">
        <v>1030</v>
      </c>
      <c r="G363" s="1041" t="s">
        <v>1414</v>
      </c>
      <c r="H363" s="1141" t="s">
        <v>1414</v>
      </c>
      <c r="I363" s="1042" t="s">
        <v>1417</v>
      </c>
      <c r="J363" s="1043" t="s">
        <v>1455</v>
      </c>
      <c r="K363" s="1027" t="s">
        <v>674</v>
      </c>
      <c r="L363" s="1088" t="s">
        <v>675</v>
      </c>
      <c r="M363" s="1030">
        <v>27775000</v>
      </c>
      <c r="N363" s="1083" t="s">
        <v>749</v>
      </c>
      <c r="O363" s="1083" t="s">
        <v>1473</v>
      </c>
      <c r="P363" s="1083"/>
      <c r="Q363" s="1027"/>
      <c r="R363" s="1022"/>
      <c r="S363" s="1130">
        <v>411</v>
      </c>
      <c r="T363" s="1156">
        <v>26950000</v>
      </c>
    </row>
    <row r="364" spans="1:20" s="995" customFormat="1" ht="87.5" x14ac:dyDescent="0.35">
      <c r="A364" s="1023">
        <v>2022359</v>
      </c>
      <c r="B364" s="1023">
        <v>7658</v>
      </c>
      <c r="C364" s="1023" t="s">
        <v>679</v>
      </c>
      <c r="D364" s="1039" t="s">
        <v>701</v>
      </c>
      <c r="E364" s="1040">
        <v>80111600</v>
      </c>
      <c r="F364" s="1026" t="s">
        <v>1030</v>
      </c>
      <c r="G364" s="1041" t="s">
        <v>1414</v>
      </c>
      <c r="H364" s="1141" t="s">
        <v>1414</v>
      </c>
      <c r="I364" s="1042" t="s">
        <v>1417</v>
      </c>
      <c r="J364" s="1043" t="s">
        <v>1455</v>
      </c>
      <c r="K364" s="1027" t="s">
        <v>674</v>
      </c>
      <c r="L364" s="1088" t="s">
        <v>675</v>
      </c>
      <c r="M364" s="1030">
        <v>27775000</v>
      </c>
      <c r="N364" s="1083" t="s">
        <v>749</v>
      </c>
      <c r="O364" s="1083" t="s">
        <v>1473</v>
      </c>
      <c r="P364" s="1083"/>
      <c r="Q364" s="1027"/>
      <c r="R364" s="1022"/>
      <c r="S364" s="1130">
        <v>403</v>
      </c>
      <c r="T364" s="1156">
        <v>26950000</v>
      </c>
    </row>
    <row r="365" spans="1:20" s="995" customFormat="1" ht="87.5" x14ac:dyDescent="0.35">
      <c r="A365" s="1023">
        <v>2022360</v>
      </c>
      <c r="B365" s="1023">
        <v>7658</v>
      </c>
      <c r="C365" s="1023" t="s">
        <v>679</v>
      </c>
      <c r="D365" s="1039" t="s">
        <v>701</v>
      </c>
      <c r="E365" s="1040">
        <v>80111600</v>
      </c>
      <c r="F365" s="1026" t="s">
        <v>1030</v>
      </c>
      <c r="G365" s="1041" t="s">
        <v>1414</v>
      </c>
      <c r="H365" s="1141" t="s">
        <v>1414</v>
      </c>
      <c r="I365" s="1042" t="s">
        <v>1417</v>
      </c>
      <c r="J365" s="1043" t="s">
        <v>1455</v>
      </c>
      <c r="K365" s="1027" t="s">
        <v>674</v>
      </c>
      <c r="L365" s="1088" t="s">
        <v>675</v>
      </c>
      <c r="M365" s="1030">
        <v>27775000</v>
      </c>
      <c r="N365" s="1083" t="s">
        <v>749</v>
      </c>
      <c r="O365" s="1083" t="s">
        <v>1473</v>
      </c>
      <c r="P365" s="1083"/>
      <c r="Q365" s="1027"/>
      <c r="R365" s="1022"/>
      <c r="S365" s="1130">
        <v>368</v>
      </c>
      <c r="T365" s="1156">
        <v>26950000</v>
      </c>
    </row>
    <row r="366" spans="1:20" s="995" customFormat="1" ht="87.5" x14ac:dyDescent="0.35">
      <c r="A366" s="1023">
        <v>2022361</v>
      </c>
      <c r="B366" s="1023">
        <v>7658</v>
      </c>
      <c r="C366" s="1023" t="s">
        <v>679</v>
      </c>
      <c r="D366" s="1039" t="s">
        <v>701</v>
      </c>
      <c r="E366" s="1040">
        <v>80111600</v>
      </c>
      <c r="F366" s="1026" t="s">
        <v>1030</v>
      </c>
      <c r="G366" s="1041" t="s">
        <v>1414</v>
      </c>
      <c r="H366" s="1141" t="s">
        <v>1414</v>
      </c>
      <c r="I366" s="1042" t="s">
        <v>1417</v>
      </c>
      <c r="J366" s="1043" t="s">
        <v>1455</v>
      </c>
      <c r="K366" s="1027" t="s">
        <v>674</v>
      </c>
      <c r="L366" s="1088" t="s">
        <v>675</v>
      </c>
      <c r="M366" s="1030">
        <v>27775000</v>
      </c>
      <c r="N366" s="1083" t="s">
        <v>749</v>
      </c>
      <c r="O366" s="1083" t="s">
        <v>1473</v>
      </c>
      <c r="P366" s="1083"/>
      <c r="Q366" s="1027"/>
      <c r="R366" s="1022"/>
      <c r="S366" s="1130">
        <v>378</v>
      </c>
      <c r="T366" s="1156">
        <v>26950000</v>
      </c>
    </row>
    <row r="367" spans="1:20" s="995" customFormat="1" ht="87.5" x14ac:dyDescent="0.35">
      <c r="A367" s="1023">
        <v>2022362</v>
      </c>
      <c r="B367" s="1023">
        <v>7658</v>
      </c>
      <c r="C367" s="1023" t="s">
        <v>679</v>
      </c>
      <c r="D367" s="1039" t="s">
        <v>701</v>
      </c>
      <c r="E367" s="1040">
        <v>80111600</v>
      </c>
      <c r="F367" s="1026" t="s">
        <v>1030</v>
      </c>
      <c r="G367" s="1041" t="s">
        <v>1414</v>
      </c>
      <c r="H367" s="1141" t="s">
        <v>1414</v>
      </c>
      <c r="I367" s="1042" t="s">
        <v>1417</v>
      </c>
      <c r="J367" s="1043" t="s">
        <v>1455</v>
      </c>
      <c r="K367" s="1027" t="s">
        <v>674</v>
      </c>
      <c r="L367" s="1088" t="s">
        <v>675</v>
      </c>
      <c r="M367" s="1030">
        <v>27775000</v>
      </c>
      <c r="N367" s="1083" t="s">
        <v>749</v>
      </c>
      <c r="O367" s="1083" t="s">
        <v>1473</v>
      </c>
      <c r="P367" s="1083"/>
      <c r="Q367" s="1027"/>
      <c r="R367" s="1022"/>
      <c r="S367" s="1130">
        <v>344</v>
      </c>
      <c r="T367" s="1156">
        <v>26950000</v>
      </c>
    </row>
    <row r="368" spans="1:20" s="995" customFormat="1" ht="87.5" x14ac:dyDescent="0.35">
      <c r="A368" s="1023">
        <v>2022363</v>
      </c>
      <c r="B368" s="1023">
        <v>7658</v>
      </c>
      <c r="C368" s="1023" t="s">
        <v>679</v>
      </c>
      <c r="D368" s="1039" t="s">
        <v>701</v>
      </c>
      <c r="E368" s="1040">
        <v>80111600</v>
      </c>
      <c r="F368" s="1026" t="s">
        <v>1030</v>
      </c>
      <c r="G368" s="1041" t="s">
        <v>1414</v>
      </c>
      <c r="H368" s="1141" t="s">
        <v>1414</v>
      </c>
      <c r="I368" s="1042" t="s">
        <v>1417</v>
      </c>
      <c r="J368" s="1043" t="s">
        <v>1455</v>
      </c>
      <c r="K368" s="1027" t="s">
        <v>674</v>
      </c>
      <c r="L368" s="1088" t="s">
        <v>675</v>
      </c>
      <c r="M368" s="1030">
        <v>27775000</v>
      </c>
      <c r="N368" s="1083" t="s">
        <v>749</v>
      </c>
      <c r="O368" s="1083" t="s">
        <v>1473</v>
      </c>
      <c r="P368" s="1083"/>
      <c r="Q368" s="1027"/>
      <c r="R368" s="1022"/>
      <c r="S368" s="1130">
        <v>381</v>
      </c>
      <c r="T368" s="1156">
        <v>26950000</v>
      </c>
    </row>
    <row r="369" spans="1:103" s="995" customFormat="1" ht="87.5" x14ac:dyDescent="0.35">
      <c r="A369" s="1023">
        <v>2022364</v>
      </c>
      <c r="B369" s="1023">
        <v>7658</v>
      </c>
      <c r="C369" s="1023" t="s">
        <v>679</v>
      </c>
      <c r="D369" s="1039" t="s">
        <v>701</v>
      </c>
      <c r="E369" s="1040">
        <v>80111600</v>
      </c>
      <c r="F369" s="1026" t="s">
        <v>1030</v>
      </c>
      <c r="G369" s="1041" t="s">
        <v>1414</v>
      </c>
      <c r="H369" s="1141" t="s">
        <v>1414</v>
      </c>
      <c r="I369" s="1042" t="s">
        <v>1459</v>
      </c>
      <c r="J369" s="1043" t="s">
        <v>1455</v>
      </c>
      <c r="K369" s="1027" t="s">
        <v>674</v>
      </c>
      <c r="L369" s="1088" t="s">
        <v>675</v>
      </c>
      <c r="M369" s="1030">
        <v>25250000</v>
      </c>
      <c r="N369" s="1083" t="s">
        <v>749</v>
      </c>
      <c r="O369" s="1083" t="s">
        <v>1473</v>
      </c>
      <c r="P369" s="1083"/>
      <c r="Q369" s="1027"/>
      <c r="R369" s="1022"/>
      <c r="S369" s="1130">
        <v>385</v>
      </c>
      <c r="T369" s="1156">
        <v>24500000</v>
      </c>
    </row>
    <row r="370" spans="1:103" s="995" customFormat="1" ht="87.5" x14ac:dyDescent="0.35">
      <c r="A370" s="1023">
        <v>2022365</v>
      </c>
      <c r="B370" s="1023">
        <v>7658</v>
      </c>
      <c r="C370" s="1023" t="s">
        <v>679</v>
      </c>
      <c r="D370" s="1039" t="s">
        <v>701</v>
      </c>
      <c r="E370" s="1040">
        <v>80111600</v>
      </c>
      <c r="F370" s="1026" t="s">
        <v>1030</v>
      </c>
      <c r="G370" s="1041" t="s">
        <v>1414</v>
      </c>
      <c r="H370" s="1141" t="s">
        <v>1414</v>
      </c>
      <c r="I370" s="1042" t="s">
        <v>1459</v>
      </c>
      <c r="J370" s="1043" t="s">
        <v>1455</v>
      </c>
      <c r="K370" s="1027" t="s">
        <v>674</v>
      </c>
      <c r="L370" s="1088" t="s">
        <v>675</v>
      </c>
      <c r="M370" s="1030">
        <v>25250000</v>
      </c>
      <c r="N370" s="1083" t="s">
        <v>749</v>
      </c>
      <c r="O370" s="1083" t="s">
        <v>1473</v>
      </c>
      <c r="P370" s="1083"/>
      <c r="Q370" s="1027"/>
      <c r="R370" s="1022"/>
      <c r="S370" s="1130">
        <v>402</v>
      </c>
      <c r="T370" s="1156">
        <v>24500000</v>
      </c>
    </row>
    <row r="371" spans="1:103" s="995" customFormat="1" ht="87.5" x14ac:dyDescent="0.35">
      <c r="A371" s="1023">
        <v>2022366</v>
      </c>
      <c r="B371" s="1023">
        <v>7658</v>
      </c>
      <c r="C371" s="1023" t="s">
        <v>679</v>
      </c>
      <c r="D371" s="1039" t="s">
        <v>701</v>
      </c>
      <c r="E371" s="1040">
        <v>80111600</v>
      </c>
      <c r="F371" s="1026" t="s">
        <v>1031</v>
      </c>
      <c r="G371" s="1041" t="s">
        <v>1414</v>
      </c>
      <c r="H371" s="1141" t="s">
        <v>1414</v>
      </c>
      <c r="I371" s="1042" t="s">
        <v>1460</v>
      </c>
      <c r="J371" s="1043" t="s">
        <v>1455</v>
      </c>
      <c r="K371" s="1027" t="s">
        <v>674</v>
      </c>
      <c r="L371" s="1088" t="s">
        <v>675</v>
      </c>
      <c r="M371" s="1030">
        <v>25956000</v>
      </c>
      <c r="N371" s="1083" t="s">
        <v>749</v>
      </c>
      <c r="O371" s="1083" t="s">
        <v>1473</v>
      </c>
      <c r="P371" s="1083"/>
      <c r="Q371" s="1027"/>
      <c r="R371" s="1022"/>
      <c r="S371" s="1130">
        <v>360</v>
      </c>
      <c r="T371" s="1156">
        <v>25200000</v>
      </c>
    </row>
    <row r="372" spans="1:103" s="995" customFormat="1" ht="87.5" x14ac:dyDescent="0.35">
      <c r="A372" s="1023">
        <v>2022367</v>
      </c>
      <c r="B372" s="1023">
        <v>7658</v>
      </c>
      <c r="C372" s="1023" t="s">
        <v>679</v>
      </c>
      <c r="D372" s="1039" t="s">
        <v>701</v>
      </c>
      <c r="E372" s="1040">
        <v>80111600</v>
      </c>
      <c r="F372" s="1026" t="s">
        <v>1032</v>
      </c>
      <c r="G372" s="1041" t="s">
        <v>1414</v>
      </c>
      <c r="H372" s="1141" t="s">
        <v>1414</v>
      </c>
      <c r="I372" s="1042" t="s">
        <v>1460</v>
      </c>
      <c r="J372" s="1043" t="s">
        <v>1455</v>
      </c>
      <c r="K372" s="1027" t="s">
        <v>674</v>
      </c>
      <c r="L372" s="1088" t="s">
        <v>675</v>
      </c>
      <c r="M372" s="1030">
        <v>41400000</v>
      </c>
      <c r="N372" s="1083" t="s">
        <v>749</v>
      </c>
      <c r="O372" s="1083" t="s">
        <v>1473</v>
      </c>
      <c r="P372" s="1083"/>
      <c r="Q372" s="1027"/>
      <c r="R372" s="1022"/>
      <c r="S372" s="1130">
        <v>290</v>
      </c>
      <c r="T372" s="1156">
        <v>40200000</v>
      </c>
    </row>
    <row r="373" spans="1:103" s="995" customFormat="1" ht="87.5" x14ac:dyDescent="0.35">
      <c r="A373" s="1023">
        <v>2022368</v>
      </c>
      <c r="B373" s="1023">
        <v>7658</v>
      </c>
      <c r="C373" s="1023" t="s">
        <v>679</v>
      </c>
      <c r="D373" s="1039" t="s">
        <v>701</v>
      </c>
      <c r="E373" s="1040">
        <v>80111600</v>
      </c>
      <c r="F373" s="1026" t="s">
        <v>1033</v>
      </c>
      <c r="G373" s="1041" t="s">
        <v>1414</v>
      </c>
      <c r="H373" s="1141" t="s">
        <v>1414</v>
      </c>
      <c r="I373" s="1042" t="s">
        <v>1460</v>
      </c>
      <c r="J373" s="1043" t="s">
        <v>1455</v>
      </c>
      <c r="K373" s="1027" t="s">
        <v>674</v>
      </c>
      <c r="L373" s="1088" t="s">
        <v>675</v>
      </c>
      <c r="M373" s="1030">
        <v>25200000</v>
      </c>
      <c r="N373" s="1083" t="s">
        <v>749</v>
      </c>
      <c r="O373" s="1083" t="s">
        <v>1473</v>
      </c>
      <c r="P373" s="1083"/>
      <c r="Q373" s="1027"/>
      <c r="R373" s="1022"/>
      <c r="S373" s="1130">
        <v>428</v>
      </c>
      <c r="T373" s="1156">
        <v>20100000</v>
      </c>
    </row>
    <row r="374" spans="1:103" s="995" customFormat="1" ht="87.5" x14ac:dyDescent="0.35">
      <c r="A374" s="1023">
        <v>2022369</v>
      </c>
      <c r="B374" s="1023">
        <v>7658</v>
      </c>
      <c r="C374" s="1023" t="s">
        <v>679</v>
      </c>
      <c r="D374" s="1039" t="s">
        <v>701</v>
      </c>
      <c r="E374" s="1040">
        <v>80111600</v>
      </c>
      <c r="F374" s="1026" t="s">
        <v>1034</v>
      </c>
      <c r="G374" s="1041" t="s">
        <v>1414</v>
      </c>
      <c r="H374" s="1141" t="s">
        <v>1414</v>
      </c>
      <c r="I374" s="1042" t="s">
        <v>1417</v>
      </c>
      <c r="J374" s="1043" t="s">
        <v>1455</v>
      </c>
      <c r="K374" s="1027" t="s">
        <v>674</v>
      </c>
      <c r="L374" s="1088" t="s">
        <v>675</v>
      </c>
      <c r="M374" s="1030">
        <v>37950000</v>
      </c>
      <c r="N374" s="1083" t="s">
        <v>749</v>
      </c>
      <c r="O374" s="1083" t="s">
        <v>1473</v>
      </c>
      <c r="P374" s="1083"/>
      <c r="Q374" s="1027"/>
      <c r="R374" s="1022"/>
      <c r="S374" s="1130">
        <v>207</v>
      </c>
      <c r="T374" s="1156">
        <v>36850000</v>
      </c>
    </row>
    <row r="375" spans="1:103" s="995" customFormat="1" ht="87.5" x14ac:dyDescent="0.35">
      <c r="A375" s="1023">
        <v>2022370</v>
      </c>
      <c r="B375" s="1023">
        <v>7658</v>
      </c>
      <c r="C375" s="1023" t="s">
        <v>679</v>
      </c>
      <c r="D375" s="1039" t="s">
        <v>701</v>
      </c>
      <c r="E375" s="1040">
        <v>80111600</v>
      </c>
      <c r="F375" s="1026" t="s">
        <v>1035</v>
      </c>
      <c r="G375" s="1041" t="s">
        <v>1414</v>
      </c>
      <c r="H375" s="1141" t="s">
        <v>1414</v>
      </c>
      <c r="I375" s="1042" t="s">
        <v>1460</v>
      </c>
      <c r="J375" s="1043" t="s">
        <v>1455</v>
      </c>
      <c r="K375" s="1027" t="s">
        <v>674</v>
      </c>
      <c r="L375" s="1088" t="s">
        <v>675</v>
      </c>
      <c r="M375" s="1030">
        <v>47586000</v>
      </c>
      <c r="N375" s="1083" t="s">
        <v>749</v>
      </c>
      <c r="O375" s="1083" t="s">
        <v>1473</v>
      </c>
      <c r="P375" s="1083"/>
      <c r="Q375" s="1027"/>
      <c r="R375" s="1022"/>
      <c r="S375" s="1130">
        <v>208</v>
      </c>
      <c r="T375" s="1156">
        <v>46200000</v>
      </c>
    </row>
    <row r="376" spans="1:103" s="1034" customFormat="1" ht="87.5" x14ac:dyDescent="0.35">
      <c r="A376" s="1131">
        <v>2022371</v>
      </c>
      <c r="B376" s="1131">
        <v>7658</v>
      </c>
      <c r="C376" s="1131" t="s">
        <v>679</v>
      </c>
      <c r="D376" s="1139" t="s">
        <v>701</v>
      </c>
      <c r="E376" s="1145">
        <v>80111600</v>
      </c>
      <c r="F376" s="1134" t="s">
        <v>1036</v>
      </c>
      <c r="G376" s="1141" t="s">
        <v>1414</v>
      </c>
      <c r="H376" s="1141" t="s">
        <v>1414</v>
      </c>
      <c r="I376" s="1142" t="s">
        <v>1417</v>
      </c>
      <c r="J376" s="1143" t="s">
        <v>1455</v>
      </c>
      <c r="K376" s="1135" t="s">
        <v>674</v>
      </c>
      <c r="L376" s="1153" t="s">
        <v>675</v>
      </c>
      <c r="M376" s="1136">
        <v>37956000</v>
      </c>
      <c r="N376" s="1151" t="s">
        <v>749</v>
      </c>
      <c r="O376" s="1151" t="s">
        <v>1473</v>
      </c>
      <c r="P376" s="1151"/>
      <c r="Q376" s="1135"/>
      <c r="R376" s="1130">
        <v>388</v>
      </c>
      <c r="S376" s="1130"/>
      <c r="T376" s="1156"/>
      <c r="U376" s="995"/>
      <c r="V376" s="995"/>
      <c r="W376" s="995"/>
      <c r="X376" s="995"/>
      <c r="Y376" s="995"/>
      <c r="Z376" s="995"/>
      <c r="AA376" s="995"/>
      <c r="AB376" s="995"/>
      <c r="AC376" s="995"/>
      <c r="AD376" s="995"/>
      <c r="AE376" s="995"/>
      <c r="AF376" s="995"/>
      <c r="AG376" s="995"/>
      <c r="AH376" s="995"/>
      <c r="AI376" s="995"/>
      <c r="AJ376" s="995"/>
      <c r="AK376" s="995"/>
      <c r="AL376" s="995"/>
      <c r="AM376" s="995"/>
      <c r="AN376" s="995"/>
      <c r="AO376" s="995"/>
      <c r="AP376" s="995"/>
      <c r="AQ376" s="995"/>
      <c r="AR376" s="995"/>
      <c r="AS376" s="995"/>
      <c r="AT376" s="995"/>
      <c r="AU376" s="995"/>
      <c r="AV376" s="995"/>
      <c r="AW376" s="995"/>
      <c r="AX376" s="995"/>
      <c r="AY376" s="995"/>
      <c r="AZ376" s="995"/>
      <c r="BA376" s="995"/>
      <c r="BB376" s="995"/>
      <c r="BC376" s="995"/>
      <c r="BD376" s="995"/>
      <c r="BE376" s="995"/>
      <c r="BF376" s="995"/>
      <c r="BG376" s="995"/>
      <c r="BH376" s="995"/>
      <c r="BI376" s="995"/>
      <c r="BJ376" s="995"/>
      <c r="BK376" s="995"/>
      <c r="BL376" s="995"/>
      <c r="BM376" s="995"/>
      <c r="BN376" s="995"/>
      <c r="BO376" s="995"/>
      <c r="BP376" s="995"/>
      <c r="BQ376" s="995"/>
      <c r="BR376" s="995"/>
      <c r="BS376" s="995"/>
      <c r="BT376" s="995"/>
      <c r="BU376" s="995"/>
      <c r="BV376" s="995"/>
      <c r="BW376" s="995"/>
      <c r="BX376" s="995"/>
      <c r="BY376" s="995"/>
      <c r="BZ376" s="995"/>
      <c r="CA376" s="995"/>
      <c r="CB376" s="995"/>
      <c r="CC376" s="995"/>
      <c r="CD376" s="995"/>
      <c r="CE376" s="995"/>
      <c r="CF376" s="995"/>
      <c r="CG376" s="995"/>
      <c r="CH376" s="995"/>
      <c r="CI376" s="995"/>
      <c r="CJ376" s="995"/>
      <c r="CK376" s="995"/>
      <c r="CL376" s="995"/>
      <c r="CM376" s="995"/>
      <c r="CN376" s="995"/>
      <c r="CO376" s="995"/>
      <c r="CP376" s="995"/>
      <c r="CQ376" s="995"/>
      <c r="CR376" s="995"/>
      <c r="CS376" s="995"/>
      <c r="CT376" s="995"/>
      <c r="CU376" s="995"/>
      <c r="CV376" s="995"/>
      <c r="CW376" s="995"/>
      <c r="CX376" s="995"/>
      <c r="CY376" s="995"/>
    </row>
    <row r="377" spans="1:103" s="995" customFormat="1" ht="87.5" x14ac:dyDescent="0.35">
      <c r="A377" s="1023">
        <v>2022372</v>
      </c>
      <c r="B377" s="1023">
        <v>7658</v>
      </c>
      <c r="C377" s="1023" t="s">
        <v>679</v>
      </c>
      <c r="D377" s="1039" t="s">
        <v>701</v>
      </c>
      <c r="E377" s="1040">
        <v>80111600</v>
      </c>
      <c r="F377" s="1026" t="s">
        <v>1037</v>
      </c>
      <c r="G377" s="1041" t="s">
        <v>1414</v>
      </c>
      <c r="H377" s="1141" t="s">
        <v>1414</v>
      </c>
      <c r="I377" s="1042" t="s">
        <v>1460</v>
      </c>
      <c r="J377" s="1043" t="s">
        <v>1455</v>
      </c>
      <c r="K377" s="1027" t="s">
        <v>674</v>
      </c>
      <c r="L377" s="1088" t="s">
        <v>675</v>
      </c>
      <c r="M377" s="1030">
        <v>63036000</v>
      </c>
      <c r="N377" s="1083" t="s">
        <v>749</v>
      </c>
      <c r="O377" s="1083" t="s">
        <v>1473</v>
      </c>
      <c r="P377" s="1083"/>
      <c r="Q377" s="1027"/>
      <c r="R377" s="1022"/>
      <c r="S377" s="1130">
        <v>367</v>
      </c>
      <c r="T377" s="1156">
        <v>61200000</v>
      </c>
    </row>
    <row r="378" spans="1:103" s="995" customFormat="1" ht="87.5" x14ac:dyDescent="0.35">
      <c r="A378" s="1023">
        <v>2022373</v>
      </c>
      <c r="B378" s="1023">
        <v>7658</v>
      </c>
      <c r="C378" s="1023" t="s">
        <v>679</v>
      </c>
      <c r="D378" s="1039" t="s">
        <v>701</v>
      </c>
      <c r="E378" s="1040">
        <v>80111600</v>
      </c>
      <c r="F378" s="1026" t="s">
        <v>1037</v>
      </c>
      <c r="G378" s="1041" t="s">
        <v>1414</v>
      </c>
      <c r="H378" s="1141" t="s">
        <v>1414</v>
      </c>
      <c r="I378" s="1042" t="s">
        <v>1459</v>
      </c>
      <c r="J378" s="1043" t="s">
        <v>1455</v>
      </c>
      <c r="K378" s="1027" t="s">
        <v>674</v>
      </c>
      <c r="L378" s="1088" t="s">
        <v>675</v>
      </c>
      <c r="M378" s="1030">
        <v>39700000</v>
      </c>
      <c r="N378" s="1083" t="s">
        <v>749</v>
      </c>
      <c r="O378" s="1083" t="s">
        <v>1473</v>
      </c>
      <c r="P378" s="1083"/>
      <c r="Q378" s="1027"/>
      <c r="R378" s="1022"/>
      <c r="S378" s="1130">
        <v>291</v>
      </c>
      <c r="T378" s="1156">
        <v>38500000</v>
      </c>
    </row>
    <row r="379" spans="1:103" s="995" customFormat="1" ht="87.5" x14ac:dyDescent="0.35">
      <c r="A379" s="1023">
        <v>2022374</v>
      </c>
      <c r="B379" s="1023">
        <v>7658</v>
      </c>
      <c r="C379" s="1023" t="s">
        <v>679</v>
      </c>
      <c r="D379" s="1039" t="s">
        <v>701</v>
      </c>
      <c r="E379" s="1040">
        <v>80111600</v>
      </c>
      <c r="F379" s="1026" t="s">
        <v>1037</v>
      </c>
      <c r="G379" s="1041" t="s">
        <v>1414</v>
      </c>
      <c r="H379" s="1141" t="s">
        <v>1414</v>
      </c>
      <c r="I379" s="1042" t="s">
        <v>1417</v>
      </c>
      <c r="J379" s="1043" t="s">
        <v>1455</v>
      </c>
      <c r="K379" s="1027" t="s">
        <v>674</v>
      </c>
      <c r="L379" s="1088" t="s">
        <v>675</v>
      </c>
      <c r="M379" s="1030">
        <v>50985000</v>
      </c>
      <c r="N379" s="1083" t="s">
        <v>749</v>
      </c>
      <c r="O379" s="1083" t="s">
        <v>1473</v>
      </c>
      <c r="P379" s="1083"/>
      <c r="Q379" s="1027"/>
      <c r="R379" s="1022"/>
      <c r="S379" s="1130">
        <v>330</v>
      </c>
      <c r="T379" s="1156">
        <v>49500000</v>
      </c>
    </row>
    <row r="380" spans="1:103" s="995" customFormat="1" ht="87.5" x14ac:dyDescent="0.35">
      <c r="A380" s="1023">
        <v>2022375</v>
      </c>
      <c r="B380" s="1023">
        <v>7658</v>
      </c>
      <c r="C380" s="1023" t="s">
        <v>679</v>
      </c>
      <c r="D380" s="1039" t="s">
        <v>701</v>
      </c>
      <c r="E380" s="1040">
        <v>80111600</v>
      </c>
      <c r="F380" s="1026" t="s">
        <v>1038</v>
      </c>
      <c r="G380" s="1041" t="s">
        <v>1414</v>
      </c>
      <c r="H380" s="1141" t="s">
        <v>1414</v>
      </c>
      <c r="I380" s="1042" t="s">
        <v>1460</v>
      </c>
      <c r="J380" s="1043" t="s">
        <v>1455</v>
      </c>
      <c r="K380" s="1027" t="s">
        <v>674</v>
      </c>
      <c r="L380" s="1088" t="s">
        <v>675</v>
      </c>
      <c r="M380" s="1030">
        <v>55620000</v>
      </c>
      <c r="N380" s="1083" t="s">
        <v>749</v>
      </c>
      <c r="O380" s="1083" t="s">
        <v>1473</v>
      </c>
      <c r="P380" s="1083"/>
      <c r="Q380" s="1027"/>
      <c r="R380" s="1022"/>
      <c r="S380" s="1130">
        <v>211</v>
      </c>
      <c r="T380" s="1156">
        <v>54000000</v>
      </c>
    </row>
    <row r="381" spans="1:103" s="995" customFormat="1" ht="87.5" x14ac:dyDescent="0.35">
      <c r="A381" s="1023">
        <v>2022376</v>
      </c>
      <c r="B381" s="1023">
        <v>7658</v>
      </c>
      <c r="C381" s="1023" t="s">
        <v>679</v>
      </c>
      <c r="D381" s="1039" t="s">
        <v>701</v>
      </c>
      <c r="E381" s="1040">
        <v>80111600</v>
      </c>
      <c r="F381" s="1026" t="s">
        <v>1039</v>
      </c>
      <c r="G381" s="1041" t="s">
        <v>1414</v>
      </c>
      <c r="H381" s="1141" t="s">
        <v>1414</v>
      </c>
      <c r="I381" s="1042" t="s">
        <v>1460</v>
      </c>
      <c r="J381" s="1043" t="s">
        <v>1455</v>
      </c>
      <c r="K381" s="1027" t="s">
        <v>674</v>
      </c>
      <c r="L381" s="1088" t="s">
        <v>675</v>
      </c>
      <c r="M381" s="1030">
        <v>55620000</v>
      </c>
      <c r="N381" s="1083" t="s">
        <v>749</v>
      </c>
      <c r="O381" s="1083" t="s">
        <v>1473</v>
      </c>
      <c r="P381" s="1083"/>
      <c r="Q381" s="1027"/>
      <c r="R381" s="1022"/>
      <c r="S381" s="1130">
        <v>269</v>
      </c>
      <c r="T381" s="1156">
        <v>54000000</v>
      </c>
    </row>
    <row r="382" spans="1:103" s="995" customFormat="1" ht="87.5" x14ac:dyDescent="0.35">
      <c r="A382" s="1023">
        <v>2022377</v>
      </c>
      <c r="B382" s="1023">
        <v>7658</v>
      </c>
      <c r="C382" s="1023" t="s">
        <v>679</v>
      </c>
      <c r="D382" s="1039" t="s">
        <v>701</v>
      </c>
      <c r="E382" s="1040">
        <v>80111600</v>
      </c>
      <c r="F382" s="1026" t="s">
        <v>1040</v>
      </c>
      <c r="G382" s="1041" t="s">
        <v>1414</v>
      </c>
      <c r="H382" s="1141" t="s">
        <v>1414</v>
      </c>
      <c r="I382" s="1042" t="s">
        <v>1460</v>
      </c>
      <c r="J382" s="1043" t="s">
        <v>1455</v>
      </c>
      <c r="K382" s="1027" t="s">
        <v>674</v>
      </c>
      <c r="L382" s="1088" t="s">
        <v>675</v>
      </c>
      <c r="M382" s="1030">
        <v>55620000</v>
      </c>
      <c r="N382" s="1083" t="s">
        <v>749</v>
      </c>
      <c r="O382" s="1083" t="s">
        <v>1473</v>
      </c>
      <c r="P382" s="1083"/>
      <c r="Q382" s="1027"/>
      <c r="R382" s="1022"/>
      <c r="S382" s="1130">
        <v>270</v>
      </c>
      <c r="T382" s="1156">
        <v>54000000</v>
      </c>
    </row>
    <row r="383" spans="1:103" s="995" customFormat="1" ht="87.5" x14ac:dyDescent="0.35">
      <c r="A383" s="1023">
        <v>2022378</v>
      </c>
      <c r="B383" s="1023">
        <v>7658</v>
      </c>
      <c r="C383" s="1023" t="s">
        <v>679</v>
      </c>
      <c r="D383" s="1039" t="s">
        <v>701</v>
      </c>
      <c r="E383" s="1040">
        <v>80111600</v>
      </c>
      <c r="F383" s="1026" t="s">
        <v>1041</v>
      </c>
      <c r="G383" s="1041" t="s">
        <v>1414</v>
      </c>
      <c r="H383" s="1141" t="s">
        <v>1414</v>
      </c>
      <c r="I383" s="1042" t="s">
        <v>1460</v>
      </c>
      <c r="J383" s="1043" t="s">
        <v>1455</v>
      </c>
      <c r="K383" s="1027" t="s">
        <v>674</v>
      </c>
      <c r="L383" s="1088" t="s">
        <v>675</v>
      </c>
      <c r="M383" s="1030">
        <v>55620000</v>
      </c>
      <c r="N383" s="1083" t="s">
        <v>749</v>
      </c>
      <c r="O383" s="1083" t="s">
        <v>1473</v>
      </c>
      <c r="P383" s="1083"/>
      <c r="Q383" s="1027"/>
      <c r="R383" s="1022"/>
      <c r="S383" s="1130">
        <v>201</v>
      </c>
      <c r="T383" s="1156">
        <v>54000000</v>
      </c>
    </row>
    <row r="384" spans="1:103" s="995" customFormat="1" ht="87.5" x14ac:dyDescent="0.35">
      <c r="A384" s="1023">
        <v>2022379</v>
      </c>
      <c r="B384" s="1023">
        <v>7658</v>
      </c>
      <c r="C384" s="1023" t="s">
        <v>679</v>
      </c>
      <c r="D384" s="1039" t="s">
        <v>701</v>
      </c>
      <c r="E384" s="1040">
        <v>80111600</v>
      </c>
      <c r="F384" s="1026" t="s">
        <v>1042</v>
      </c>
      <c r="G384" s="1041" t="s">
        <v>1414</v>
      </c>
      <c r="H384" s="1141" t="s">
        <v>1414</v>
      </c>
      <c r="I384" s="1042" t="s">
        <v>1417</v>
      </c>
      <c r="J384" s="1043" t="s">
        <v>1455</v>
      </c>
      <c r="K384" s="1027" t="s">
        <v>674</v>
      </c>
      <c r="L384" s="1088" t="s">
        <v>675</v>
      </c>
      <c r="M384" s="1030">
        <v>50985000</v>
      </c>
      <c r="N384" s="1083" t="s">
        <v>749</v>
      </c>
      <c r="O384" s="1083" t="s">
        <v>1473</v>
      </c>
      <c r="P384" s="1083"/>
      <c r="Q384" s="1027"/>
      <c r="R384" s="1022"/>
      <c r="S384" s="1130">
        <v>296</v>
      </c>
      <c r="T384" s="1156">
        <v>49500000</v>
      </c>
    </row>
    <row r="385" spans="1:20" s="995" customFormat="1" ht="87.5" x14ac:dyDescent="0.35">
      <c r="A385" s="1023">
        <v>2022380</v>
      </c>
      <c r="B385" s="1023">
        <v>7658</v>
      </c>
      <c r="C385" s="1023" t="s">
        <v>679</v>
      </c>
      <c r="D385" s="1039" t="s">
        <v>701</v>
      </c>
      <c r="E385" s="1040">
        <v>80111600</v>
      </c>
      <c r="F385" s="1026" t="s">
        <v>1043</v>
      </c>
      <c r="G385" s="1041" t="s">
        <v>1414</v>
      </c>
      <c r="H385" s="1141" t="s">
        <v>1414</v>
      </c>
      <c r="I385" s="1042" t="s">
        <v>1417</v>
      </c>
      <c r="J385" s="1043" t="s">
        <v>1455</v>
      </c>
      <c r="K385" s="1027" t="s">
        <v>674</v>
      </c>
      <c r="L385" s="1088" t="s">
        <v>675</v>
      </c>
      <c r="M385" s="1030">
        <v>50985000</v>
      </c>
      <c r="N385" s="1083" t="s">
        <v>749</v>
      </c>
      <c r="O385" s="1083" t="s">
        <v>1473</v>
      </c>
      <c r="P385" s="1083"/>
      <c r="Q385" s="1027"/>
      <c r="R385" s="1022"/>
      <c r="S385" s="1130">
        <v>356</v>
      </c>
      <c r="T385" s="1156">
        <v>49500000</v>
      </c>
    </row>
    <row r="386" spans="1:20" s="995" customFormat="1" ht="87.5" x14ac:dyDescent="0.35">
      <c r="A386" s="1023">
        <v>2022381</v>
      </c>
      <c r="B386" s="1023">
        <v>7658</v>
      </c>
      <c r="C386" s="1023" t="s">
        <v>679</v>
      </c>
      <c r="D386" s="1039" t="s">
        <v>701</v>
      </c>
      <c r="E386" s="1040">
        <v>80111600</v>
      </c>
      <c r="F386" s="1026" t="s">
        <v>1044</v>
      </c>
      <c r="G386" s="1041" t="s">
        <v>1414</v>
      </c>
      <c r="H386" s="1141" t="s">
        <v>1414</v>
      </c>
      <c r="I386" s="1042" t="s">
        <v>1460</v>
      </c>
      <c r="J386" s="1043" t="s">
        <v>1455</v>
      </c>
      <c r="K386" s="1027" t="s">
        <v>674</v>
      </c>
      <c r="L386" s="1088" t="s">
        <v>675</v>
      </c>
      <c r="M386" s="1030">
        <v>84000000</v>
      </c>
      <c r="N386" s="1083" t="s">
        <v>749</v>
      </c>
      <c r="O386" s="1083" t="s">
        <v>1473</v>
      </c>
      <c r="P386" s="1083"/>
      <c r="Q386" s="1027"/>
      <c r="R386" s="1022"/>
      <c r="S386" s="1130">
        <v>202</v>
      </c>
      <c r="T386" s="1156">
        <v>81600000</v>
      </c>
    </row>
    <row r="387" spans="1:20" s="995" customFormat="1" ht="87.5" x14ac:dyDescent="0.35">
      <c r="A387" s="1023">
        <v>2022382</v>
      </c>
      <c r="B387" s="1023">
        <v>7658</v>
      </c>
      <c r="C387" s="1023" t="s">
        <v>679</v>
      </c>
      <c r="D387" s="1039" t="s">
        <v>701</v>
      </c>
      <c r="E387" s="1040">
        <v>80111600</v>
      </c>
      <c r="F387" s="1026" t="s">
        <v>1045</v>
      </c>
      <c r="G387" s="1041" t="s">
        <v>1414</v>
      </c>
      <c r="H387" s="1141" t="s">
        <v>1414</v>
      </c>
      <c r="I387" s="1042" t="s">
        <v>1460</v>
      </c>
      <c r="J387" s="1043" t="s">
        <v>1455</v>
      </c>
      <c r="K387" s="1027" t="s">
        <v>674</v>
      </c>
      <c r="L387" s="1088" t="s">
        <v>675</v>
      </c>
      <c r="M387" s="1030">
        <v>84000000</v>
      </c>
      <c r="N387" s="1083" t="s">
        <v>749</v>
      </c>
      <c r="O387" s="1083" t="s">
        <v>1473</v>
      </c>
      <c r="P387" s="1083"/>
      <c r="Q387" s="1027"/>
      <c r="R387" s="1022"/>
      <c r="S387" s="1130">
        <v>343</v>
      </c>
      <c r="T387" s="1156">
        <v>81600000</v>
      </c>
    </row>
    <row r="388" spans="1:20" s="995" customFormat="1" ht="87.5" x14ac:dyDescent="0.35">
      <c r="A388" s="1023">
        <v>2022383</v>
      </c>
      <c r="B388" s="1023">
        <v>7658</v>
      </c>
      <c r="C388" s="1023" t="s">
        <v>679</v>
      </c>
      <c r="D388" s="1039" t="s">
        <v>701</v>
      </c>
      <c r="E388" s="1040">
        <v>80111600</v>
      </c>
      <c r="F388" s="1026" t="s">
        <v>1046</v>
      </c>
      <c r="G388" s="1041" t="s">
        <v>1414</v>
      </c>
      <c r="H388" s="1141" t="s">
        <v>1414</v>
      </c>
      <c r="I388" s="1042" t="s">
        <v>1460</v>
      </c>
      <c r="J388" s="1043" t="s">
        <v>1455</v>
      </c>
      <c r="K388" s="1027" t="s">
        <v>674</v>
      </c>
      <c r="L388" s="1088" t="s">
        <v>675</v>
      </c>
      <c r="M388" s="1030">
        <v>84000000</v>
      </c>
      <c r="N388" s="1083" t="s">
        <v>749</v>
      </c>
      <c r="O388" s="1083" t="s">
        <v>1473</v>
      </c>
      <c r="P388" s="1083"/>
      <c r="Q388" s="1027"/>
      <c r="R388" s="1022"/>
      <c r="S388" s="1130">
        <v>323</v>
      </c>
      <c r="T388" s="1156">
        <v>81600000</v>
      </c>
    </row>
    <row r="389" spans="1:20" s="995" customFormat="1" ht="87.5" x14ac:dyDescent="0.35">
      <c r="A389" s="1023">
        <v>2022384</v>
      </c>
      <c r="B389" s="1023">
        <v>7658</v>
      </c>
      <c r="C389" s="1023" t="s">
        <v>679</v>
      </c>
      <c r="D389" s="1039" t="s">
        <v>701</v>
      </c>
      <c r="E389" s="1040">
        <v>80111600</v>
      </c>
      <c r="F389" s="1026" t="s">
        <v>1047</v>
      </c>
      <c r="G389" s="1041" t="s">
        <v>1414</v>
      </c>
      <c r="H389" s="1141" t="s">
        <v>1414</v>
      </c>
      <c r="I389" s="1042" t="s">
        <v>1460</v>
      </c>
      <c r="J389" s="1043" t="s">
        <v>1455</v>
      </c>
      <c r="K389" s="1027" t="s">
        <v>674</v>
      </c>
      <c r="L389" s="1088" t="s">
        <v>675</v>
      </c>
      <c r="M389" s="1030">
        <v>84000000</v>
      </c>
      <c r="N389" s="1083" t="s">
        <v>749</v>
      </c>
      <c r="O389" s="1083" t="s">
        <v>1473</v>
      </c>
      <c r="P389" s="1083"/>
      <c r="Q389" s="1027"/>
      <c r="R389" s="1022"/>
      <c r="S389" s="1130">
        <v>475</v>
      </c>
      <c r="T389" s="1156">
        <v>27000000</v>
      </c>
    </row>
    <row r="390" spans="1:20" s="995" customFormat="1" ht="87.5" x14ac:dyDescent="0.35">
      <c r="A390" s="1023">
        <v>2022385</v>
      </c>
      <c r="B390" s="1023">
        <v>7658</v>
      </c>
      <c r="C390" s="1023" t="s">
        <v>679</v>
      </c>
      <c r="D390" s="1039" t="s">
        <v>701</v>
      </c>
      <c r="E390" s="1040">
        <v>80111600</v>
      </c>
      <c r="F390" s="1026" t="s">
        <v>1048</v>
      </c>
      <c r="G390" s="1041" t="s">
        <v>1414</v>
      </c>
      <c r="H390" s="1141" t="s">
        <v>1414</v>
      </c>
      <c r="I390" s="1042" t="s">
        <v>1460</v>
      </c>
      <c r="J390" s="1043" t="s">
        <v>1455</v>
      </c>
      <c r="K390" s="1027" t="s">
        <v>674</v>
      </c>
      <c r="L390" s="1088" t="s">
        <v>675</v>
      </c>
      <c r="M390" s="1030">
        <v>84000000</v>
      </c>
      <c r="N390" s="1083" t="s">
        <v>749</v>
      </c>
      <c r="O390" s="1083" t="s">
        <v>1473</v>
      </c>
      <c r="P390" s="1083"/>
      <c r="Q390" s="1027"/>
      <c r="R390" s="1022"/>
      <c r="S390" s="1130">
        <v>342</v>
      </c>
      <c r="T390" s="1156">
        <v>81600000</v>
      </c>
    </row>
    <row r="391" spans="1:20" s="995" customFormat="1" ht="87.5" x14ac:dyDescent="0.35">
      <c r="A391" s="1023">
        <v>2022386</v>
      </c>
      <c r="B391" s="1023">
        <v>7658</v>
      </c>
      <c r="C391" s="1023" t="s">
        <v>679</v>
      </c>
      <c r="D391" s="1039" t="s">
        <v>701</v>
      </c>
      <c r="E391" s="1040">
        <v>80111600</v>
      </c>
      <c r="F391" s="1026" t="s">
        <v>1049</v>
      </c>
      <c r="G391" s="1041" t="s">
        <v>1414</v>
      </c>
      <c r="H391" s="1141" t="s">
        <v>1414</v>
      </c>
      <c r="I391" s="1042" t="s">
        <v>1460</v>
      </c>
      <c r="J391" s="1043" t="s">
        <v>1455</v>
      </c>
      <c r="K391" s="1027" t="s">
        <v>674</v>
      </c>
      <c r="L391" s="1088" t="s">
        <v>675</v>
      </c>
      <c r="M391" s="1030">
        <v>84000000</v>
      </c>
      <c r="N391" s="1083" t="s">
        <v>749</v>
      </c>
      <c r="O391" s="1083" t="s">
        <v>1473</v>
      </c>
      <c r="P391" s="1083"/>
      <c r="Q391" s="1027"/>
      <c r="R391" s="1022"/>
      <c r="S391" s="1130">
        <v>327</v>
      </c>
      <c r="T391" s="1156">
        <v>81600000</v>
      </c>
    </row>
    <row r="392" spans="1:20" s="995" customFormat="1" ht="87.5" x14ac:dyDescent="0.35">
      <c r="A392" s="1023">
        <v>2022387</v>
      </c>
      <c r="B392" s="1023">
        <v>7658</v>
      </c>
      <c r="C392" s="1023" t="s">
        <v>679</v>
      </c>
      <c r="D392" s="1039" t="s">
        <v>701</v>
      </c>
      <c r="E392" s="1040">
        <v>80111600</v>
      </c>
      <c r="F392" s="1026" t="s">
        <v>1050</v>
      </c>
      <c r="G392" s="1041" t="s">
        <v>1414</v>
      </c>
      <c r="H392" s="1141" t="s">
        <v>1414</v>
      </c>
      <c r="I392" s="1042" t="s">
        <v>1460</v>
      </c>
      <c r="J392" s="1043" t="s">
        <v>1455</v>
      </c>
      <c r="K392" s="1027" t="s">
        <v>674</v>
      </c>
      <c r="L392" s="1088" t="s">
        <v>675</v>
      </c>
      <c r="M392" s="1030">
        <v>90000000</v>
      </c>
      <c r="N392" s="1083" t="s">
        <v>749</v>
      </c>
      <c r="O392" s="1083" t="s">
        <v>1473</v>
      </c>
      <c r="P392" s="1083"/>
      <c r="Q392" s="1027"/>
      <c r="R392" s="1022"/>
      <c r="S392" s="1130">
        <v>329</v>
      </c>
      <c r="T392" s="1156">
        <v>87600000</v>
      </c>
    </row>
    <row r="393" spans="1:20" s="995" customFormat="1" ht="87.5" x14ac:dyDescent="0.35">
      <c r="A393" s="1013">
        <v>2022388</v>
      </c>
      <c r="B393" s="1013">
        <v>7658</v>
      </c>
      <c r="C393" s="1013" t="s">
        <v>679</v>
      </c>
      <c r="D393" s="1045" t="s">
        <v>692</v>
      </c>
      <c r="E393" s="1051" t="s">
        <v>1519</v>
      </c>
      <c r="F393" s="1016" t="s">
        <v>1520</v>
      </c>
      <c r="G393" s="1018" t="s">
        <v>1521</v>
      </c>
      <c r="H393" s="1141" t="s">
        <v>1522</v>
      </c>
      <c r="I393" s="1018">
        <v>10</v>
      </c>
      <c r="J393" s="1049" t="s">
        <v>1523</v>
      </c>
      <c r="K393" s="1017" t="s">
        <v>674</v>
      </c>
      <c r="L393" s="1019" t="s">
        <v>675</v>
      </c>
      <c r="M393" s="1020">
        <v>650000000</v>
      </c>
      <c r="N393" s="1037" t="s">
        <v>741</v>
      </c>
      <c r="O393" s="1037" t="s">
        <v>1524</v>
      </c>
      <c r="P393" s="1037"/>
      <c r="Q393" s="1017"/>
      <c r="R393" s="1022"/>
      <c r="S393" s="1130"/>
      <c r="T393" s="1156"/>
    </row>
    <row r="394" spans="1:20" s="995" customFormat="1" ht="87.5" x14ac:dyDescent="0.35">
      <c r="A394" s="1013">
        <v>2022389</v>
      </c>
      <c r="B394" s="1013">
        <v>7658</v>
      </c>
      <c r="C394" s="1013" t="s">
        <v>679</v>
      </c>
      <c r="D394" s="1045" t="s">
        <v>692</v>
      </c>
      <c r="E394" s="1051" t="s">
        <v>1051</v>
      </c>
      <c r="F394" s="1016" t="s">
        <v>1525</v>
      </c>
      <c r="G394" s="1018" t="s">
        <v>1521</v>
      </c>
      <c r="H394" s="1141" t="s">
        <v>1522</v>
      </c>
      <c r="I394" s="1018">
        <v>8</v>
      </c>
      <c r="J394" s="1049" t="s">
        <v>1523</v>
      </c>
      <c r="K394" s="1017" t="s">
        <v>674</v>
      </c>
      <c r="L394" s="1019" t="s">
        <v>675</v>
      </c>
      <c r="M394" s="1020">
        <v>816036232</v>
      </c>
      <c r="N394" s="1037" t="s">
        <v>741</v>
      </c>
      <c r="O394" s="1037" t="s">
        <v>1524</v>
      </c>
      <c r="P394" s="1037"/>
      <c r="Q394" s="1017"/>
      <c r="R394" s="1022"/>
      <c r="S394" s="1130"/>
      <c r="T394" s="1156"/>
    </row>
    <row r="395" spans="1:20" s="995" customFormat="1" ht="112.5" x14ac:dyDescent="0.35">
      <c r="A395" s="1023">
        <v>2022390</v>
      </c>
      <c r="B395" s="1023">
        <v>7658</v>
      </c>
      <c r="C395" s="1023" t="s">
        <v>679</v>
      </c>
      <c r="D395" s="1039" t="s">
        <v>692</v>
      </c>
      <c r="E395" s="1086" t="s">
        <v>1051</v>
      </c>
      <c r="F395" s="1026" t="s">
        <v>1053</v>
      </c>
      <c r="G395" s="1041" t="s">
        <v>1414</v>
      </c>
      <c r="H395" s="1141" t="s">
        <v>1420</v>
      </c>
      <c r="I395" s="1028">
        <v>2</v>
      </c>
      <c r="J395" s="1043" t="s">
        <v>1523</v>
      </c>
      <c r="K395" s="1027" t="s">
        <v>674</v>
      </c>
      <c r="L395" s="1029" t="s">
        <v>675</v>
      </c>
      <c r="M395" s="1030">
        <v>183963768</v>
      </c>
      <c r="N395" s="1083" t="s">
        <v>741</v>
      </c>
      <c r="O395" s="1083" t="s">
        <v>1524</v>
      </c>
      <c r="P395" s="1083"/>
      <c r="Q395" s="1027"/>
      <c r="R395" s="1022"/>
      <c r="S395" s="1130">
        <v>519</v>
      </c>
      <c r="T395" s="1156">
        <v>183963768</v>
      </c>
    </row>
    <row r="396" spans="1:20" s="995" customFormat="1" ht="87.5" x14ac:dyDescent="0.35">
      <c r="A396" s="1013">
        <v>2022391</v>
      </c>
      <c r="B396" s="1013">
        <v>7658</v>
      </c>
      <c r="C396" s="1013" t="s">
        <v>679</v>
      </c>
      <c r="D396" s="1045" t="s">
        <v>692</v>
      </c>
      <c r="E396" s="1051" t="s">
        <v>1054</v>
      </c>
      <c r="F396" s="1016" t="s">
        <v>1055</v>
      </c>
      <c r="G396" s="1018" t="s">
        <v>1526</v>
      </c>
      <c r="H396" s="1141" t="s">
        <v>1527</v>
      </c>
      <c r="I396" s="1018">
        <v>8</v>
      </c>
      <c r="J396" s="1049" t="s">
        <v>1523</v>
      </c>
      <c r="K396" s="1017" t="s">
        <v>770</v>
      </c>
      <c r="L396" s="1019" t="s">
        <v>981</v>
      </c>
      <c r="M396" s="1020">
        <v>617440000</v>
      </c>
      <c r="N396" s="1037" t="s">
        <v>741</v>
      </c>
      <c r="O396" s="1037" t="s">
        <v>1524</v>
      </c>
      <c r="P396" s="1037"/>
      <c r="Q396" s="1017"/>
      <c r="R396" s="1022"/>
      <c r="S396" s="1130"/>
      <c r="T396" s="1156"/>
    </row>
    <row r="397" spans="1:20" s="995" customFormat="1" ht="100" x14ac:dyDescent="0.35">
      <c r="A397" s="1013">
        <v>2022392</v>
      </c>
      <c r="B397" s="1013">
        <v>7658</v>
      </c>
      <c r="C397" s="1013" t="s">
        <v>679</v>
      </c>
      <c r="D397" s="1045" t="s">
        <v>692</v>
      </c>
      <c r="E397" s="1089" t="s">
        <v>1528</v>
      </c>
      <c r="F397" s="1016" t="s">
        <v>1529</v>
      </c>
      <c r="G397" s="1018" t="s">
        <v>1526</v>
      </c>
      <c r="H397" s="1141" t="s">
        <v>1527</v>
      </c>
      <c r="I397" s="1018">
        <v>8</v>
      </c>
      <c r="J397" s="1049" t="s">
        <v>1510</v>
      </c>
      <c r="K397" s="1017" t="s">
        <v>674</v>
      </c>
      <c r="L397" s="1019" t="s">
        <v>675</v>
      </c>
      <c r="M397" s="1020">
        <v>300000000</v>
      </c>
      <c r="N397" s="1037" t="s">
        <v>741</v>
      </c>
      <c r="O397" s="1037" t="s">
        <v>1524</v>
      </c>
      <c r="P397" s="1037"/>
      <c r="Q397" s="1017"/>
      <c r="R397" s="1022"/>
      <c r="S397" s="1130"/>
      <c r="T397" s="1156"/>
    </row>
    <row r="398" spans="1:20" s="995" customFormat="1" ht="87.5" x14ac:dyDescent="0.35">
      <c r="A398" s="1013">
        <v>2022393</v>
      </c>
      <c r="B398" s="1013">
        <v>7658</v>
      </c>
      <c r="C398" s="1013" t="s">
        <v>679</v>
      </c>
      <c r="D398" s="1045" t="s">
        <v>692</v>
      </c>
      <c r="E398" s="1089" t="s">
        <v>1530</v>
      </c>
      <c r="F398" s="1016" t="s">
        <v>1060</v>
      </c>
      <c r="G398" s="1018" t="s">
        <v>1526</v>
      </c>
      <c r="H398" s="1141" t="s">
        <v>1527</v>
      </c>
      <c r="I398" s="1018">
        <v>8</v>
      </c>
      <c r="J398" s="1049" t="s">
        <v>1531</v>
      </c>
      <c r="K398" s="1017" t="s">
        <v>674</v>
      </c>
      <c r="L398" s="1019" t="s">
        <v>675</v>
      </c>
      <c r="M398" s="1020">
        <v>200000000</v>
      </c>
      <c r="N398" s="1037" t="s">
        <v>741</v>
      </c>
      <c r="O398" s="1037" t="s">
        <v>1524</v>
      </c>
      <c r="P398" s="1037"/>
      <c r="Q398" s="1017"/>
      <c r="R398" s="1022"/>
      <c r="S398" s="1130"/>
      <c r="T398" s="1156"/>
    </row>
    <row r="399" spans="1:20" s="995" customFormat="1" ht="87.5" x14ac:dyDescent="0.35">
      <c r="A399" s="1013">
        <v>2022394</v>
      </c>
      <c r="B399" s="1013">
        <v>7658</v>
      </c>
      <c r="C399" s="1013" t="s">
        <v>679</v>
      </c>
      <c r="D399" s="1045" t="s">
        <v>692</v>
      </c>
      <c r="E399" s="1090" t="s">
        <v>1061</v>
      </c>
      <c r="F399" s="1016" t="s">
        <v>1062</v>
      </c>
      <c r="G399" s="1017" t="s">
        <v>1527</v>
      </c>
      <c r="H399" s="1141" t="s">
        <v>1532</v>
      </c>
      <c r="I399" s="1017">
        <v>6</v>
      </c>
      <c r="J399" s="1049" t="s">
        <v>1531</v>
      </c>
      <c r="K399" s="1017" t="s">
        <v>674</v>
      </c>
      <c r="L399" s="1019" t="s">
        <v>675</v>
      </c>
      <c r="M399" s="1020">
        <f>150000000-76286376</f>
        <v>73713624</v>
      </c>
      <c r="N399" s="1037" t="s">
        <v>741</v>
      </c>
      <c r="O399" s="1037" t="s">
        <v>1524</v>
      </c>
      <c r="P399" s="1037"/>
      <c r="Q399" s="1047">
        <v>44600</v>
      </c>
      <c r="R399" s="1022"/>
      <c r="S399" s="1130"/>
      <c r="T399" s="1156"/>
    </row>
    <row r="400" spans="1:20" s="995" customFormat="1" ht="87.5" x14ac:dyDescent="0.35">
      <c r="A400" s="1013">
        <v>2022395</v>
      </c>
      <c r="B400" s="1013">
        <v>7658</v>
      </c>
      <c r="C400" s="1013" t="s">
        <v>679</v>
      </c>
      <c r="D400" s="1045" t="s">
        <v>692</v>
      </c>
      <c r="E400" s="1090" t="s">
        <v>1533</v>
      </c>
      <c r="F400" s="1016" t="s">
        <v>1534</v>
      </c>
      <c r="G400" s="1017" t="s">
        <v>1532</v>
      </c>
      <c r="H400" s="1141" t="s">
        <v>1535</v>
      </c>
      <c r="I400" s="1017">
        <v>3</v>
      </c>
      <c r="J400" s="1049" t="s">
        <v>1523</v>
      </c>
      <c r="K400" s="1017" t="s">
        <v>770</v>
      </c>
      <c r="L400" s="1019" t="s">
        <v>981</v>
      </c>
      <c r="M400" s="1020">
        <v>400000000</v>
      </c>
      <c r="N400" s="1037" t="s">
        <v>741</v>
      </c>
      <c r="O400" s="1037" t="s">
        <v>1524</v>
      </c>
      <c r="P400" s="1037"/>
      <c r="Q400" s="1017"/>
      <c r="R400" s="1022"/>
      <c r="S400" s="1130"/>
      <c r="T400" s="1156"/>
    </row>
    <row r="401" spans="1:20" s="995" customFormat="1" ht="87.5" x14ac:dyDescent="0.35">
      <c r="A401" s="1013">
        <v>2022396</v>
      </c>
      <c r="B401" s="1013">
        <v>7658</v>
      </c>
      <c r="C401" s="1013" t="s">
        <v>679</v>
      </c>
      <c r="D401" s="1045" t="s">
        <v>692</v>
      </c>
      <c r="E401" s="1090" t="s">
        <v>1530</v>
      </c>
      <c r="F401" s="1016" t="s">
        <v>1536</v>
      </c>
      <c r="G401" s="1017" t="s">
        <v>1537</v>
      </c>
      <c r="H401" s="1141" t="s">
        <v>1538</v>
      </c>
      <c r="I401" s="1017">
        <v>3</v>
      </c>
      <c r="J401" s="1049" t="s">
        <v>1523</v>
      </c>
      <c r="K401" s="1017" t="s">
        <v>674</v>
      </c>
      <c r="L401" s="1019" t="s">
        <v>675</v>
      </c>
      <c r="M401" s="1020">
        <v>300000000</v>
      </c>
      <c r="N401" s="1037" t="s">
        <v>741</v>
      </c>
      <c r="O401" s="1037" t="s">
        <v>1524</v>
      </c>
      <c r="P401" s="1037"/>
      <c r="Q401" s="1017"/>
      <c r="R401" s="1022"/>
      <c r="S401" s="1130"/>
      <c r="T401" s="1156"/>
    </row>
    <row r="402" spans="1:20" s="995" customFormat="1" ht="87.5" x14ac:dyDescent="0.35">
      <c r="A402" s="1013">
        <v>2022397</v>
      </c>
      <c r="B402" s="1013">
        <v>7658</v>
      </c>
      <c r="C402" s="1013" t="s">
        <v>679</v>
      </c>
      <c r="D402" s="1045" t="s">
        <v>692</v>
      </c>
      <c r="E402" s="1090" t="s">
        <v>1539</v>
      </c>
      <c r="F402" s="1016" t="s">
        <v>1540</v>
      </c>
      <c r="G402" s="1017" t="s">
        <v>1522</v>
      </c>
      <c r="H402" s="1141" t="s">
        <v>1537</v>
      </c>
      <c r="I402" s="1017">
        <v>2</v>
      </c>
      <c r="J402" s="1049" t="s">
        <v>1531</v>
      </c>
      <c r="K402" s="1017" t="s">
        <v>674</v>
      </c>
      <c r="L402" s="1019" t="s">
        <v>675</v>
      </c>
      <c r="M402" s="1020">
        <v>30000000</v>
      </c>
      <c r="N402" s="1037" t="s">
        <v>741</v>
      </c>
      <c r="O402" s="1037" t="s">
        <v>1524</v>
      </c>
      <c r="P402" s="1037"/>
      <c r="Q402" s="1017"/>
      <c r="R402" s="1022"/>
      <c r="S402" s="1130"/>
      <c r="T402" s="1156"/>
    </row>
    <row r="403" spans="1:20" s="995" customFormat="1" ht="87.5" x14ac:dyDescent="0.35">
      <c r="A403" s="1013">
        <v>2022398</v>
      </c>
      <c r="B403" s="1013">
        <v>7658</v>
      </c>
      <c r="C403" s="1013" t="s">
        <v>679</v>
      </c>
      <c r="D403" s="1045" t="s">
        <v>692</v>
      </c>
      <c r="E403" s="1090" t="s">
        <v>1541</v>
      </c>
      <c r="F403" s="1016" t="s">
        <v>1542</v>
      </c>
      <c r="G403" s="1017" t="s">
        <v>1527</v>
      </c>
      <c r="H403" s="1141" t="s">
        <v>1538</v>
      </c>
      <c r="I403" s="1017">
        <v>8</v>
      </c>
      <c r="J403" s="1049" t="s">
        <v>1531</v>
      </c>
      <c r="K403" s="1017" t="s">
        <v>674</v>
      </c>
      <c r="L403" s="1019" t="s">
        <v>675</v>
      </c>
      <c r="M403" s="1020">
        <v>10000000</v>
      </c>
      <c r="N403" s="1037" t="s">
        <v>741</v>
      </c>
      <c r="O403" s="1037" t="s">
        <v>1524</v>
      </c>
      <c r="P403" s="1037"/>
      <c r="Q403" s="1017"/>
      <c r="R403" s="1022"/>
      <c r="S403" s="1130"/>
      <c r="T403" s="1156"/>
    </row>
    <row r="404" spans="1:20" s="995" customFormat="1" ht="87.5" x14ac:dyDescent="0.35">
      <c r="A404" s="1013">
        <v>2022399</v>
      </c>
      <c r="B404" s="1013">
        <v>7658</v>
      </c>
      <c r="C404" s="1013" t="s">
        <v>679</v>
      </c>
      <c r="D404" s="1045" t="s">
        <v>692</v>
      </c>
      <c r="E404" s="1090" t="s">
        <v>1543</v>
      </c>
      <c r="F404" s="1016" t="s">
        <v>1544</v>
      </c>
      <c r="G404" s="1017" t="s">
        <v>1527</v>
      </c>
      <c r="H404" s="1141" t="s">
        <v>1538</v>
      </c>
      <c r="I404" s="1017">
        <v>8</v>
      </c>
      <c r="J404" s="1049" t="s">
        <v>1531</v>
      </c>
      <c r="K404" s="1017" t="s">
        <v>674</v>
      </c>
      <c r="L404" s="1019" t="s">
        <v>675</v>
      </c>
      <c r="M404" s="1020">
        <v>20000000</v>
      </c>
      <c r="N404" s="1037" t="s">
        <v>741</v>
      </c>
      <c r="O404" s="1037" t="s">
        <v>1524</v>
      </c>
      <c r="P404" s="1037"/>
      <c r="Q404" s="1017"/>
      <c r="R404" s="1022"/>
      <c r="S404" s="1130"/>
      <c r="T404" s="1156"/>
    </row>
    <row r="405" spans="1:20" s="995" customFormat="1" ht="87.5" x14ac:dyDescent="0.35">
      <c r="A405" s="1013">
        <v>2022400</v>
      </c>
      <c r="B405" s="1013">
        <v>7658</v>
      </c>
      <c r="C405" s="1013" t="s">
        <v>679</v>
      </c>
      <c r="D405" s="1045" t="s">
        <v>692</v>
      </c>
      <c r="E405" s="1090" t="s">
        <v>1067</v>
      </c>
      <c r="F405" s="1016" t="s">
        <v>1068</v>
      </c>
      <c r="G405" s="1017" t="s">
        <v>1527</v>
      </c>
      <c r="H405" s="1141" t="s">
        <v>1538</v>
      </c>
      <c r="I405" s="1017">
        <v>2</v>
      </c>
      <c r="J405" s="1049" t="s">
        <v>1531</v>
      </c>
      <c r="K405" s="1017" t="s">
        <v>674</v>
      </c>
      <c r="L405" s="1019" t="s">
        <v>675</v>
      </c>
      <c r="M405" s="1020">
        <v>50000000</v>
      </c>
      <c r="N405" s="1037" t="s">
        <v>741</v>
      </c>
      <c r="O405" s="1037" t="s">
        <v>1524</v>
      </c>
      <c r="P405" s="1037"/>
      <c r="Q405" s="1017"/>
      <c r="R405" s="1022"/>
      <c r="S405" s="1130"/>
      <c r="T405" s="1156"/>
    </row>
    <row r="406" spans="1:20" s="995" customFormat="1" ht="87.5" x14ac:dyDescent="0.35">
      <c r="A406" s="1013">
        <v>2022401</v>
      </c>
      <c r="B406" s="1013">
        <v>7658</v>
      </c>
      <c r="C406" s="1013" t="s">
        <v>679</v>
      </c>
      <c r="D406" s="1045" t="s">
        <v>692</v>
      </c>
      <c r="E406" s="1090" t="s">
        <v>1545</v>
      </c>
      <c r="F406" s="1016" t="s">
        <v>1546</v>
      </c>
      <c r="G406" s="1017" t="s">
        <v>1537</v>
      </c>
      <c r="H406" s="1141" t="s">
        <v>1535</v>
      </c>
      <c r="I406" s="1017">
        <v>6</v>
      </c>
      <c r="J406" s="1049" t="s">
        <v>1531</v>
      </c>
      <c r="K406" s="1017" t="s">
        <v>674</v>
      </c>
      <c r="L406" s="1019" t="s">
        <v>675</v>
      </c>
      <c r="M406" s="1020">
        <v>30000000</v>
      </c>
      <c r="N406" s="1037" t="s">
        <v>741</v>
      </c>
      <c r="O406" s="1037" t="s">
        <v>1524</v>
      </c>
      <c r="P406" s="1037"/>
      <c r="Q406" s="1017"/>
      <c r="R406" s="1022"/>
      <c r="S406" s="1130"/>
      <c r="T406" s="1156"/>
    </row>
    <row r="407" spans="1:20" s="995" customFormat="1" ht="87.5" x14ac:dyDescent="0.35">
      <c r="A407" s="1013">
        <v>2022402</v>
      </c>
      <c r="B407" s="1013">
        <v>7658</v>
      </c>
      <c r="C407" s="1013" t="s">
        <v>679</v>
      </c>
      <c r="D407" s="1045" t="s">
        <v>692</v>
      </c>
      <c r="E407" s="1091">
        <v>43232500</v>
      </c>
      <c r="F407" s="1016" t="s">
        <v>1547</v>
      </c>
      <c r="G407" s="1017" t="s">
        <v>1527</v>
      </c>
      <c r="H407" s="1141" t="s">
        <v>1538</v>
      </c>
      <c r="I407" s="1017">
        <v>6</v>
      </c>
      <c r="J407" s="1049" t="s">
        <v>1531</v>
      </c>
      <c r="K407" s="1017" t="s">
        <v>674</v>
      </c>
      <c r="L407" s="1019" t="s">
        <v>675</v>
      </c>
      <c r="M407" s="1020">
        <v>24560000</v>
      </c>
      <c r="N407" s="1037" t="s">
        <v>741</v>
      </c>
      <c r="O407" s="1037" t="s">
        <v>1524</v>
      </c>
      <c r="P407" s="1037"/>
      <c r="Q407" s="1017"/>
      <c r="R407" s="1022"/>
      <c r="S407" s="1130"/>
      <c r="T407" s="1156"/>
    </row>
    <row r="408" spans="1:20" s="995" customFormat="1" ht="87.5" x14ac:dyDescent="0.35">
      <c r="A408" s="1013">
        <v>2022403</v>
      </c>
      <c r="B408" s="1013">
        <v>7658</v>
      </c>
      <c r="C408" s="1013" t="s">
        <v>679</v>
      </c>
      <c r="D408" s="1045" t="s">
        <v>692</v>
      </c>
      <c r="E408" s="1090" t="s">
        <v>1545</v>
      </c>
      <c r="F408" s="1016" t="s">
        <v>1548</v>
      </c>
      <c r="G408" s="1017" t="s">
        <v>1527</v>
      </c>
      <c r="H408" s="1141" t="s">
        <v>1538</v>
      </c>
      <c r="I408" s="1017">
        <v>6</v>
      </c>
      <c r="J408" s="1049" t="s">
        <v>1531</v>
      </c>
      <c r="K408" s="1017" t="s">
        <v>674</v>
      </c>
      <c r="L408" s="1019" t="s">
        <v>675</v>
      </c>
      <c r="M408" s="1020">
        <v>20000000</v>
      </c>
      <c r="N408" s="1037" t="s">
        <v>741</v>
      </c>
      <c r="O408" s="1037" t="s">
        <v>1524</v>
      </c>
      <c r="P408" s="1037"/>
      <c r="Q408" s="1017"/>
      <c r="R408" s="1022"/>
      <c r="S408" s="1130"/>
      <c r="T408" s="1156"/>
    </row>
    <row r="409" spans="1:20" s="995" customFormat="1" ht="87.5" x14ac:dyDescent="0.35">
      <c r="A409" s="1023">
        <v>2022404</v>
      </c>
      <c r="B409" s="1023">
        <v>7658</v>
      </c>
      <c r="C409" s="1023" t="s">
        <v>679</v>
      </c>
      <c r="D409" s="1039" t="s">
        <v>692</v>
      </c>
      <c r="E409" s="1040">
        <v>80111600</v>
      </c>
      <c r="F409" s="1026" t="s">
        <v>1069</v>
      </c>
      <c r="G409" s="1027" t="s">
        <v>1521</v>
      </c>
      <c r="H409" s="1141" t="s">
        <v>1521</v>
      </c>
      <c r="I409" s="1027">
        <v>7</v>
      </c>
      <c r="J409" s="1027" t="s">
        <v>1549</v>
      </c>
      <c r="K409" s="1027" t="s">
        <v>674</v>
      </c>
      <c r="L409" s="1029" t="s">
        <v>675</v>
      </c>
      <c r="M409" s="1092">
        <v>26950000</v>
      </c>
      <c r="N409" s="1083" t="s">
        <v>741</v>
      </c>
      <c r="O409" s="1083" t="s">
        <v>1524</v>
      </c>
      <c r="P409" s="1083"/>
      <c r="Q409" s="1027"/>
      <c r="R409" s="1022"/>
      <c r="S409" s="1130">
        <v>99</v>
      </c>
      <c r="T409" s="1156">
        <v>26950000</v>
      </c>
    </row>
    <row r="410" spans="1:20" s="995" customFormat="1" ht="87.5" x14ac:dyDescent="0.35">
      <c r="A410" s="1013">
        <v>2022405</v>
      </c>
      <c r="B410" s="1013">
        <v>7658</v>
      </c>
      <c r="C410" s="1013" t="s">
        <v>679</v>
      </c>
      <c r="D410" s="1045" t="s">
        <v>692</v>
      </c>
      <c r="E410" s="1046">
        <v>80111600</v>
      </c>
      <c r="F410" s="1016" t="s">
        <v>1069</v>
      </c>
      <c r="G410" s="1017" t="s">
        <v>1521</v>
      </c>
      <c r="H410" s="1141" t="s">
        <v>1521</v>
      </c>
      <c r="I410" s="1017">
        <v>3</v>
      </c>
      <c r="J410" s="1017" t="s">
        <v>1549</v>
      </c>
      <c r="K410" s="1017" t="s">
        <v>674</v>
      </c>
      <c r="L410" s="1019" t="s">
        <v>675</v>
      </c>
      <c r="M410" s="1093">
        <v>13500000</v>
      </c>
      <c r="N410" s="1037" t="s">
        <v>741</v>
      </c>
      <c r="O410" s="1037" t="s">
        <v>1524</v>
      </c>
      <c r="P410" s="1037"/>
      <c r="Q410" s="1017"/>
      <c r="R410" s="1022"/>
      <c r="S410" s="1130"/>
      <c r="T410" s="1156"/>
    </row>
    <row r="411" spans="1:20" s="995" customFormat="1" ht="87.5" x14ac:dyDescent="0.35">
      <c r="A411" s="1023">
        <v>2022406</v>
      </c>
      <c r="B411" s="1023">
        <v>7658</v>
      </c>
      <c r="C411" s="1023" t="s">
        <v>679</v>
      </c>
      <c r="D411" s="1039" t="s">
        <v>692</v>
      </c>
      <c r="E411" s="1040">
        <v>80111600</v>
      </c>
      <c r="F411" s="1026" t="s">
        <v>1070</v>
      </c>
      <c r="G411" s="1027" t="s">
        <v>1521</v>
      </c>
      <c r="H411" s="1141" t="s">
        <v>1521</v>
      </c>
      <c r="I411" s="1027">
        <v>10</v>
      </c>
      <c r="J411" s="1027" t="s">
        <v>1549</v>
      </c>
      <c r="K411" s="1027" t="s">
        <v>674</v>
      </c>
      <c r="L411" s="1029" t="s">
        <v>675</v>
      </c>
      <c r="M411" s="1092">
        <v>82400000</v>
      </c>
      <c r="N411" s="1083" t="s">
        <v>741</v>
      </c>
      <c r="O411" s="1083" t="s">
        <v>1524</v>
      </c>
      <c r="P411" s="1083"/>
      <c r="Q411" s="1027"/>
      <c r="R411" s="1022"/>
      <c r="S411" s="1130">
        <v>100</v>
      </c>
      <c r="T411" s="1156">
        <v>82400000</v>
      </c>
    </row>
    <row r="412" spans="1:20" s="995" customFormat="1" ht="87.5" x14ac:dyDescent="0.35">
      <c r="A412" s="1023">
        <v>2022407</v>
      </c>
      <c r="B412" s="1023">
        <v>7658</v>
      </c>
      <c r="C412" s="1023" t="s">
        <v>679</v>
      </c>
      <c r="D412" s="1039" t="s">
        <v>692</v>
      </c>
      <c r="E412" s="1040">
        <v>80111600</v>
      </c>
      <c r="F412" s="1026" t="s">
        <v>1071</v>
      </c>
      <c r="G412" s="1027" t="s">
        <v>1521</v>
      </c>
      <c r="H412" s="1141" t="s">
        <v>1521</v>
      </c>
      <c r="I412" s="1027">
        <v>6</v>
      </c>
      <c r="J412" s="1027" t="s">
        <v>1549</v>
      </c>
      <c r="K412" s="1027" t="s">
        <v>674</v>
      </c>
      <c r="L412" s="1029" t="s">
        <v>675</v>
      </c>
      <c r="M412" s="1092">
        <v>49440000</v>
      </c>
      <c r="N412" s="1083" t="s">
        <v>741</v>
      </c>
      <c r="O412" s="1083" t="s">
        <v>1524</v>
      </c>
      <c r="P412" s="1083"/>
      <c r="Q412" s="1027"/>
      <c r="R412" s="1022"/>
      <c r="S412" s="1130">
        <v>101</v>
      </c>
      <c r="T412" s="1156">
        <v>49440000</v>
      </c>
    </row>
    <row r="413" spans="1:20" s="995" customFormat="1" ht="87.5" x14ac:dyDescent="0.35">
      <c r="A413" s="1023">
        <v>2022408</v>
      </c>
      <c r="B413" s="1023">
        <v>7658</v>
      </c>
      <c r="C413" s="1023" t="s">
        <v>679</v>
      </c>
      <c r="D413" s="1039" t="s">
        <v>692</v>
      </c>
      <c r="E413" s="1040">
        <v>80111600</v>
      </c>
      <c r="F413" s="1026" t="s">
        <v>1071</v>
      </c>
      <c r="G413" s="1027" t="s">
        <v>1521</v>
      </c>
      <c r="H413" s="1141" t="s">
        <v>1521</v>
      </c>
      <c r="I413" s="1027">
        <v>4</v>
      </c>
      <c r="J413" s="1027" t="s">
        <v>1549</v>
      </c>
      <c r="K413" s="1027" t="s">
        <v>674</v>
      </c>
      <c r="L413" s="1029" t="s">
        <v>675</v>
      </c>
      <c r="M413" s="1092">
        <v>32960000</v>
      </c>
      <c r="N413" s="1083" t="s">
        <v>741</v>
      </c>
      <c r="O413" s="1083" t="s">
        <v>1524</v>
      </c>
      <c r="P413" s="1083"/>
      <c r="Q413" s="1027"/>
      <c r="R413" s="1022"/>
      <c r="S413" s="1130">
        <v>102</v>
      </c>
      <c r="T413" s="1156">
        <v>42000000</v>
      </c>
    </row>
    <row r="414" spans="1:20" s="995" customFormat="1" ht="87.5" x14ac:dyDescent="0.35">
      <c r="A414" s="1013">
        <v>2022409</v>
      </c>
      <c r="B414" s="1013">
        <v>7658</v>
      </c>
      <c r="C414" s="1013" t="s">
        <v>679</v>
      </c>
      <c r="D414" s="1045" t="s">
        <v>692</v>
      </c>
      <c r="E414" s="1046">
        <v>80111601</v>
      </c>
      <c r="F414" s="1016" t="s">
        <v>1072</v>
      </c>
      <c r="G414" s="1017" t="s">
        <v>1521</v>
      </c>
      <c r="H414" s="1141" t="s">
        <v>1521</v>
      </c>
      <c r="I414" s="1017">
        <v>6</v>
      </c>
      <c r="J414" s="1017" t="s">
        <v>1549</v>
      </c>
      <c r="K414" s="1017" t="s">
        <v>674</v>
      </c>
      <c r="L414" s="1019" t="s">
        <v>675</v>
      </c>
      <c r="M414" s="1093">
        <v>42000000</v>
      </c>
      <c r="N414" s="1037" t="s">
        <v>741</v>
      </c>
      <c r="O414" s="1037" t="s">
        <v>1524</v>
      </c>
      <c r="P414" s="1037"/>
      <c r="Q414" s="1017"/>
      <c r="R414" s="1022"/>
      <c r="S414" s="1130"/>
      <c r="T414" s="1156"/>
    </row>
    <row r="415" spans="1:20" s="995" customFormat="1" ht="87.5" x14ac:dyDescent="0.35">
      <c r="A415" s="1013">
        <v>2022410</v>
      </c>
      <c r="B415" s="1013">
        <v>7658</v>
      </c>
      <c r="C415" s="1013" t="s">
        <v>679</v>
      </c>
      <c r="D415" s="1045" t="s">
        <v>692</v>
      </c>
      <c r="E415" s="1046">
        <v>80111601</v>
      </c>
      <c r="F415" s="1016" t="s">
        <v>1072</v>
      </c>
      <c r="G415" s="1017" t="s">
        <v>1521</v>
      </c>
      <c r="H415" s="1141" t="s">
        <v>1521</v>
      </c>
      <c r="I415" s="1017">
        <v>4</v>
      </c>
      <c r="J415" s="1017" t="s">
        <v>1549</v>
      </c>
      <c r="K415" s="1017" t="s">
        <v>674</v>
      </c>
      <c r="L415" s="1019" t="s">
        <v>675</v>
      </c>
      <c r="M415" s="1093">
        <v>28000000</v>
      </c>
      <c r="N415" s="1037" t="s">
        <v>741</v>
      </c>
      <c r="O415" s="1037" t="s">
        <v>1524</v>
      </c>
      <c r="P415" s="1037"/>
      <c r="Q415" s="1017"/>
      <c r="R415" s="1022"/>
      <c r="S415" s="1130"/>
      <c r="T415" s="1156"/>
    </row>
    <row r="416" spans="1:20" s="995" customFormat="1" ht="87.5" x14ac:dyDescent="0.35">
      <c r="A416" s="1023">
        <v>2022411</v>
      </c>
      <c r="B416" s="1023">
        <v>7658</v>
      </c>
      <c r="C416" s="1023" t="s">
        <v>679</v>
      </c>
      <c r="D416" s="1039" t="s">
        <v>692</v>
      </c>
      <c r="E416" s="1040">
        <v>80111601</v>
      </c>
      <c r="F416" s="1026" t="s">
        <v>1074</v>
      </c>
      <c r="G416" s="1027" t="s">
        <v>1521</v>
      </c>
      <c r="H416" s="1141" t="s">
        <v>1521</v>
      </c>
      <c r="I416" s="1027">
        <v>10</v>
      </c>
      <c r="J416" s="1027" t="s">
        <v>1549</v>
      </c>
      <c r="K416" s="1027" t="s">
        <v>674</v>
      </c>
      <c r="L416" s="1029" t="s">
        <v>675</v>
      </c>
      <c r="M416" s="1092">
        <v>60000000</v>
      </c>
      <c r="N416" s="1083" t="s">
        <v>741</v>
      </c>
      <c r="O416" s="1083" t="s">
        <v>1524</v>
      </c>
      <c r="P416" s="1083"/>
      <c r="Q416" s="1027"/>
      <c r="R416" s="1022"/>
      <c r="S416" s="1130">
        <v>264</v>
      </c>
      <c r="T416" s="1156">
        <v>60000000</v>
      </c>
    </row>
    <row r="417" spans="1:20" s="995" customFormat="1" ht="87.5" x14ac:dyDescent="0.35">
      <c r="A417" s="1023">
        <v>2022412</v>
      </c>
      <c r="B417" s="1023">
        <v>7658</v>
      </c>
      <c r="C417" s="1023" t="s">
        <v>679</v>
      </c>
      <c r="D417" s="1039" t="s">
        <v>692</v>
      </c>
      <c r="E417" s="1040">
        <v>80111600</v>
      </c>
      <c r="F417" s="1026" t="s">
        <v>1075</v>
      </c>
      <c r="G417" s="1027" t="s">
        <v>1521</v>
      </c>
      <c r="H417" s="1141" t="s">
        <v>1521</v>
      </c>
      <c r="I417" s="1027">
        <v>10</v>
      </c>
      <c r="J417" s="1027" t="s">
        <v>1549</v>
      </c>
      <c r="K417" s="1027" t="s">
        <v>674</v>
      </c>
      <c r="L417" s="1029" t="s">
        <v>675</v>
      </c>
      <c r="M417" s="1092">
        <v>42000000</v>
      </c>
      <c r="N417" s="1083" t="s">
        <v>741</v>
      </c>
      <c r="O417" s="1083" t="s">
        <v>1524</v>
      </c>
      <c r="P417" s="1083"/>
      <c r="Q417" s="1027"/>
      <c r="R417" s="1022"/>
      <c r="S417" s="1130">
        <v>133</v>
      </c>
      <c r="T417" s="1156">
        <v>42000000</v>
      </c>
    </row>
    <row r="418" spans="1:20" s="995" customFormat="1" ht="87.5" x14ac:dyDescent="0.35">
      <c r="A418" s="1023">
        <v>2022413</v>
      </c>
      <c r="B418" s="1023">
        <v>7658</v>
      </c>
      <c r="C418" s="1023" t="s">
        <v>679</v>
      </c>
      <c r="D418" s="1039" t="s">
        <v>692</v>
      </c>
      <c r="E418" s="1040">
        <v>80111600</v>
      </c>
      <c r="F418" s="1026" t="s">
        <v>1076</v>
      </c>
      <c r="G418" s="1027" t="s">
        <v>1521</v>
      </c>
      <c r="H418" s="1141" t="s">
        <v>1521</v>
      </c>
      <c r="I418" s="1027">
        <v>10</v>
      </c>
      <c r="J418" s="1027" t="s">
        <v>1549</v>
      </c>
      <c r="K418" s="1027" t="s">
        <v>674</v>
      </c>
      <c r="L418" s="1029" t="s">
        <v>675</v>
      </c>
      <c r="M418" s="1092">
        <v>82400000</v>
      </c>
      <c r="N418" s="1083" t="s">
        <v>741</v>
      </c>
      <c r="O418" s="1083" t="s">
        <v>1524</v>
      </c>
      <c r="P418" s="1083"/>
      <c r="Q418" s="1027"/>
      <c r="R418" s="1022"/>
      <c r="S418" s="1130">
        <v>76</v>
      </c>
      <c r="T418" s="1156">
        <v>82400000</v>
      </c>
    </row>
    <row r="419" spans="1:20" s="995" customFormat="1" ht="87.5" x14ac:dyDescent="0.35">
      <c r="A419" s="1023">
        <v>2022414</v>
      </c>
      <c r="B419" s="1023">
        <v>7658</v>
      </c>
      <c r="C419" s="1023" t="s">
        <v>679</v>
      </c>
      <c r="D419" s="1039" t="s">
        <v>692</v>
      </c>
      <c r="E419" s="1040">
        <v>80111600</v>
      </c>
      <c r="F419" s="1026" t="s">
        <v>1077</v>
      </c>
      <c r="G419" s="1027" t="s">
        <v>1521</v>
      </c>
      <c r="H419" s="1141" t="s">
        <v>1521</v>
      </c>
      <c r="I419" s="1027">
        <v>10</v>
      </c>
      <c r="J419" s="1027" t="s">
        <v>1549</v>
      </c>
      <c r="K419" s="1027" t="s">
        <v>674</v>
      </c>
      <c r="L419" s="1029" t="s">
        <v>675</v>
      </c>
      <c r="M419" s="1092">
        <v>42000000</v>
      </c>
      <c r="N419" s="1083" t="s">
        <v>741</v>
      </c>
      <c r="O419" s="1083" t="s">
        <v>1524</v>
      </c>
      <c r="P419" s="1083"/>
      <c r="Q419" s="1027"/>
      <c r="R419" s="1022"/>
      <c r="S419" s="1130">
        <v>108</v>
      </c>
      <c r="T419" s="1156">
        <v>42000000</v>
      </c>
    </row>
    <row r="420" spans="1:20" s="995" customFormat="1" ht="87.5" x14ac:dyDescent="0.35">
      <c r="A420" s="1023">
        <v>2022415</v>
      </c>
      <c r="B420" s="1023">
        <v>7658</v>
      </c>
      <c r="C420" s="1023" t="s">
        <v>679</v>
      </c>
      <c r="D420" s="1039" t="s">
        <v>692</v>
      </c>
      <c r="E420" s="1040">
        <v>80111600</v>
      </c>
      <c r="F420" s="1026" t="s">
        <v>1078</v>
      </c>
      <c r="G420" s="1027" t="s">
        <v>1521</v>
      </c>
      <c r="H420" s="1141" t="s">
        <v>1521</v>
      </c>
      <c r="I420" s="1027">
        <v>10</v>
      </c>
      <c r="J420" s="1027" t="s">
        <v>1549</v>
      </c>
      <c r="K420" s="1027" t="s">
        <v>674</v>
      </c>
      <c r="L420" s="1029" t="s">
        <v>675</v>
      </c>
      <c r="M420" s="1092">
        <v>50000000</v>
      </c>
      <c r="N420" s="1083" t="s">
        <v>741</v>
      </c>
      <c r="O420" s="1083" t="s">
        <v>1524</v>
      </c>
      <c r="P420" s="1083"/>
      <c r="Q420" s="1027"/>
      <c r="R420" s="1022"/>
      <c r="S420" s="1130">
        <v>333</v>
      </c>
      <c r="T420" s="1156">
        <v>50000000</v>
      </c>
    </row>
    <row r="421" spans="1:20" s="995" customFormat="1" ht="87.5" x14ac:dyDescent="0.35">
      <c r="A421" s="1023">
        <v>2022416</v>
      </c>
      <c r="B421" s="1023">
        <v>7658</v>
      </c>
      <c r="C421" s="1023" t="s">
        <v>679</v>
      </c>
      <c r="D421" s="1039" t="s">
        <v>692</v>
      </c>
      <c r="E421" s="1040">
        <v>80111600</v>
      </c>
      <c r="F421" s="1026" t="s">
        <v>1079</v>
      </c>
      <c r="G421" s="1027" t="s">
        <v>1521</v>
      </c>
      <c r="H421" s="1141" t="s">
        <v>1521</v>
      </c>
      <c r="I421" s="1027">
        <v>6</v>
      </c>
      <c r="J421" s="1027" t="s">
        <v>1549</v>
      </c>
      <c r="K421" s="1027" t="s">
        <v>674</v>
      </c>
      <c r="L421" s="1029" t="s">
        <v>675</v>
      </c>
      <c r="M421" s="1092">
        <v>20100000</v>
      </c>
      <c r="N421" s="1083" t="s">
        <v>741</v>
      </c>
      <c r="O421" s="1083" t="s">
        <v>1524</v>
      </c>
      <c r="P421" s="1083"/>
      <c r="Q421" s="1027"/>
      <c r="R421" s="1022"/>
      <c r="S421" s="1130">
        <v>109</v>
      </c>
      <c r="T421" s="1156">
        <v>13400000</v>
      </c>
    </row>
    <row r="422" spans="1:20" s="995" customFormat="1" ht="87.5" x14ac:dyDescent="0.35">
      <c r="A422" s="1023">
        <v>2022417</v>
      </c>
      <c r="B422" s="1023">
        <v>7658</v>
      </c>
      <c r="C422" s="1023" t="s">
        <v>679</v>
      </c>
      <c r="D422" s="1039" t="s">
        <v>692</v>
      </c>
      <c r="E422" s="1040">
        <v>80111600</v>
      </c>
      <c r="F422" s="1026" t="s">
        <v>1080</v>
      </c>
      <c r="G422" s="1027" t="s">
        <v>1521</v>
      </c>
      <c r="H422" s="1141" t="s">
        <v>1521</v>
      </c>
      <c r="I422" s="1027">
        <v>4</v>
      </c>
      <c r="J422" s="1027" t="s">
        <v>1549</v>
      </c>
      <c r="K422" s="1027" t="s">
        <v>674</v>
      </c>
      <c r="L422" s="1029" t="s">
        <v>675</v>
      </c>
      <c r="M422" s="1092">
        <v>20600000</v>
      </c>
      <c r="N422" s="1083" t="s">
        <v>741</v>
      </c>
      <c r="O422" s="1083" t="s">
        <v>1524</v>
      </c>
      <c r="P422" s="1083"/>
      <c r="Q422" s="1027"/>
      <c r="R422" s="1022"/>
      <c r="S422" s="1130">
        <v>106</v>
      </c>
      <c r="T422" s="1156">
        <v>20600000</v>
      </c>
    </row>
    <row r="423" spans="1:20" s="995" customFormat="1" ht="87.5" x14ac:dyDescent="0.35">
      <c r="A423" s="1013">
        <v>2022418</v>
      </c>
      <c r="B423" s="1013">
        <v>7658</v>
      </c>
      <c r="C423" s="1013" t="s">
        <v>679</v>
      </c>
      <c r="D423" s="1045" t="s">
        <v>692</v>
      </c>
      <c r="E423" s="1046">
        <v>80111600</v>
      </c>
      <c r="F423" s="1016" t="s">
        <v>1080</v>
      </c>
      <c r="G423" s="1017" t="s">
        <v>1521</v>
      </c>
      <c r="H423" s="1141" t="s">
        <v>1521</v>
      </c>
      <c r="I423" s="1017">
        <v>6</v>
      </c>
      <c r="J423" s="1017" t="s">
        <v>1549</v>
      </c>
      <c r="K423" s="1017" t="s">
        <v>674</v>
      </c>
      <c r="L423" s="1019" t="s">
        <v>675</v>
      </c>
      <c r="M423" s="1093">
        <v>30900000</v>
      </c>
      <c r="N423" s="1037" t="s">
        <v>741</v>
      </c>
      <c r="O423" s="1037" t="s">
        <v>1524</v>
      </c>
      <c r="P423" s="1037"/>
      <c r="Q423" s="1017"/>
      <c r="R423" s="1022"/>
      <c r="S423" s="1130"/>
      <c r="T423" s="1156"/>
    </row>
    <row r="424" spans="1:20" s="995" customFormat="1" ht="87.5" x14ac:dyDescent="0.35">
      <c r="A424" s="1023">
        <v>2022419</v>
      </c>
      <c r="B424" s="1023">
        <v>7658</v>
      </c>
      <c r="C424" s="1023" t="s">
        <v>679</v>
      </c>
      <c r="D424" s="1039" t="s">
        <v>692</v>
      </c>
      <c r="E424" s="1040">
        <v>80111600</v>
      </c>
      <c r="F424" s="1026" t="s">
        <v>1082</v>
      </c>
      <c r="G424" s="1027" t="s">
        <v>1521</v>
      </c>
      <c r="H424" s="1141" t="s">
        <v>1521</v>
      </c>
      <c r="I424" s="1027">
        <v>10</v>
      </c>
      <c r="J424" s="1027" t="s">
        <v>1549</v>
      </c>
      <c r="K424" s="1027" t="s">
        <v>674</v>
      </c>
      <c r="L424" s="1029" t="s">
        <v>675</v>
      </c>
      <c r="M424" s="1092">
        <v>28000000</v>
      </c>
      <c r="N424" s="1083" t="s">
        <v>741</v>
      </c>
      <c r="O424" s="1083" t="s">
        <v>1524</v>
      </c>
      <c r="P424" s="1083"/>
      <c r="Q424" s="1027"/>
      <c r="R424" s="1022"/>
      <c r="S424" s="1130">
        <v>298</v>
      </c>
      <c r="T424" s="1156">
        <v>28000000</v>
      </c>
    </row>
    <row r="425" spans="1:20" s="995" customFormat="1" ht="87.5" x14ac:dyDescent="0.35">
      <c r="A425" s="1023">
        <v>2022420</v>
      </c>
      <c r="B425" s="1023">
        <v>7658</v>
      </c>
      <c r="C425" s="1023" t="s">
        <v>679</v>
      </c>
      <c r="D425" s="1039" t="s">
        <v>692</v>
      </c>
      <c r="E425" s="1040">
        <v>80111600</v>
      </c>
      <c r="F425" s="1026" t="s">
        <v>1083</v>
      </c>
      <c r="G425" s="1027" t="s">
        <v>1521</v>
      </c>
      <c r="H425" s="1141" t="s">
        <v>1521</v>
      </c>
      <c r="I425" s="1027">
        <v>10</v>
      </c>
      <c r="J425" s="1027" t="s">
        <v>1549</v>
      </c>
      <c r="K425" s="1027" t="s">
        <v>674</v>
      </c>
      <c r="L425" s="1029" t="s">
        <v>675</v>
      </c>
      <c r="M425" s="1092">
        <v>28500000</v>
      </c>
      <c r="N425" s="1083" t="s">
        <v>741</v>
      </c>
      <c r="O425" s="1083" t="s">
        <v>1524</v>
      </c>
      <c r="P425" s="1083"/>
      <c r="Q425" s="1027"/>
      <c r="R425" s="1022"/>
      <c r="S425" s="1130">
        <v>206</v>
      </c>
      <c r="T425" s="1156">
        <v>28500000</v>
      </c>
    </row>
    <row r="426" spans="1:20" s="995" customFormat="1" ht="87.5" x14ac:dyDescent="0.35">
      <c r="A426" s="1023">
        <v>2022421</v>
      </c>
      <c r="B426" s="1023">
        <v>7658</v>
      </c>
      <c r="C426" s="1023" t="s">
        <v>679</v>
      </c>
      <c r="D426" s="1039" t="s">
        <v>692</v>
      </c>
      <c r="E426" s="1040">
        <v>80111600</v>
      </c>
      <c r="F426" s="1026" t="s">
        <v>1084</v>
      </c>
      <c r="G426" s="1027" t="s">
        <v>1521</v>
      </c>
      <c r="H426" s="1141" t="s">
        <v>1521</v>
      </c>
      <c r="I426" s="1027">
        <v>10</v>
      </c>
      <c r="J426" s="1027" t="s">
        <v>1549</v>
      </c>
      <c r="K426" s="1027" t="s">
        <v>674</v>
      </c>
      <c r="L426" s="1029" t="s">
        <v>675</v>
      </c>
      <c r="M426" s="1092">
        <v>45000000</v>
      </c>
      <c r="N426" s="1083" t="s">
        <v>741</v>
      </c>
      <c r="O426" s="1083" t="s">
        <v>1524</v>
      </c>
      <c r="P426" s="1083"/>
      <c r="Q426" s="1027"/>
      <c r="R426" s="1022"/>
      <c r="S426" s="1130">
        <v>392</v>
      </c>
      <c r="T426" s="1156">
        <v>38500000</v>
      </c>
    </row>
    <row r="427" spans="1:20" s="995" customFormat="1" ht="87.5" x14ac:dyDescent="0.35">
      <c r="A427" s="1023">
        <v>2022422</v>
      </c>
      <c r="B427" s="1023">
        <v>7658</v>
      </c>
      <c r="C427" s="1023" t="s">
        <v>679</v>
      </c>
      <c r="D427" s="1039" t="s">
        <v>692</v>
      </c>
      <c r="E427" s="1040">
        <v>80111600</v>
      </c>
      <c r="F427" s="1026" t="s">
        <v>1085</v>
      </c>
      <c r="G427" s="1027" t="s">
        <v>1521</v>
      </c>
      <c r="H427" s="1141" t="s">
        <v>1521</v>
      </c>
      <c r="I427" s="1027">
        <v>10</v>
      </c>
      <c r="J427" s="1027" t="s">
        <v>1549</v>
      </c>
      <c r="K427" s="1027" t="s">
        <v>674</v>
      </c>
      <c r="L427" s="1029" t="s">
        <v>675</v>
      </c>
      <c r="M427" s="1092">
        <v>33000000</v>
      </c>
      <c r="N427" s="1083" t="s">
        <v>741</v>
      </c>
      <c r="O427" s="1083" t="s">
        <v>1524</v>
      </c>
      <c r="P427" s="1083"/>
      <c r="Q427" s="1027"/>
      <c r="R427" s="1022"/>
      <c r="S427" s="1130">
        <v>273</v>
      </c>
      <c r="T427" s="1156">
        <v>33000000</v>
      </c>
    </row>
    <row r="428" spans="1:20" s="995" customFormat="1" ht="87.5" x14ac:dyDescent="0.35">
      <c r="A428" s="1023">
        <v>2022423</v>
      </c>
      <c r="B428" s="1023">
        <v>7658</v>
      </c>
      <c r="C428" s="1023" t="s">
        <v>679</v>
      </c>
      <c r="D428" s="1039" t="s">
        <v>692</v>
      </c>
      <c r="E428" s="1040">
        <v>80111600</v>
      </c>
      <c r="F428" s="1026" t="s">
        <v>1085</v>
      </c>
      <c r="G428" s="1027" t="s">
        <v>1521</v>
      </c>
      <c r="H428" s="1141" t="s">
        <v>1521</v>
      </c>
      <c r="I428" s="1027">
        <v>10</v>
      </c>
      <c r="J428" s="1027" t="s">
        <v>1549</v>
      </c>
      <c r="K428" s="1027" t="s">
        <v>674</v>
      </c>
      <c r="L428" s="1029" t="s">
        <v>675</v>
      </c>
      <c r="M428" s="1092">
        <v>24500000</v>
      </c>
      <c r="N428" s="1083" t="s">
        <v>741</v>
      </c>
      <c r="O428" s="1083" t="s">
        <v>1524</v>
      </c>
      <c r="P428" s="1083"/>
      <c r="Q428" s="1027"/>
      <c r="R428" s="1022"/>
      <c r="S428" s="1130">
        <v>297</v>
      </c>
      <c r="T428" s="1156">
        <v>24500000</v>
      </c>
    </row>
    <row r="429" spans="1:20" s="995" customFormat="1" ht="87.5" x14ac:dyDescent="0.35">
      <c r="A429" s="1023">
        <v>2022424</v>
      </c>
      <c r="B429" s="1023">
        <v>7658</v>
      </c>
      <c r="C429" s="1023" t="s">
        <v>679</v>
      </c>
      <c r="D429" s="1039" t="s">
        <v>692</v>
      </c>
      <c r="E429" s="1040">
        <v>80111600</v>
      </c>
      <c r="F429" s="1026" t="s">
        <v>1085</v>
      </c>
      <c r="G429" s="1027" t="s">
        <v>1521</v>
      </c>
      <c r="H429" s="1141" t="s">
        <v>1521</v>
      </c>
      <c r="I429" s="1027">
        <v>10</v>
      </c>
      <c r="J429" s="1027" t="s">
        <v>1549</v>
      </c>
      <c r="K429" s="1027" t="s">
        <v>674</v>
      </c>
      <c r="L429" s="1029" t="s">
        <v>675</v>
      </c>
      <c r="M429" s="1092">
        <v>33000000</v>
      </c>
      <c r="N429" s="1083" t="s">
        <v>741</v>
      </c>
      <c r="O429" s="1083" t="s">
        <v>1524</v>
      </c>
      <c r="P429" s="1083"/>
      <c r="Q429" s="1027"/>
      <c r="R429" s="1022"/>
      <c r="S429" s="1130">
        <v>471</v>
      </c>
      <c r="T429" s="1156">
        <v>19800000</v>
      </c>
    </row>
    <row r="430" spans="1:20" s="995" customFormat="1" ht="87.5" x14ac:dyDescent="0.35">
      <c r="A430" s="1023">
        <v>2022425</v>
      </c>
      <c r="B430" s="1023">
        <v>7658</v>
      </c>
      <c r="C430" s="1023" t="s">
        <v>679</v>
      </c>
      <c r="D430" s="1039" t="s">
        <v>692</v>
      </c>
      <c r="E430" s="1040">
        <v>80111600</v>
      </c>
      <c r="F430" s="1026" t="s">
        <v>1085</v>
      </c>
      <c r="G430" s="1027" t="s">
        <v>1521</v>
      </c>
      <c r="H430" s="1141" t="s">
        <v>1521</v>
      </c>
      <c r="I430" s="1027">
        <v>10</v>
      </c>
      <c r="J430" s="1027" t="s">
        <v>1549</v>
      </c>
      <c r="K430" s="1027" t="s">
        <v>674</v>
      </c>
      <c r="L430" s="1029" t="s">
        <v>675</v>
      </c>
      <c r="M430" s="1092">
        <v>27500000</v>
      </c>
      <c r="N430" s="1083" t="s">
        <v>741</v>
      </c>
      <c r="O430" s="1083" t="s">
        <v>1524</v>
      </c>
      <c r="P430" s="1083"/>
      <c r="Q430" s="1027"/>
      <c r="R430" s="1022"/>
      <c r="S430" s="1130">
        <v>348</v>
      </c>
      <c r="T430" s="1156">
        <v>26400000</v>
      </c>
    </row>
    <row r="431" spans="1:20" s="995" customFormat="1" ht="87.5" x14ac:dyDescent="0.35">
      <c r="A431" s="1023">
        <v>2022426</v>
      </c>
      <c r="B431" s="1023">
        <v>7658</v>
      </c>
      <c r="C431" s="1023" t="s">
        <v>679</v>
      </c>
      <c r="D431" s="1039" t="s">
        <v>692</v>
      </c>
      <c r="E431" s="1040">
        <v>80111600</v>
      </c>
      <c r="F431" s="1026" t="s">
        <v>1085</v>
      </c>
      <c r="G431" s="1027" t="s">
        <v>1521</v>
      </c>
      <c r="H431" s="1141" t="s">
        <v>1521</v>
      </c>
      <c r="I431" s="1027">
        <v>10</v>
      </c>
      <c r="J431" s="1027" t="s">
        <v>1549</v>
      </c>
      <c r="K431" s="1027" t="s">
        <v>674</v>
      </c>
      <c r="L431" s="1029" t="s">
        <v>675</v>
      </c>
      <c r="M431" s="1092">
        <v>33000000</v>
      </c>
      <c r="N431" s="1083" t="s">
        <v>741</v>
      </c>
      <c r="O431" s="1083" t="s">
        <v>1524</v>
      </c>
      <c r="P431" s="1083"/>
      <c r="Q431" s="1027"/>
      <c r="R431" s="1022"/>
      <c r="S431" s="1130">
        <v>427</v>
      </c>
      <c r="T431" s="1156">
        <v>14700000</v>
      </c>
    </row>
    <row r="432" spans="1:20" s="995" customFormat="1" ht="87.5" x14ac:dyDescent="0.35">
      <c r="A432" s="1023">
        <v>2022427</v>
      </c>
      <c r="B432" s="1023">
        <v>7658</v>
      </c>
      <c r="C432" s="1023" t="s">
        <v>679</v>
      </c>
      <c r="D432" s="1039" t="s">
        <v>692</v>
      </c>
      <c r="E432" s="1040">
        <v>80111600</v>
      </c>
      <c r="F432" s="1026" t="s">
        <v>1085</v>
      </c>
      <c r="G432" s="1027" t="s">
        <v>1521</v>
      </c>
      <c r="H432" s="1141" t="s">
        <v>1521</v>
      </c>
      <c r="I432" s="1027">
        <v>10</v>
      </c>
      <c r="J432" s="1027" t="s">
        <v>1549</v>
      </c>
      <c r="K432" s="1027" t="s">
        <v>674</v>
      </c>
      <c r="L432" s="1029" t="s">
        <v>675</v>
      </c>
      <c r="M432" s="1092">
        <v>33000000</v>
      </c>
      <c r="N432" s="1083" t="s">
        <v>741</v>
      </c>
      <c r="O432" s="1083" t="s">
        <v>1524</v>
      </c>
      <c r="P432" s="1083"/>
      <c r="Q432" s="1027"/>
      <c r="R432" s="1022"/>
      <c r="S432" s="1130">
        <v>334</v>
      </c>
      <c r="T432" s="1156">
        <v>33000000</v>
      </c>
    </row>
    <row r="433" spans="1:20" s="995" customFormat="1" ht="87.5" x14ac:dyDescent="0.35">
      <c r="A433" s="1023">
        <v>2022428</v>
      </c>
      <c r="B433" s="1023">
        <v>7658</v>
      </c>
      <c r="C433" s="1023" t="s">
        <v>679</v>
      </c>
      <c r="D433" s="1039" t="s">
        <v>692</v>
      </c>
      <c r="E433" s="1040">
        <v>80111600</v>
      </c>
      <c r="F433" s="1026" t="s">
        <v>1082</v>
      </c>
      <c r="G433" s="1027" t="s">
        <v>1521</v>
      </c>
      <c r="H433" s="1141" t="s">
        <v>1521</v>
      </c>
      <c r="I433" s="1027">
        <v>10</v>
      </c>
      <c r="J433" s="1027" t="s">
        <v>1549</v>
      </c>
      <c r="K433" s="1027" t="s">
        <v>674</v>
      </c>
      <c r="L433" s="1029" t="s">
        <v>675</v>
      </c>
      <c r="M433" s="1092">
        <v>28000000</v>
      </c>
      <c r="N433" s="1083" t="s">
        <v>741</v>
      </c>
      <c r="O433" s="1083" t="s">
        <v>1524</v>
      </c>
      <c r="P433" s="1083"/>
      <c r="Q433" s="1027"/>
      <c r="R433" s="1022"/>
      <c r="S433" s="1130">
        <v>216</v>
      </c>
      <c r="T433" s="1156">
        <v>28000000</v>
      </c>
    </row>
    <row r="434" spans="1:20" s="995" customFormat="1" ht="87.5" x14ac:dyDescent="0.35">
      <c r="A434" s="1023">
        <v>2022429</v>
      </c>
      <c r="B434" s="1023">
        <v>7658</v>
      </c>
      <c r="C434" s="1023" t="s">
        <v>679</v>
      </c>
      <c r="D434" s="1039" t="s">
        <v>692</v>
      </c>
      <c r="E434" s="1040">
        <v>80111600</v>
      </c>
      <c r="F434" s="1026" t="s">
        <v>1082</v>
      </c>
      <c r="G434" s="1027" t="s">
        <v>1521</v>
      </c>
      <c r="H434" s="1141" t="s">
        <v>1521</v>
      </c>
      <c r="I434" s="1027">
        <v>10</v>
      </c>
      <c r="J434" s="1027" t="s">
        <v>1549</v>
      </c>
      <c r="K434" s="1027" t="s">
        <v>674</v>
      </c>
      <c r="L434" s="1029" t="s">
        <v>675</v>
      </c>
      <c r="M434" s="1092">
        <v>28000000</v>
      </c>
      <c r="N434" s="1083" t="s">
        <v>741</v>
      </c>
      <c r="O434" s="1083" t="s">
        <v>1524</v>
      </c>
      <c r="P434" s="1083"/>
      <c r="Q434" s="1027"/>
      <c r="R434" s="1022"/>
      <c r="S434" s="1130">
        <v>410</v>
      </c>
      <c r="T434" s="1156">
        <v>28000000</v>
      </c>
    </row>
    <row r="435" spans="1:20" s="995" customFormat="1" ht="87.5" x14ac:dyDescent="0.35">
      <c r="A435" s="1023">
        <v>2022430</v>
      </c>
      <c r="B435" s="1023">
        <v>7658</v>
      </c>
      <c r="C435" s="1023" t="s">
        <v>679</v>
      </c>
      <c r="D435" s="1039" t="s">
        <v>692</v>
      </c>
      <c r="E435" s="1040">
        <v>80111600</v>
      </c>
      <c r="F435" s="1026" t="s">
        <v>1086</v>
      </c>
      <c r="G435" s="1027" t="s">
        <v>1521</v>
      </c>
      <c r="H435" s="1141" t="s">
        <v>1521</v>
      </c>
      <c r="I435" s="1027">
        <v>10</v>
      </c>
      <c r="J435" s="1027" t="s">
        <v>1549</v>
      </c>
      <c r="K435" s="1027" t="s">
        <v>674</v>
      </c>
      <c r="L435" s="1029" t="s">
        <v>675</v>
      </c>
      <c r="M435" s="1092">
        <v>45000000</v>
      </c>
      <c r="N435" s="1083" t="s">
        <v>741</v>
      </c>
      <c r="O435" s="1083" t="s">
        <v>1524</v>
      </c>
      <c r="P435" s="1083"/>
      <c r="Q435" s="1027"/>
      <c r="R435" s="1022"/>
      <c r="S435" s="1130">
        <v>277</v>
      </c>
      <c r="T435" s="1156">
        <v>45000000</v>
      </c>
    </row>
    <row r="436" spans="1:20" s="995" customFormat="1" ht="87.5" x14ac:dyDescent="0.35">
      <c r="A436" s="1023">
        <v>2022431</v>
      </c>
      <c r="B436" s="1023">
        <v>7658</v>
      </c>
      <c r="C436" s="1023" t="s">
        <v>679</v>
      </c>
      <c r="D436" s="1039" t="s">
        <v>692</v>
      </c>
      <c r="E436" s="1040">
        <v>80111600</v>
      </c>
      <c r="F436" s="1026" t="s">
        <v>1087</v>
      </c>
      <c r="G436" s="1027" t="s">
        <v>1521</v>
      </c>
      <c r="H436" s="1141" t="s">
        <v>1521</v>
      </c>
      <c r="I436" s="1027">
        <v>10</v>
      </c>
      <c r="J436" s="1027" t="s">
        <v>1549</v>
      </c>
      <c r="K436" s="1027" t="s">
        <v>674</v>
      </c>
      <c r="L436" s="1029" t="s">
        <v>675</v>
      </c>
      <c r="M436" s="1092">
        <v>24500000</v>
      </c>
      <c r="N436" s="1083" t="s">
        <v>741</v>
      </c>
      <c r="O436" s="1083" t="s">
        <v>1524</v>
      </c>
      <c r="P436" s="1083"/>
      <c r="Q436" s="1027"/>
      <c r="R436" s="1022"/>
      <c r="S436" s="1130">
        <v>198</v>
      </c>
      <c r="T436" s="1156">
        <v>24500000</v>
      </c>
    </row>
    <row r="437" spans="1:20" s="995" customFormat="1" ht="87.5" x14ac:dyDescent="0.35">
      <c r="A437" s="1023">
        <v>2022432</v>
      </c>
      <c r="B437" s="1023">
        <v>7658</v>
      </c>
      <c r="C437" s="1023" t="s">
        <v>679</v>
      </c>
      <c r="D437" s="1039" t="s">
        <v>692</v>
      </c>
      <c r="E437" s="1040">
        <v>80111600</v>
      </c>
      <c r="F437" s="1026" t="s">
        <v>1087</v>
      </c>
      <c r="G437" s="1027" t="s">
        <v>1521</v>
      </c>
      <c r="H437" s="1141" t="s">
        <v>1521</v>
      </c>
      <c r="I437" s="1027">
        <v>10</v>
      </c>
      <c r="J437" s="1027" t="s">
        <v>1549</v>
      </c>
      <c r="K437" s="1027" t="s">
        <v>674</v>
      </c>
      <c r="L437" s="1029" t="s">
        <v>675</v>
      </c>
      <c r="M437" s="1092">
        <v>33000000</v>
      </c>
      <c r="N437" s="1083" t="s">
        <v>741</v>
      </c>
      <c r="O437" s="1083" t="s">
        <v>1524</v>
      </c>
      <c r="P437" s="1083"/>
      <c r="Q437" s="1027"/>
      <c r="R437" s="1022"/>
      <c r="S437" s="1130">
        <v>193</v>
      </c>
      <c r="T437" s="1156">
        <v>33000000</v>
      </c>
    </row>
    <row r="438" spans="1:20" s="995" customFormat="1" ht="87.5" x14ac:dyDescent="0.35">
      <c r="A438" s="1023">
        <v>2022433</v>
      </c>
      <c r="B438" s="1023">
        <v>7658</v>
      </c>
      <c r="C438" s="1023" t="s">
        <v>679</v>
      </c>
      <c r="D438" s="1039" t="s">
        <v>692</v>
      </c>
      <c r="E438" s="1040">
        <v>80111600</v>
      </c>
      <c r="F438" s="1026" t="s">
        <v>1087</v>
      </c>
      <c r="G438" s="1027" t="s">
        <v>1521</v>
      </c>
      <c r="H438" s="1141" t="s">
        <v>1521</v>
      </c>
      <c r="I438" s="1027">
        <v>10</v>
      </c>
      <c r="J438" s="1027" t="s">
        <v>1549</v>
      </c>
      <c r="K438" s="1027" t="s">
        <v>674</v>
      </c>
      <c r="L438" s="1029" t="s">
        <v>675</v>
      </c>
      <c r="M438" s="1092">
        <v>32000000</v>
      </c>
      <c r="N438" s="1083" t="s">
        <v>741</v>
      </c>
      <c r="O438" s="1083" t="s">
        <v>1524</v>
      </c>
      <c r="P438" s="1083"/>
      <c r="Q438" s="1027"/>
      <c r="R438" s="1022"/>
      <c r="S438" s="1130">
        <v>217</v>
      </c>
      <c r="T438" s="1156">
        <v>32000000</v>
      </c>
    </row>
    <row r="439" spans="1:20" s="995" customFormat="1" ht="87.5" x14ac:dyDescent="0.35">
      <c r="A439" s="1023">
        <v>2022434</v>
      </c>
      <c r="B439" s="1023">
        <v>7658</v>
      </c>
      <c r="C439" s="1023" t="s">
        <v>679</v>
      </c>
      <c r="D439" s="1039" t="s">
        <v>692</v>
      </c>
      <c r="E439" s="1040">
        <v>80111600</v>
      </c>
      <c r="F439" s="1026" t="s">
        <v>1087</v>
      </c>
      <c r="G439" s="1027" t="s">
        <v>1521</v>
      </c>
      <c r="H439" s="1141" t="s">
        <v>1521</v>
      </c>
      <c r="I439" s="1027">
        <v>10</v>
      </c>
      <c r="J439" s="1027" t="s">
        <v>1549</v>
      </c>
      <c r="K439" s="1027" t="s">
        <v>674</v>
      </c>
      <c r="L439" s="1029" t="s">
        <v>675</v>
      </c>
      <c r="M439" s="1092">
        <v>24500000</v>
      </c>
      <c r="N439" s="1083" t="s">
        <v>741</v>
      </c>
      <c r="O439" s="1083" t="s">
        <v>1524</v>
      </c>
      <c r="P439" s="1083"/>
      <c r="Q439" s="1027"/>
      <c r="R439" s="1022"/>
      <c r="S439" s="1130">
        <v>134</v>
      </c>
      <c r="T439" s="1156">
        <v>24500000</v>
      </c>
    </row>
    <row r="440" spans="1:20" s="995" customFormat="1" ht="87.5" x14ac:dyDescent="0.35">
      <c r="A440" s="1023">
        <v>2022435</v>
      </c>
      <c r="B440" s="1023">
        <v>7658</v>
      </c>
      <c r="C440" s="1023" t="s">
        <v>679</v>
      </c>
      <c r="D440" s="1039" t="s">
        <v>692</v>
      </c>
      <c r="E440" s="1040">
        <v>80111600</v>
      </c>
      <c r="F440" s="1026" t="s">
        <v>1087</v>
      </c>
      <c r="G440" s="1027" t="s">
        <v>1521</v>
      </c>
      <c r="H440" s="1141" t="s">
        <v>1521</v>
      </c>
      <c r="I440" s="1027">
        <v>10</v>
      </c>
      <c r="J440" s="1027" t="s">
        <v>1549</v>
      </c>
      <c r="K440" s="1027" t="s">
        <v>674</v>
      </c>
      <c r="L440" s="1029" t="s">
        <v>675</v>
      </c>
      <c r="M440" s="1092">
        <v>28500000</v>
      </c>
      <c r="N440" s="1083" t="s">
        <v>741</v>
      </c>
      <c r="O440" s="1083" t="s">
        <v>1524</v>
      </c>
      <c r="P440" s="1083"/>
      <c r="Q440" s="1027"/>
      <c r="R440" s="1022"/>
      <c r="S440" s="1130">
        <v>358</v>
      </c>
      <c r="T440" s="1156">
        <v>28500000</v>
      </c>
    </row>
    <row r="441" spans="1:20" s="995" customFormat="1" ht="87.5" x14ac:dyDescent="0.35">
      <c r="A441" s="1023">
        <v>2022436</v>
      </c>
      <c r="B441" s="1023">
        <v>7658</v>
      </c>
      <c r="C441" s="1023" t="s">
        <v>679</v>
      </c>
      <c r="D441" s="1039" t="s">
        <v>692</v>
      </c>
      <c r="E441" s="1040">
        <v>80111600</v>
      </c>
      <c r="F441" s="1026" t="s">
        <v>1087</v>
      </c>
      <c r="G441" s="1027" t="s">
        <v>1521</v>
      </c>
      <c r="H441" s="1141" t="s">
        <v>1521</v>
      </c>
      <c r="I441" s="1027">
        <v>10</v>
      </c>
      <c r="J441" s="1027" t="s">
        <v>1549</v>
      </c>
      <c r="K441" s="1027" t="s">
        <v>674</v>
      </c>
      <c r="L441" s="1029" t="s">
        <v>675</v>
      </c>
      <c r="M441" s="1092">
        <v>28500000</v>
      </c>
      <c r="N441" s="1083" t="s">
        <v>741</v>
      </c>
      <c r="O441" s="1083" t="s">
        <v>1524</v>
      </c>
      <c r="P441" s="1083"/>
      <c r="Q441" s="1027"/>
      <c r="R441" s="1022"/>
      <c r="S441" s="1130">
        <v>292</v>
      </c>
      <c r="T441" s="1156">
        <v>28500000</v>
      </c>
    </row>
    <row r="442" spans="1:20" s="995" customFormat="1" ht="87.5" x14ac:dyDescent="0.35">
      <c r="A442" s="1023">
        <v>2022437</v>
      </c>
      <c r="B442" s="1023">
        <v>7658</v>
      </c>
      <c r="C442" s="1023" t="s">
        <v>679</v>
      </c>
      <c r="D442" s="1039" t="s">
        <v>692</v>
      </c>
      <c r="E442" s="1040">
        <v>80111600</v>
      </c>
      <c r="F442" s="1026" t="s">
        <v>1087</v>
      </c>
      <c r="G442" s="1027" t="s">
        <v>1521</v>
      </c>
      <c r="H442" s="1141" t="s">
        <v>1521</v>
      </c>
      <c r="I442" s="1027">
        <v>10</v>
      </c>
      <c r="J442" s="1027" t="s">
        <v>1549</v>
      </c>
      <c r="K442" s="1027" t="s">
        <v>674</v>
      </c>
      <c r="L442" s="1029" t="s">
        <v>675</v>
      </c>
      <c r="M442" s="1092">
        <v>24500000</v>
      </c>
      <c r="N442" s="1083" t="s">
        <v>741</v>
      </c>
      <c r="O442" s="1083" t="s">
        <v>1524</v>
      </c>
      <c r="P442" s="1083"/>
      <c r="Q442" s="1027"/>
      <c r="R442" s="1022"/>
      <c r="S442" s="1130">
        <v>197</v>
      </c>
      <c r="T442" s="1156">
        <v>24500000</v>
      </c>
    </row>
    <row r="443" spans="1:20" s="995" customFormat="1" ht="87.5" x14ac:dyDescent="0.35">
      <c r="A443" s="1023">
        <v>2022438</v>
      </c>
      <c r="B443" s="1023">
        <v>7658</v>
      </c>
      <c r="C443" s="1023" t="s">
        <v>679</v>
      </c>
      <c r="D443" s="1039" t="s">
        <v>692</v>
      </c>
      <c r="E443" s="1040">
        <v>80111600</v>
      </c>
      <c r="F443" s="1026" t="s">
        <v>1087</v>
      </c>
      <c r="G443" s="1027" t="s">
        <v>1521</v>
      </c>
      <c r="H443" s="1141" t="s">
        <v>1521</v>
      </c>
      <c r="I443" s="1027">
        <v>10</v>
      </c>
      <c r="J443" s="1027" t="s">
        <v>1549</v>
      </c>
      <c r="K443" s="1027" t="s">
        <v>674</v>
      </c>
      <c r="L443" s="1029" t="s">
        <v>675</v>
      </c>
      <c r="M443" s="1092">
        <v>24500000</v>
      </c>
      <c r="N443" s="1083" t="s">
        <v>741</v>
      </c>
      <c r="O443" s="1083" t="s">
        <v>1524</v>
      </c>
      <c r="P443" s="1083"/>
      <c r="Q443" s="1027"/>
      <c r="R443" s="1022"/>
      <c r="S443" s="1130">
        <v>137</v>
      </c>
      <c r="T443" s="1156">
        <v>24500000</v>
      </c>
    </row>
    <row r="444" spans="1:20" s="995" customFormat="1" ht="87.5" x14ac:dyDescent="0.35">
      <c r="A444" s="1023">
        <v>2022439</v>
      </c>
      <c r="B444" s="1023">
        <v>7658</v>
      </c>
      <c r="C444" s="1023" t="s">
        <v>679</v>
      </c>
      <c r="D444" s="1039" t="s">
        <v>692</v>
      </c>
      <c r="E444" s="1040">
        <v>80111600</v>
      </c>
      <c r="F444" s="1026" t="s">
        <v>1087</v>
      </c>
      <c r="G444" s="1027" t="s">
        <v>1521</v>
      </c>
      <c r="H444" s="1141" t="s">
        <v>1521</v>
      </c>
      <c r="I444" s="1027">
        <v>10</v>
      </c>
      <c r="J444" s="1027" t="s">
        <v>1549</v>
      </c>
      <c r="K444" s="1027" t="s">
        <v>674</v>
      </c>
      <c r="L444" s="1029" t="s">
        <v>675</v>
      </c>
      <c r="M444" s="1092">
        <v>18000000</v>
      </c>
      <c r="N444" s="1083" t="s">
        <v>741</v>
      </c>
      <c r="O444" s="1083" t="s">
        <v>1524</v>
      </c>
      <c r="P444" s="1083"/>
      <c r="Q444" s="1027"/>
      <c r="R444" s="1022"/>
      <c r="S444" s="1130">
        <v>357</v>
      </c>
      <c r="T444" s="1156">
        <v>18000000</v>
      </c>
    </row>
    <row r="445" spans="1:20" s="995" customFormat="1" ht="87.5" x14ac:dyDescent="0.35">
      <c r="A445" s="1023">
        <v>2022440</v>
      </c>
      <c r="B445" s="1023">
        <v>7658</v>
      </c>
      <c r="C445" s="1023" t="s">
        <v>679</v>
      </c>
      <c r="D445" s="1039" t="s">
        <v>692</v>
      </c>
      <c r="E445" s="1040">
        <v>80111600</v>
      </c>
      <c r="F445" s="1026" t="s">
        <v>1087</v>
      </c>
      <c r="G445" s="1027" t="s">
        <v>1521</v>
      </c>
      <c r="H445" s="1141" t="s">
        <v>1521</v>
      </c>
      <c r="I445" s="1027">
        <v>10</v>
      </c>
      <c r="J445" s="1027" t="s">
        <v>1549</v>
      </c>
      <c r="K445" s="1027" t="s">
        <v>674</v>
      </c>
      <c r="L445" s="1029" t="s">
        <v>675</v>
      </c>
      <c r="M445" s="1092">
        <v>24500000</v>
      </c>
      <c r="N445" s="1083" t="s">
        <v>741</v>
      </c>
      <c r="O445" s="1083" t="s">
        <v>1524</v>
      </c>
      <c r="P445" s="1083"/>
      <c r="Q445" s="1027"/>
      <c r="R445" s="1022"/>
      <c r="S445" s="1130">
        <v>199</v>
      </c>
      <c r="T445" s="1156">
        <v>24500000</v>
      </c>
    </row>
    <row r="446" spans="1:20" s="995" customFormat="1" ht="87.5" x14ac:dyDescent="0.35">
      <c r="A446" s="1023">
        <v>2022441</v>
      </c>
      <c r="B446" s="1023">
        <v>7658</v>
      </c>
      <c r="C446" s="1023" t="s">
        <v>679</v>
      </c>
      <c r="D446" s="1039" t="s">
        <v>692</v>
      </c>
      <c r="E446" s="1040">
        <v>80111600</v>
      </c>
      <c r="F446" s="1026" t="s">
        <v>1087</v>
      </c>
      <c r="G446" s="1027" t="s">
        <v>1521</v>
      </c>
      <c r="H446" s="1141" t="s">
        <v>1521</v>
      </c>
      <c r="I446" s="1027">
        <v>10</v>
      </c>
      <c r="J446" s="1027" t="s">
        <v>1549</v>
      </c>
      <c r="K446" s="1027" t="s">
        <v>674</v>
      </c>
      <c r="L446" s="1029" t="s">
        <v>675</v>
      </c>
      <c r="M446" s="1092">
        <v>28500000</v>
      </c>
      <c r="N446" s="1083" t="s">
        <v>741</v>
      </c>
      <c r="O446" s="1083" t="s">
        <v>1524</v>
      </c>
      <c r="P446" s="1083"/>
      <c r="Q446" s="1027"/>
      <c r="R446" s="1022"/>
      <c r="S446" s="1130">
        <v>286</v>
      </c>
      <c r="T446" s="1156">
        <v>28500000</v>
      </c>
    </row>
    <row r="447" spans="1:20" s="995" customFormat="1" ht="87.5" x14ac:dyDescent="0.35">
      <c r="A447" s="1023">
        <v>2022442</v>
      </c>
      <c r="B447" s="1023">
        <v>7658</v>
      </c>
      <c r="C447" s="1023" t="s">
        <v>679</v>
      </c>
      <c r="D447" s="1039" t="s">
        <v>692</v>
      </c>
      <c r="E447" s="1040">
        <v>80111600</v>
      </c>
      <c r="F447" s="1026" t="s">
        <v>1088</v>
      </c>
      <c r="G447" s="1027" t="s">
        <v>1521</v>
      </c>
      <c r="H447" s="1141" t="s">
        <v>1521</v>
      </c>
      <c r="I447" s="1027">
        <v>10</v>
      </c>
      <c r="J447" s="1027" t="s">
        <v>1549</v>
      </c>
      <c r="K447" s="1027" t="s">
        <v>674</v>
      </c>
      <c r="L447" s="1029" t="s">
        <v>675</v>
      </c>
      <c r="M447" s="1092">
        <v>56650000</v>
      </c>
      <c r="N447" s="1083" t="s">
        <v>741</v>
      </c>
      <c r="O447" s="1083" t="s">
        <v>1524</v>
      </c>
      <c r="P447" s="1083"/>
      <c r="Q447" s="1027"/>
      <c r="R447" s="1022"/>
      <c r="S447" s="1130">
        <v>278</v>
      </c>
      <c r="T447" s="1156">
        <v>56650000</v>
      </c>
    </row>
    <row r="448" spans="1:20" s="995" customFormat="1" ht="87.5" x14ac:dyDescent="0.35">
      <c r="A448" s="1023">
        <v>2022443</v>
      </c>
      <c r="B448" s="1023">
        <v>7658</v>
      </c>
      <c r="C448" s="1023" t="s">
        <v>679</v>
      </c>
      <c r="D448" s="1039" t="s">
        <v>692</v>
      </c>
      <c r="E448" s="1040">
        <v>80111600</v>
      </c>
      <c r="F448" s="1026" t="s">
        <v>1089</v>
      </c>
      <c r="G448" s="1027" t="s">
        <v>1521</v>
      </c>
      <c r="H448" s="1141" t="s">
        <v>1521</v>
      </c>
      <c r="I448" s="1027">
        <v>10</v>
      </c>
      <c r="J448" s="1027" t="s">
        <v>1549</v>
      </c>
      <c r="K448" s="1027" t="s">
        <v>674</v>
      </c>
      <c r="L448" s="1029" t="s">
        <v>675</v>
      </c>
      <c r="M448" s="1092">
        <v>46350000</v>
      </c>
      <c r="N448" s="1083" t="s">
        <v>741</v>
      </c>
      <c r="O448" s="1083" t="s">
        <v>1524</v>
      </c>
      <c r="P448" s="1083"/>
      <c r="Q448" s="1027"/>
      <c r="R448" s="1022"/>
      <c r="S448" s="1130">
        <v>304</v>
      </c>
      <c r="T448" s="1156">
        <v>46350000</v>
      </c>
    </row>
    <row r="449" spans="1:20" s="995" customFormat="1" ht="87.5" x14ac:dyDescent="0.35">
      <c r="A449" s="1023">
        <v>2022444</v>
      </c>
      <c r="B449" s="1023">
        <v>7658</v>
      </c>
      <c r="C449" s="1023" t="s">
        <v>679</v>
      </c>
      <c r="D449" s="1039" t="s">
        <v>692</v>
      </c>
      <c r="E449" s="1040">
        <v>80111600</v>
      </c>
      <c r="F449" s="1026" t="s">
        <v>1089</v>
      </c>
      <c r="G449" s="1027" t="s">
        <v>1521</v>
      </c>
      <c r="H449" s="1141" t="s">
        <v>1521</v>
      </c>
      <c r="I449" s="1027">
        <v>10</v>
      </c>
      <c r="J449" s="1027" t="s">
        <v>1549</v>
      </c>
      <c r="K449" s="1027" t="s">
        <v>674</v>
      </c>
      <c r="L449" s="1029" t="s">
        <v>675</v>
      </c>
      <c r="M449" s="1092">
        <v>45000000</v>
      </c>
      <c r="N449" s="1083" t="s">
        <v>741</v>
      </c>
      <c r="O449" s="1083" t="s">
        <v>1524</v>
      </c>
      <c r="P449" s="1083"/>
      <c r="Q449" s="1027"/>
      <c r="R449" s="1022"/>
      <c r="S449" s="1130">
        <v>274</v>
      </c>
      <c r="T449" s="1156">
        <v>45000000</v>
      </c>
    </row>
    <row r="450" spans="1:20" s="995" customFormat="1" ht="87.5" x14ac:dyDescent="0.35">
      <c r="A450" s="1023">
        <v>2022445</v>
      </c>
      <c r="B450" s="1023">
        <v>7658</v>
      </c>
      <c r="C450" s="1023" t="s">
        <v>679</v>
      </c>
      <c r="D450" s="1039" t="s">
        <v>692</v>
      </c>
      <c r="E450" s="1040">
        <v>80111600</v>
      </c>
      <c r="F450" s="1026" t="s">
        <v>1090</v>
      </c>
      <c r="G450" s="1027" t="s">
        <v>1521</v>
      </c>
      <c r="H450" s="1141" t="s">
        <v>1521</v>
      </c>
      <c r="I450" s="1027">
        <v>6</v>
      </c>
      <c r="J450" s="1027" t="s">
        <v>1549</v>
      </c>
      <c r="K450" s="1027" t="s">
        <v>674</v>
      </c>
      <c r="L450" s="1029" t="s">
        <v>675</v>
      </c>
      <c r="M450" s="1092">
        <v>27810000</v>
      </c>
      <c r="N450" s="1083" t="s">
        <v>741</v>
      </c>
      <c r="O450" s="1083" t="s">
        <v>1524</v>
      </c>
      <c r="P450" s="1083"/>
      <c r="Q450" s="1027"/>
      <c r="R450" s="1022"/>
      <c r="S450" s="1130">
        <v>393</v>
      </c>
      <c r="T450" s="1156">
        <v>27810000</v>
      </c>
    </row>
    <row r="451" spans="1:20" s="995" customFormat="1" ht="87.5" x14ac:dyDescent="0.35">
      <c r="A451" s="1013">
        <v>2022446</v>
      </c>
      <c r="B451" s="1013">
        <v>7658</v>
      </c>
      <c r="C451" s="1013" t="s">
        <v>679</v>
      </c>
      <c r="D451" s="1045" t="s">
        <v>692</v>
      </c>
      <c r="E451" s="1046">
        <v>80111600</v>
      </c>
      <c r="F451" s="1016" t="s">
        <v>1090</v>
      </c>
      <c r="G451" s="1017" t="s">
        <v>1521</v>
      </c>
      <c r="H451" s="1141" t="s">
        <v>1521</v>
      </c>
      <c r="I451" s="1017">
        <v>4</v>
      </c>
      <c r="J451" s="1017" t="s">
        <v>1549</v>
      </c>
      <c r="K451" s="1017" t="s">
        <v>674</v>
      </c>
      <c r="L451" s="1019" t="s">
        <v>675</v>
      </c>
      <c r="M451" s="1093">
        <v>18540000</v>
      </c>
      <c r="N451" s="1037" t="s">
        <v>741</v>
      </c>
      <c r="O451" s="1037" t="s">
        <v>1524</v>
      </c>
      <c r="P451" s="1037"/>
      <c r="Q451" s="1017"/>
      <c r="R451" s="1022"/>
      <c r="S451" s="1130"/>
      <c r="T451" s="1156"/>
    </row>
    <row r="452" spans="1:20" s="995" customFormat="1" ht="87.5" x14ac:dyDescent="0.35">
      <c r="A452" s="1023">
        <v>2022447</v>
      </c>
      <c r="B452" s="1023">
        <v>7658</v>
      </c>
      <c r="C452" s="1023" t="s">
        <v>679</v>
      </c>
      <c r="D452" s="1039" t="s">
        <v>692</v>
      </c>
      <c r="E452" s="1040">
        <v>80111600</v>
      </c>
      <c r="F452" s="1026" t="s">
        <v>1091</v>
      </c>
      <c r="G452" s="1027" t="s">
        <v>1521</v>
      </c>
      <c r="H452" s="1141" t="s">
        <v>1521</v>
      </c>
      <c r="I452" s="1027">
        <v>10</v>
      </c>
      <c r="J452" s="1027" t="s">
        <v>1549</v>
      </c>
      <c r="K452" s="1027" t="s">
        <v>674</v>
      </c>
      <c r="L452" s="1029" t="s">
        <v>675</v>
      </c>
      <c r="M452" s="1092">
        <v>57000000</v>
      </c>
      <c r="N452" s="1083" t="s">
        <v>741</v>
      </c>
      <c r="O452" s="1083" t="s">
        <v>1524</v>
      </c>
      <c r="P452" s="1083"/>
      <c r="Q452" s="1027"/>
      <c r="R452" s="1022"/>
      <c r="S452" s="1130">
        <v>305</v>
      </c>
      <c r="T452" s="1156">
        <v>57000000</v>
      </c>
    </row>
    <row r="453" spans="1:20" s="995" customFormat="1" ht="87.5" x14ac:dyDescent="0.35">
      <c r="A453" s="1023">
        <v>2022448</v>
      </c>
      <c r="B453" s="1023">
        <v>7658</v>
      </c>
      <c r="C453" s="1023" t="s">
        <v>679</v>
      </c>
      <c r="D453" s="1039" t="s">
        <v>692</v>
      </c>
      <c r="E453" s="1040">
        <v>80111600</v>
      </c>
      <c r="F453" s="1026" t="s">
        <v>1091</v>
      </c>
      <c r="G453" s="1027" t="s">
        <v>1521</v>
      </c>
      <c r="H453" s="1141" t="s">
        <v>1521</v>
      </c>
      <c r="I453" s="1027">
        <v>10</v>
      </c>
      <c r="J453" s="1027" t="s">
        <v>1549</v>
      </c>
      <c r="K453" s="1027" t="s">
        <v>674</v>
      </c>
      <c r="L453" s="1029" t="s">
        <v>675</v>
      </c>
      <c r="M453" s="1092">
        <v>48500000</v>
      </c>
      <c r="N453" s="1083" t="s">
        <v>741</v>
      </c>
      <c r="O453" s="1083" t="s">
        <v>1524</v>
      </c>
      <c r="P453" s="1083"/>
      <c r="Q453" s="1027"/>
      <c r="R453" s="1022"/>
      <c r="S453" s="1130">
        <v>279</v>
      </c>
      <c r="T453" s="1156">
        <v>48500000</v>
      </c>
    </row>
    <row r="454" spans="1:20" s="995" customFormat="1" ht="87.5" x14ac:dyDescent="0.35">
      <c r="A454" s="1023">
        <v>2022449</v>
      </c>
      <c r="B454" s="1023">
        <v>7658</v>
      </c>
      <c r="C454" s="1023" t="s">
        <v>679</v>
      </c>
      <c r="D454" s="1039" t="s">
        <v>692</v>
      </c>
      <c r="E454" s="1040">
        <v>80111600</v>
      </c>
      <c r="F454" s="1026" t="s">
        <v>1091</v>
      </c>
      <c r="G454" s="1027" t="s">
        <v>1521</v>
      </c>
      <c r="H454" s="1141" t="s">
        <v>1521</v>
      </c>
      <c r="I454" s="1027">
        <v>10</v>
      </c>
      <c r="J454" s="1027" t="s">
        <v>1549</v>
      </c>
      <c r="K454" s="1027" t="s">
        <v>674</v>
      </c>
      <c r="L454" s="1029" t="s">
        <v>675</v>
      </c>
      <c r="M454" s="1092">
        <v>48500000</v>
      </c>
      <c r="N454" s="1083" t="s">
        <v>741</v>
      </c>
      <c r="O454" s="1083" t="s">
        <v>1524</v>
      </c>
      <c r="P454" s="1083"/>
      <c r="Q454" s="1027"/>
      <c r="R454" s="1022"/>
      <c r="S454" s="1130">
        <v>306</v>
      </c>
      <c r="T454" s="1156">
        <v>48500000</v>
      </c>
    </row>
    <row r="455" spans="1:20" s="995" customFormat="1" ht="87.5" x14ac:dyDescent="0.35">
      <c r="A455" s="1023">
        <v>2022450</v>
      </c>
      <c r="B455" s="1023">
        <v>7658</v>
      </c>
      <c r="C455" s="1023" t="s">
        <v>679</v>
      </c>
      <c r="D455" s="1039" t="s">
        <v>692</v>
      </c>
      <c r="E455" s="1040">
        <v>80111600</v>
      </c>
      <c r="F455" s="1026" t="s">
        <v>1092</v>
      </c>
      <c r="G455" s="1027" t="s">
        <v>1521</v>
      </c>
      <c r="H455" s="1141" t="s">
        <v>1521</v>
      </c>
      <c r="I455" s="1027">
        <v>10</v>
      </c>
      <c r="J455" s="1027" t="s">
        <v>1549</v>
      </c>
      <c r="K455" s="1027" t="s">
        <v>674</v>
      </c>
      <c r="L455" s="1029" t="s">
        <v>675</v>
      </c>
      <c r="M455" s="1092">
        <v>48500000</v>
      </c>
      <c r="N455" s="1083" t="s">
        <v>741</v>
      </c>
      <c r="O455" s="1083" t="s">
        <v>1524</v>
      </c>
      <c r="P455" s="1083"/>
      <c r="Q455" s="1027"/>
      <c r="R455" s="1022"/>
      <c r="S455" s="1130">
        <v>463</v>
      </c>
      <c r="T455" s="1156">
        <v>29100000</v>
      </c>
    </row>
    <row r="456" spans="1:20" s="995" customFormat="1" ht="87.5" x14ac:dyDescent="0.35">
      <c r="A456" s="1023">
        <v>2022451</v>
      </c>
      <c r="B456" s="1023">
        <v>7658</v>
      </c>
      <c r="C456" s="1023" t="s">
        <v>679</v>
      </c>
      <c r="D456" s="1039" t="s">
        <v>692</v>
      </c>
      <c r="E456" s="1040">
        <v>80111600</v>
      </c>
      <c r="F456" s="1026" t="s">
        <v>1092</v>
      </c>
      <c r="G456" s="1027" t="s">
        <v>1521</v>
      </c>
      <c r="H456" s="1141" t="s">
        <v>1521</v>
      </c>
      <c r="I456" s="1027">
        <v>10</v>
      </c>
      <c r="J456" s="1027" t="s">
        <v>1549</v>
      </c>
      <c r="K456" s="1027" t="s">
        <v>674</v>
      </c>
      <c r="L456" s="1029" t="s">
        <v>675</v>
      </c>
      <c r="M456" s="1092">
        <v>35000000</v>
      </c>
      <c r="N456" s="1083" t="s">
        <v>741</v>
      </c>
      <c r="O456" s="1083" t="s">
        <v>1524</v>
      </c>
      <c r="P456" s="1083"/>
      <c r="Q456" s="1027"/>
      <c r="R456" s="1022"/>
      <c r="S456" s="1130">
        <v>436</v>
      </c>
      <c r="T456" s="1156">
        <v>21000000</v>
      </c>
    </row>
    <row r="457" spans="1:20" s="995" customFormat="1" ht="87.5" x14ac:dyDescent="0.35">
      <c r="A457" s="1023">
        <v>2022452</v>
      </c>
      <c r="B457" s="1023">
        <v>7658</v>
      </c>
      <c r="C457" s="1023" t="s">
        <v>679</v>
      </c>
      <c r="D457" s="1039" t="s">
        <v>692</v>
      </c>
      <c r="E457" s="1040">
        <v>80111600</v>
      </c>
      <c r="F457" s="1026" t="s">
        <v>1091</v>
      </c>
      <c r="G457" s="1027" t="s">
        <v>1521</v>
      </c>
      <c r="H457" s="1141" t="s">
        <v>1521</v>
      </c>
      <c r="I457" s="1027">
        <v>6</v>
      </c>
      <c r="J457" s="1027" t="s">
        <v>1549</v>
      </c>
      <c r="K457" s="1027" t="s">
        <v>674</v>
      </c>
      <c r="L457" s="1029" t="s">
        <v>675</v>
      </c>
      <c r="M457" s="1092">
        <v>29100000</v>
      </c>
      <c r="N457" s="1083" t="s">
        <v>741</v>
      </c>
      <c r="O457" s="1083" t="s">
        <v>1524</v>
      </c>
      <c r="P457" s="1083"/>
      <c r="Q457" s="1027"/>
      <c r="R457" s="1022"/>
      <c r="S457" s="1130">
        <v>307</v>
      </c>
      <c r="T457" s="1156">
        <v>29100000</v>
      </c>
    </row>
    <row r="458" spans="1:20" s="995" customFormat="1" ht="87.5" x14ac:dyDescent="0.35">
      <c r="A458" s="1013">
        <v>2022453</v>
      </c>
      <c r="B458" s="1013">
        <v>7658</v>
      </c>
      <c r="C458" s="1013" t="s">
        <v>679</v>
      </c>
      <c r="D458" s="1045" t="s">
        <v>692</v>
      </c>
      <c r="E458" s="1046">
        <v>80111600</v>
      </c>
      <c r="F458" s="1016" t="s">
        <v>1091</v>
      </c>
      <c r="G458" s="1017" t="s">
        <v>1521</v>
      </c>
      <c r="H458" s="1141" t="s">
        <v>1521</v>
      </c>
      <c r="I458" s="1017">
        <v>4</v>
      </c>
      <c r="J458" s="1017" t="s">
        <v>1549</v>
      </c>
      <c r="K458" s="1017" t="s">
        <v>674</v>
      </c>
      <c r="L458" s="1019" t="s">
        <v>675</v>
      </c>
      <c r="M458" s="1093">
        <v>19400000</v>
      </c>
      <c r="N458" s="1037" t="s">
        <v>741</v>
      </c>
      <c r="O458" s="1037" t="s">
        <v>1524</v>
      </c>
      <c r="P458" s="1037"/>
      <c r="Q458" s="1017"/>
      <c r="R458" s="1022"/>
      <c r="S458" s="1130"/>
      <c r="T458" s="1156"/>
    </row>
    <row r="459" spans="1:20" s="995" customFormat="1" ht="87.5" x14ac:dyDescent="0.35">
      <c r="A459" s="1023">
        <v>2022454</v>
      </c>
      <c r="B459" s="1023">
        <v>7658</v>
      </c>
      <c r="C459" s="1023" t="s">
        <v>679</v>
      </c>
      <c r="D459" s="1039" t="s">
        <v>692</v>
      </c>
      <c r="E459" s="1040">
        <v>80111600</v>
      </c>
      <c r="F459" s="1026" t="s">
        <v>1093</v>
      </c>
      <c r="G459" s="1027" t="s">
        <v>1521</v>
      </c>
      <c r="H459" s="1141" t="s">
        <v>1521</v>
      </c>
      <c r="I459" s="1027">
        <v>10</v>
      </c>
      <c r="J459" s="1027" t="s">
        <v>1549</v>
      </c>
      <c r="K459" s="1027" t="s">
        <v>674</v>
      </c>
      <c r="L459" s="1029" t="s">
        <v>675</v>
      </c>
      <c r="M459" s="1092">
        <v>55000000</v>
      </c>
      <c r="N459" s="1083" t="s">
        <v>741</v>
      </c>
      <c r="O459" s="1083" t="s">
        <v>1524</v>
      </c>
      <c r="P459" s="1083"/>
      <c r="Q459" s="1027"/>
      <c r="R459" s="1022"/>
      <c r="S459" s="1130">
        <v>312</v>
      </c>
      <c r="T459" s="1156">
        <v>55000000</v>
      </c>
    </row>
    <row r="460" spans="1:20" s="995" customFormat="1" ht="87.5" x14ac:dyDescent="0.35">
      <c r="A460" s="1023">
        <v>2022455</v>
      </c>
      <c r="B460" s="1023">
        <v>7658</v>
      </c>
      <c r="C460" s="1023" t="s">
        <v>679</v>
      </c>
      <c r="D460" s="1039" t="s">
        <v>692</v>
      </c>
      <c r="E460" s="1040">
        <v>80111600</v>
      </c>
      <c r="F460" s="1026" t="s">
        <v>1093</v>
      </c>
      <c r="G460" s="1027" t="s">
        <v>1521</v>
      </c>
      <c r="H460" s="1141" t="s">
        <v>1521</v>
      </c>
      <c r="I460" s="1027">
        <v>10</v>
      </c>
      <c r="J460" s="1027" t="s">
        <v>1549</v>
      </c>
      <c r="K460" s="1027" t="s">
        <v>674</v>
      </c>
      <c r="L460" s="1029" t="s">
        <v>675</v>
      </c>
      <c r="M460" s="1092">
        <v>55000000</v>
      </c>
      <c r="N460" s="1083" t="s">
        <v>741</v>
      </c>
      <c r="O460" s="1083" t="s">
        <v>1524</v>
      </c>
      <c r="P460" s="1083"/>
      <c r="Q460" s="1027"/>
      <c r="R460" s="1022"/>
      <c r="S460" s="1130">
        <v>308</v>
      </c>
      <c r="T460" s="1156">
        <v>55000000</v>
      </c>
    </row>
    <row r="461" spans="1:20" s="995" customFormat="1" ht="87.5" x14ac:dyDescent="0.35">
      <c r="A461" s="1023">
        <v>2022456</v>
      </c>
      <c r="B461" s="1023">
        <v>7658</v>
      </c>
      <c r="C461" s="1023" t="s">
        <v>679</v>
      </c>
      <c r="D461" s="1039" t="s">
        <v>692</v>
      </c>
      <c r="E461" s="1040">
        <v>80111600</v>
      </c>
      <c r="F461" s="1026" t="s">
        <v>1093</v>
      </c>
      <c r="G461" s="1027" t="s">
        <v>1521</v>
      </c>
      <c r="H461" s="1141" t="s">
        <v>1521</v>
      </c>
      <c r="I461" s="1027">
        <v>6</v>
      </c>
      <c r="J461" s="1027" t="s">
        <v>1549</v>
      </c>
      <c r="K461" s="1027" t="s">
        <v>674</v>
      </c>
      <c r="L461" s="1029" t="s">
        <v>675</v>
      </c>
      <c r="M461" s="1092">
        <v>29100000</v>
      </c>
      <c r="N461" s="1083" t="s">
        <v>741</v>
      </c>
      <c r="O461" s="1083" t="s">
        <v>1524</v>
      </c>
      <c r="P461" s="1083"/>
      <c r="Q461" s="1027"/>
      <c r="R461" s="1022"/>
      <c r="S461" s="1130">
        <v>406</v>
      </c>
      <c r="T461" s="1156">
        <v>29100000</v>
      </c>
    </row>
    <row r="462" spans="1:20" s="995" customFormat="1" ht="87.5" x14ac:dyDescent="0.35">
      <c r="A462" s="1013">
        <v>2022457</v>
      </c>
      <c r="B462" s="1013">
        <v>7658</v>
      </c>
      <c r="C462" s="1013" t="s">
        <v>679</v>
      </c>
      <c r="D462" s="1045" t="s">
        <v>692</v>
      </c>
      <c r="E462" s="1046">
        <v>80111600</v>
      </c>
      <c r="F462" s="1016" t="s">
        <v>1093</v>
      </c>
      <c r="G462" s="1017" t="s">
        <v>1521</v>
      </c>
      <c r="H462" s="1141" t="s">
        <v>1521</v>
      </c>
      <c r="I462" s="1017">
        <v>4</v>
      </c>
      <c r="J462" s="1017" t="s">
        <v>1549</v>
      </c>
      <c r="K462" s="1017" t="s">
        <v>674</v>
      </c>
      <c r="L462" s="1019" t="s">
        <v>675</v>
      </c>
      <c r="M462" s="1093">
        <v>19400000</v>
      </c>
      <c r="N462" s="1037" t="s">
        <v>741</v>
      </c>
      <c r="O462" s="1037" t="s">
        <v>1524</v>
      </c>
      <c r="P462" s="1037"/>
      <c r="Q462" s="1017"/>
      <c r="R462" s="1022"/>
      <c r="S462" s="1130"/>
      <c r="T462" s="1156"/>
    </row>
    <row r="463" spans="1:20" s="995" customFormat="1" ht="87.5" x14ac:dyDescent="0.35">
      <c r="A463" s="1023">
        <v>2022458</v>
      </c>
      <c r="B463" s="1023">
        <v>7658</v>
      </c>
      <c r="C463" s="1023" t="s">
        <v>679</v>
      </c>
      <c r="D463" s="1039" t="s">
        <v>692</v>
      </c>
      <c r="E463" s="1040">
        <v>80111600</v>
      </c>
      <c r="F463" s="1026" t="s">
        <v>1093</v>
      </c>
      <c r="G463" s="1027" t="s">
        <v>1521</v>
      </c>
      <c r="H463" s="1141" t="s">
        <v>1521</v>
      </c>
      <c r="I463" s="1027">
        <v>10</v>
      </c>
      <c r="J463" s="1027" t="s">
        <v>1549</v>
      </c>
      <c r="K463" s="1027" t="s">
        <v>674</v>
      </c>
      <c r="L463" s="1029" t="s">
        <v>675</v>
      </c>
      <c r="M463" s="1092">
        <v>48500000</v>
      </c>
      <c r="N463" s="1083" t="s">
        <v>741</v>
      </c>
      <c r="O463" s="1083" t="s">
        <v>1524</v>
      </c>
      <c r="P463" s="1083"/>
      <c r="Q463" s="1027"/>
      <c r="R463" s="1022"/>
      <c r="S463" s="1130">
        <v>379</v>
      </c>
      <c r="T463" s="1156">
        <v>48500000</v>
      </c>
    </row>
    <row r="464" spans="1:20" s="995" customFormat="1" ht="87.5" x14ac:dyDescent="0.35">
      <c r="A464" s="1023">
        <v>2022459</v>
      </c>
      <c r="B464" s="1023">
        <v>7658</v>
      </c>
      <c r="C464" s="1023" t="s">
        <v>679</v>
      </c>
      <c r="D464" s="1039" t="s">
        <v>692</v>
      </c>
      <c r="E464" s="1040">
        <v>80111600</v>
      </c>
      <c r="F464" s="1026" t="s">
        <v>1093</v>
      </c>
      <c r="G464" s="1027" t="s">
        <v>1521</v>
      </c>
      <c r="H464" s="1141" t="s">
        <v>1521</v>
      </c>
      <c r="I464" s="1027">
        <v>6</v>
      </c>
      <c r="J464" s="1027" t="s">
        <v>1549</v>
      </c>
      <c r="K464" s="1027" t="s">
        <v>674</v>
      </c>
      <c r="L464" s="1029" t="s">
        <v>675</v>
      </c>
      <c r="M464" s="1092">
        <v>29100000</v>
      </c>
      <c r="N464" s="1083" t="s">
        <v>741</v>
      </c>
      <c r="O464" s="1083" t="s">
        <v>1524</v>
      </c>
      <c r="P464" s="1083"/>
      <c r="Q464" s="1027"/>
      <c r="R464" s="1022"/>
      <c r="S464" s="1130">
        <v>446</v>
      </c>
      <c r="T464" s="1156">
        <v>29100000</v>
      </c>
    </row>
    <row r="465" spans="1:20" s="995" customFormat="1" ht="87.5" x14ac:dyDescent="0.35">
      <c r="A465" s="1013">
        <v>2022460</v>
      </c>
      <c r="B465" s="1013">
        <v>7658</v>
      </c>
      <c r="C465" s="1013" t="s">
        <v>679</v>
      </c>
      <c r="D465" s="1045" t="s">
        <v>692</v>
      </c>
      <c r="E465" s="1046">
        <v>80111600</v>
      </c>
      <c r="F465" s="1016" t="s">
        <v>1093</v>
      </c>
      <c r="G465" s="1017" t="s">
        <v>1521</v>
      </c>
      <c r="H465" s="1141" t="s">
        <v>1521</v>
      </c>
      <c r="I465" s="1017">
        <v>4</v>
      </c>
      <c r="J465" s="1017" t="s">
        <v>1549</v>
      </c>
      <c r="K465" s="1017" t="s">
        <v>674</v>
      </c>
      <c r="L465" s="1019" t="s">
        <v>675</v>
      </c>
      <c r="M465" s="1093">
        <v>19400000</v>
      </c>
      <c r="N465" s="1037" t="s">
        <v>741</v>
      </c>
      <c r="O465" s="1037" t="s">
        <v>1524</v>
      </c>
      <c r="P465" s="1037"/>
      <c r="Q465" s="1017"/>
      <c r="R465" s="1022"/>
      <c r="S465" s="1130"/>
      <c r="T465" s="1156"/>
    </row>
    <row r="466" spans="1:20" s="995" customFormat="1" ht="87.5" x14ac:dyDescent="0.35">
      <c r="A466" s="1023">
        <v>2022461</v>
      </c>
      <c r="B466" s="1023">
        <v>7658</v>
      </c>
      <c r="C466" s="1023" t="s">
        <v>679</v>
      </c>
      <c r="D466" s="1039" t="s">
        <v>692</v>
      </c>
      <c r="E466" s="1040">
        <v>80111600</v>
      </c>
      <c r="F466" s="1026" t="s">
        <v>1093</v>
      </c>
      <c r="G466" s="1027" t="s">
        <v>1521</v>
      </c>
      <c r="H466" s="1141" t="s">
        <v>1521</v>
      </c>
      <c r="I466" s="1027">
        <v>10</v>
      </c>
      <c r="J466" s="1027" t="s">
        <v>1549</v>
      </c>
      <c r="K466" s="1027" t="s">
        <v>674</v>
      </c>
      <c r="L466" s="1029" t="s">
        <v>675</v>
      </c>
      <c r="M466" s="1092">
        <v>45000000</v>
      </c>
      <c r="N466" s="1083" t="s">
        <v>741</v>
      </c>
      <c r="O466" s="1083" t="s">
        <v>1524</v>
      </c>
      <c r="P466" s="1083"/>
      <c r="Q466" s="1027"/>
      <c r="R466" s="1022"/>
      <c r="S466" s="1130">
        <v>377</v>
      </c>
      <c r="T466" s="1156">
        <v>45000000</v>
      </c>
    </row>
    <row r="467" spans="1:20" s="995" customFormat="1" ht="87.5" x14ac:dyDescent="0.35">
      <c r="A467" s="1023">
        <v>2022462</v>
      </c>
      <c r="B467" s="1023">
        <v>7658</v>
      </c>
      <c r="C467" s="1023" t="s">
        <v>679</v>
      </c>
      <c r="D467" s="1039" t="s">
        <v>692</v>
      </c>
      <c r="E467" s="1040">
        <v>80111600</v>
      </c>
      <c r="F467" s="1026" t="s">
        <v>1094</v>
      </c>
      <c r="G467" s="1027" t="s">
        <v>1521</v>
      </c>
      <c r="H467" s="1141" t="s">
        <v>1521</v>
      </c>
      <c r="I467" s="1027">
        <v>6</v>
      </c>
      <c r="J467" s="1027" t="s">
        <v>1549</v>
      </c>
      <c r="K467" s="1027" t="s">
        <v>674</v>
      </c>
      <c r="L467" s="1029" t="s">
        <v>675</v>
      </c>
      <c r="M467" s="1092">
        <v>16500000</v>
      </c>
      <c r="N467" s="1083" t="s">
        <v>741</v>
      </c>
      <c r="O467" s="1083" t="s">
        <v>1524</v>
      </c>
      <c r="P467" s="1083"/>
      <c r="Q467" s="1027"/>
      <c r="R467" s="1022"/>
      <c r="S467" s="1130">
        <v>467</v>
      </c>
      <c r="T467" s="1156">
        <v>14700000</v>
      </c>
    </row>
    <row r="468" spans="1:20" s="995" customFormat="1" ht="87.5" x14ac:dyDescent="0.35">
      <c r="A468" s="1013">
        <v>2022463</v>
      </c>
      <c r="B468" s="1013">
        <v>7658</v>
      </c>
      <c r="C468" s="1013" t="s">
        <v>679</v>
      </c>
      <c r="D468" s="1045" t="s">
        <v>692</v>
      </c>
      <c r="E468" s="1046">
        <v>80111600</v>
      </c>
      <c r="F468" s="1016" t="s">
        <v>1094</v>
      </c>
      <c r="G468" s="1017" t="s">
        <v>1521</v>
      </c>
      <c r="H468" s="1141" t="s">
        <v>1521</v>
      </c>
      <c r="I468" s="1017">
        <v>4</v>
      </c>
      <c r="J468" s="1017" t="s">
        <v>1549</v>
      </c>
      <c r="K468" s="1017" t="s">
        <v>674</v>
      </c>
      <c r="L468" s="1019" t="s">
        <v>675</v>
      </c>
      <c r="M468" s="1093">
        <v>11000000</v>
      </c>
      <c r="N468" s="1037" t="s">
        <v>741</v>
      </c>
      <c r="O468" s="1037" t="s">
        <v>1524</v>
      </c>
      <c r="P468" s="1037"/>
      <c r="Q468" s="1017"/>
      <c r="R468" s="1022"/>
      <c r="S468" s="1130"/>
      <c r="T468" s="1156"/>
    </row>
    <row r="469" spans="1:20" s="995" customFormat="1" ht="87.5" x14ac:dyDescent="0.35">
      <c r="A469" s="1023">
        <v>2022464</v>
      </c>
      <c r="B469" s="1023">
        <v>7658</v>
      </c>
      <c r="C469" s="1023" t="s">
        <v>679</v>
      </c>
      <c r="D469" s="1039" t="s">
        <v>692</v>
      </c>
      <c r="E469" s="1040">
        <v>80111600</v>
      </c>
      <c r="F469" s="1026" t="s">
        <v>1095</v>
      </c>
      <c r="G469" s="1027" t="s">
        <v>1521</v>
      </c>
      <c r="H469" s="1141" t="s">
        <v>1521</v>
      </c>
      <c r="I469" s="1027">
        <v>10</v>
      </c>
      <c r="J469" s="1027" t="s">
        <v>1549</v>
      </c>
      <c r="K469" s="1027" t="s">
        <v>674</v>
      </c>
      <c r="L469" s="1029" t="s">
        <v>675</v>
      </c>
      <c r="M469" s="1092">
        <v>50000000</v>
      </c>
      <c r="N469" s="1083" t="s">
        <v>741</v>
      </c>
      <c r="O469" s="1083" t="s">
        <v>1524</v>
      </c>
      <c r="P469" s="1083"/>
      <c r="Q469" s="1027"/>
      <c r="R469" s="1022"/>
      <c r="S469" s="1130">
        <v>439</v>
      </c>
      <c r="T469" s="1156">
        <v>30000000</v>
      </c>
    </row>
    <row r="470" spans="1:20" s="995" customFormat="1" ht="87.5" x14ac:dyDescent="0.35">
      <c r="A470" s="1023">
        <v>2022465</v>
      </c>
      <c r="B470" s="1023">
        <v>7658</v>
      </c>
      <c r="C470" s="1023" t="s">
        <v>679</v>
      </c>
      <c r="D470" s="1039" t="s">
        <v>692</v>
      </c>
      <c r="E470" s="1040">
        <v>80111600</v>
      </c>
      <c r="F470" s="1026" t="s">
        <v>1096</v>
      </c>
      <c r="G470" s="1027" t="s">
        <v>1521</v>
      </c>
      <c r="H470" s="1141" t="s">
        <v>1521</v>
      </c>
      <c r="I470" s="1027">
        <v>10</v>
      </c>
      <c r="J470" s="1027" t="s">
        <v>1549</v>
      </c>
      <c r="K470" s="1027" t="s">
        <v>674</v>
      </c>
      <c r="L470" s="1029" t="s">
        <v>675</v>
      </c>
      <c r="M470" s="1092">
        <v>48500000</v>
      </c>
      <c r="N470" s="1083" t="s">
        <v>741</v>
      </c>
      <c r="O470" s="1083" t="s">
        <v>1524</v>
      </c>
      <c r="P470" s="1083"/>
      <c r="Q470" s="1027"/>
      <c r="R470" s="1022"/>
      <c r="S470" s="1130">
        <v>135</v>
      </c>
      <c r="T470" s="1156">
        <v>48500000</v>
      </c>
    </row>
    <row r="471" spans="1:20" s="995" customFormat="1" ht="87.5" x14ac:dyDescent="0.35">
      <c r="A471" s="1023">
        <v>2022466</v>
      </c>
      <c r="B471" s="1023">
        <v>7658</v>
      </c>
      <c r="C471" s="1023" t="s">
        <v>679</v>
      </c>
      <c r="D471" s="1039" t="s">
        <v>692</v>
      </c>
      <c r="E471" s="1040">
        <v>80111600</v>
      </c>
      <c r="F471" s="1026" t="s">
        <v>1097</v>
      </c>
      <c r="G471" s="1027" t="s">
        <v>1521</v>
      </c>
      <c r="H471" s="1141" t="s">
        <v>1521</v>
      </c>
      <c r="I471" s="1027">
        <v>10</v>
      </c>
      <c r="J471" s="1027" t="s">
        <v>1549</v>
      </c>
      <c r="K471" s="1027" t="s">
        <v>674</v>
      </c>
      <c r="L471" s="1029" t="s">
        <v>675</v>
      </c>
      <c r="M471" s="1092">
        <v>33500000</v>
      </c>
      <c r="N471" s="1083" t="s">
        <v>741</v>
      </c>
      <c r="O471" s="1083" t="s">
        <v>1524</v>
      </c>
      <c r="P471" s="1083"/>
      <c r="Q471" s="1027"/>
      <c r="R471" s="1022"/>
      <c r="S471" s="1130">
        <v>142</v>
      </c>
      <c r="T471" s="1156">
        <v>33500000</v>
      </c>
    </row>
    <row r="472" spans="1:20" s="995" customFormat="1" ht="87.5" x14ac:dyDescent="0.35">
      <c r="A472" s="1023">
        <v>2022467</v>
      </c>
      <c r="B472" s="1023">
        <v>7658</v>
      </c>
      <c r="C472" s="1023" t="s">
        <v>679</v>
      </c>
      <c r="D472" s="1039" t="s">
        <v>692</v>
      </c>
      <c r="E472" s="1040">
        <v>80111600</v>
      </c>
      <c r="F472" s="1026" t="s">
        <v>1098</v>
      </c>
      <c r="G472" s="1027" t="s">
        <v>1521</v>
      </c>
      <c r="H472" s="1141" t="s">
        <v>1521</v>
      </c>
      <c r="I472" s="1027">
        <v>10</v>
      </c>
      <c r="J472" s="1027" t="s">
        <v>1549</v>
      </c>
      <c r="K472" s="1027" t="s">
        <v>674</v>
      </c>
      <c r="L472" s="1029" t="s">
        <v>675</v>
      </c>
      <c r="M472" s="1092">
        <v>48500000</v>
      </c>
      <c r="N472" s="1083" t="s">
        <v>741</v>
      </c>
      <c r="O472" s="1083" t="s">
        <v>1524</v>
      </c>
      <c r="P472" s="1083"/>
      <c r="Q472" s="1027"/>
      <c r="R472" s="1022"/>
      <c r="S472" s="1130">
        <v>194</v>
      </c>
      <c r="T472" s="1156">
        <v>19400000</v>
      </c>
    </row>
    <row r="473" spans="1:20" s="995" customFormat="1" ht="87.5" x14ac:dyDescent="0.35">
      <c r="A473" s="1013">
        <v>2022468</v>
      </c>
      <c r="B473" s="1013">
        <v>7658</v>
      </c>
      <c r="C473" s="1013" t="s">
        <v>679</v>
      </c>
      <c r="D473" s="1045" t="s">
        <v>692</v>
      </c>
      <c r="E473" s="1046">
        <v>80111600</v>
      </c>
      <c r="F473" s="1016" t="s">
        <v>1099</v>
      </c>
      <c r="G473" s="1017" t="s">
        <v>1521</v>
      </c>
      <c r="H473" s="1141" t="s">
        <v>1521</v>
      </c>
      <c r="I473" s="1017">
        <v>4</v>
      </c>
      <c r="J473" s="1017" t="s">
        <v>1549</v>
      </c>
      <c r="K473" s="1017" t="s">
        <v>674</v>
      </c>
      <c r="L473" s="1019" t="s">
        <v>675</v>
      </c>
      <c r="M473" s="1093">
        <v>19400000</v>
      </c>
      <c r="N473" s="1037" t="s">
        <v>741</v>
      </c>
      <c r="O473" s="1037" t="s">
        <v>1524</v>
      </c>
      <c r="P473" s="1037"/>
      <c r="Q473" s="1017"/>
      <c r="R473" s="1022"/>
      <c r="S473" s="1130"/>
      <c r="T473" s="1156"/>
    </row>
    <row r="474" spans="1:20" s="995" customFormat="1" ht="87.5" x14ac:dyDescent="0.35">
      <c r="A474" s="1023">
        <v>2022469</v>
      </c>
      <c r="B474" s="1023">
        <v>7658</v>
      </c>
      <c r="C474" s="1023" t="s">
        <v>679</v>
      </c>
      <c r="D474" s="1039" t="s">
        <v>692</v>
      </c>
      <c r="E474" s="1040">
        <v>80111600</v>
      </c>
      <c r="F474" s="1026" t="s">
        <v>1099</v>
      </c>
      <c r="G474" s="1027" t="s">
        <v>1521</v>
      </c>
      <c r="H474" s="1141" t="s">
        <v>1521</v>
      </c>
      <c r="I474" s="1027">
        <v>6</v>
      </c>
      <c r="J474" s="1027" t="s">
        <v>1549</v>
      </c>
      <c r="K474" s="1027" t="s">
        <v>674</v>
      </c>
      <c r="L474" s="1029" t="s">
        <v>675</v>
      </c>
      <c r="M474" s="1092">
        <v>29100000</v>
      </c>
      <c r="N474" s="1083" t="s">
        <v>741</v>
      </c>
      <c r="O474" s="1083" t="s">
        <v>1524</v>
      </c>
      <c r="P474" s="1083"/>
      <c r="Q474" s="1027"/>
      <c r="R474" s="1022"/>
      <c r="S474" s="1130">
        <v>380</v>
      </c>
      <c r="T474" s="1156">
        <v>29100000</v>
      </c>
    </row>
    <row r="475" spans="1:20" s="995" customFormat="1" ht="87.5" x14ac:dyDescent="0.35">
      <c r="A475" s="1013">
        <v>2022470</v>
      </c>
      <c r="B475" s="1013">
        <v>7658</v>
      </c>
      <c r="C475" s="1013" t="s">
        <v>679</v>
      </c>
      <c r="D475" s="1045" t="s">
        <v>692</v>
      </c>
      <c r="E475" s="1046">
        <v>80111600</v>
      </c>
      <c r="F475" s="1016" t="s">
        <v>1099</v>
      </c>
      <c r="G475" s="1017" t="s">
        <v>1521</v>
      </c>
      <c r="H475" s="1141" t="s">
        <v>1521</v>
      </c>
      <c r="I475" s="1017">
        <v>4</v>
      </c>
      <c r="J475" s="1017" t="s">
        <v>1549</v>
      </c>
      <c r="K475" s="1017" t="s">
        <v>674</v>
      </c>
      <c r="L475" s="1019" t="s">
        <v>675</v>
      </c>
      <c r="M475" s="1093">
        <v>16000000</v>
      </c>
      <c r="N475" s="1037" t="s">
        <v>741</v>
      </c>
      <c r="O475" s="1037" t="s">
        <v>1524</v>
      </c>
      <c r="P475" s="1037"/>
      <c r="Q475" s="1017"/>
      <c r="R475" s="1022"/>
      <c r="S475" s="1130"/>
      <c r="T475" s="1156"/>
    </row>
    <row r="476" spans="1:20" s="995" customFormat="1" ht="87.5" x14ac:dyDescent="0.35">
      <c r="A476" s="1023">
        <v>2022471</v>
      </c>
      <c r="B476" s="1023">
        <v>7658</v>
      </c>
      <c r="C476" s="1023" t="s">
        <v>679</v>
      </c>
      <c r="D476" s="1039" t="s">
        <v>692</v>
      </c>
      <c r="E476" s="1040">
        <v>80111600</v>
      </c>
      <c r="F476" s="1026" t="s">
        <v>1099</v>
      </c>
      <c r="G476" s="1027" t="s">
        <v>1521</v>
      </c>
      <c r="H476" s="1141" t="s">
        <v>1521</v>
      </c>
      <c r="I476" s="1027">
        <v>6</v>
      </c>
      <c r="J476" s="1027" t="s">
        <v>1549</v>
      </c>
      <c r="K476" s="1027" t="s">
        <v>674</v>
      </c>
      <c r="L476" s="1029" t="s">
        <v>675</v>
      </c>
      <c r="M476" s="1092">
        <v>24000000</v>
      </c>
      <c r="N476" s="1083" t="s">
        <v>741</v>
      </c>
      <c r="O476" s="1083" t="s">
        <v>1524</v>
      </c>
      <c r="P476" s="1083"/>
      <c r="Q476" s="1027"/>
      <c r="R476" s="1022"/>
      <c r="S476" s="1130">
        <v>359</v>
      </c>
      <c r="T476" s="1156">
        <v>24000000</v>
      </c>
    </row>
    <row r="477" spans="1:20" s="995" customFormat="1" ht="87.5" x14ac:dyDescent="0.35">
      <c r="A477" s="1013">
        <v>2022472</v>
      </c>
      <c r="B477" s="1013">
        <v>7658</v>
      </c>
      <c r="C477" s="1013" t="s">
        <v>679</v>
      </c>
      <c r="D477" s="1045" t="s">
        <v>692</v>
      </c>
      <c r="E477" s="1046">
        <v>80111600</v>
      </c>
      <c r="F477" s="1016" t="s">
        <v>1099</v>
      </c>
      <c r="G477" s="1017" t="s">
        <v>1521</v>
      </c>
      <c r="H477" s="1141" t="s">
        <v>1521</v>
      </c>
      <c r="I477" s="1017">
        <v>4</v>
      </c>
      <c r="J477" s="1017" t="s">
        <v>1549</v>
      </c>
      <c r="K477" s="1017" t="s">
        <v>674</v>
      </c>
      <c r="L477" s="1019" t="s">
        <v>675</v>
      </c>
      <c r="M477" s="1093">
        <v>15400000</v>
      </c>
      <c r="N477" s="1037" t="s">
        <v>741</v>
      </c>
      <c r="O477" s="1037" t="s">
        <v>1524</v>
      </c>
      <c r="P477" s="1037"/>
      <c r="Q477" s="1017"/>
      <c r="R477" s="1022"/>
      <c r="S477" s="1130"/>
      <c r="T477" s="1156"/>
    </row>
    <row r="478" spans="1:20" s="995" customFormat="1" ht="87.5" x14ac:dyDescent="0.35">
      <c r="A478" s="1023">
        <v>2022473</v>
      </c>
      <c r="B478" s="1023">
        <v>7658</v>
      </c>
      <c r="C478" s="1023" t="s">
        <v>679</v>
      </c>
      <c r="D478" s="1039" t="s">
        <v>692</v>
      </c>
      <c r="E478" s="1040">
        <v>80111600</v>
      </c>
      <c r="F478" s="1026" t="s">
        <v>1099</v>
      </c>
      <c r="G478" s="1027" t="s">
        <v>1521</v>
      </c>
      <c r="H478" s="1141" t="s">
        <v>1521</v>
      </c>
      <c r="I478" s="1027">
        <v>6</v>
      </c>
      <c r="J478" s="1027" t="s">
        <v>1549</v>
      </c>
      <c r="K478" s="1027" t="s">
        <v>674</v>
      </c>
      <c r="L478" s="1029" t="s">
        <v>675</v>
      </c>
      <c r="M478" s="1092">
        <v>23100000</v>
      </c>
      <c r="N478" s="1083" t="s">
        <v>741</v>
      </c>
      <c r="O478" s="1083" t="s">
        <v>1524</v>
      </c>
      <c r="P478" s="1083"/>
      <c r="Q478" s="1027"/>
      <c r="R478" s="1022"/>
      <c r="S478" s="1130">
        <v>447</v>
      </c>
      <c r="T478" s="1156">
        <v>23100000</v>
      </c>
    </row>
    <row r="479" spans="1:20" s="995" customFormat="1" ht="87.5" x14ac:dyDescent="0.35">
      <c r="A479" s="1013">
        <v>2022474</v>
      </c>
      <c r="B479" s="1013">
        <v>7658</v>
      </c>
      <c r="C479" s="1013" t="s">
        <v>679</v>
      </c>
      <c r="D479" s="1045" t="s">
        <v>692</v>
      </c>
      <c r="E479" s="1046">
        <v>80111600</v>
      </c>
      <c r="F479" s="1016" t="s">
        <v>1099</v>
      </c>
      <c r="G479" s="1017" t="s">
        <v>1521</v>
      </c>
      <c r="H479" s="1141" t="s">
        <v>1521</v>
      </c>
      <c r="I479" s="1017">
        <v>4</v>
      </c>
      <c r="J479" s="1017" t="s">
        <v>1549</v>
      </c>
      <c r="K479" s="1017" t="s">
        <v>674</v>
      </c>
      <c r="L479" s="1019" t="s">
        <v>675</v>
      </c>
      <c r="M479" s="1093">
        <v>15400000</v>
      </c>
      <c r="N479" s="1037" t="s">
        <v>741</v>
      </c>
      <c r="O479" s="1037" t="s">
        <v>1524</v>
      </c>
      <c r="P479" s="1037"/>
      <c r="Q479" s="1017"/>
      <c r="R479" s="1022"/>
      <c r="S479" s="1130"/>
      <c r="T479" s="1156"/>
    </row>
    <row r="480" spans="1:20" s="995" customFormat="1" ht="87.5" x14ac:dyDescent="0.35">
      <c r="A480" s="1023">
        <v>2022475</v>
      </c>
      <c r="B480" s="1023">
        <v>7658</v>
      </c>
      <c r="C480" s="1023" t="s">
        <v>679</v>
      </c>
      <c r="D480" s="1039" t="s">
        <v>692</v>
      </c>
      <c r="E480" s="1040">
        <v>80111600</v>
      </c>
      <c r="F480" s="1026" t="s">
        <v>1099</v>
      </c>
      <c r="G480" s="1027" t="s">
        <v>1521</v>
      </c>
      <c r="H480" s="1141" t="s">
        <v>1521</v>
      </c>
      <c r="I480" s="1027">
        <v>6</v>
      </c>
      <c r="J480" s="1027" t="s">
        <v>1549</v>
      </c>
      <c r="K480" s="1027" t="s">
        <v>674</v>
      </c>
      <c r="L480" s="1029" t="s">
        <v>675</v>
      </c>
      <c r="M480" s="1092">
        <v>23100000</v>
      </c>
      <c r="N480" s="1083" t="s">
        <v>741</v>
      </c>
      <c r="O480" s="1083" t="s">
        <v>1524</v>
      </c>
      <c r="P480" s="1083"/>
      <c r="Q480" s="1027"/>
      <c r="R480" s="1022"/>
      <c r="S480" s="1130">
        <v>386</v>
      </c>
      <c r="T480" s="1156">
        <v>23100000</v>
      </c>
    </row>
    <row r="481" spans="1:103" s="995" customFormat="1" ht="87.5" x14ac:dyDescent="0.35">
      <c r="A481" s="1013">
        <v>2022476</v>
      </c>
      <c r="B481" s="1013">
        <v>7658</v>
      </c>
      <c r="C481" s="1013" t="s">
        <v>679</v>
      </c>
      <c r="D481" s="1045" t="s">
        <v>692</v>
      </c>
      <c r="E481" s="1046">
        <v>80111600</v>
      </c>
      <c r="F481" s="1016" t="s">
        <v>1099</v>
      </c>
      <c r="G481" s="1017" t="s">
        <v>1521</v>
      </c>
      <c r="H481" s="1141" t="s">
        <v>1521</v>
      </c>
      <c r="I481" s="1017">
        <v>4</v>
      </c>
      <c r="J481" s="1017" t="s">
        <v>1549</v>
      </c>
      <c r="K481" s="1017" t="s">
        <v>674</v>
      </c>
      <c r="L481" s="1019" t="s">
        <v>675</v>
      </c>
      <c r="M481" s="1093">
        <v>15400000</v>
      </c>
      <c r="N481" s="1037" t="s">
        <v>741</v>
      </c>
      <c r="O481" s="1037" t="s">
        <v>1524</v>
      </c>
      <c r="P481" s="1037"/>
      <c r="Q481" s="1017"/>
      <c r="R481" s="1022"/>
      <c r="S481" s="1130"/>
      <c r="T481" s="1156"/>
    </row>
    <row r="482" spans="1:103" s="995" customFormat="1" ht="87.5" x14ac:dyDescent="0.35">
      <c r="A482" s="1023">
        <v>2022477</v>
      </c>
      <c r="B482" s="1023">
        <v>7658</v>
      </c>
      <c r="C482" s="1023" t="s">
        <v>679</v>
      </c>
      <c r="D482" s="1039" t="s">
        <v>692</v>
      </c>
      <c r="E482" s="1040">
        <v>80111600</v>
      </c>
      <c r="F482" s="1026" t="s">
        <v>1099</v>
      </c>
      <c r="G482" s="1027" t="s">
        <v>1521</v>
      </c>
      <c r="H482" s="1141" t="s">
        <v>1521</v>
      </c>
      <c r="I482" s="1027">
        <v>6</v>
      </c>
      <c r="J482" s="1027" t="s">
        <v>1549</v>
      </c>
      <c r="K482" s="1027" t="s">
        <v>674</v>
      </c>
      <c r="L482" s="1029" t="s">
        <v>675</v>
      </c>
      <c r="M482" s="1092">
        <v>23100000</v>
      </c>
      <c r="N482" s="1083" t="s">
        <v>741</v>
      </c>
      <c r="O482" s="1083" t="s">
        <v>1524</v>
      </c>
      <c r="P482" s="1083"/>
      <c r="Q482" s="1027"/>
      <c r="R482" s="1022"/>
      <c r="S482" s="1130">
        <v>450</v>
      </c>
      <c r="T482" s="1156">
        <v>23100000</v>
      </c>
    </row>
    <row r="483" spans="1:103" s="995" customFormat="1" ht="87.5" x14ac:dyDescent="0.35">
      <c r="A483" s="1023">
        <v>2022478</v>
      </c>
      <c r="B483" s="1023">
        <v>7658</v>
      </c>
      <c r="C483" s="1023" t="s">
        <v>679</v>
      </c>
      <c r="D483" s="1039" t="s">
        <v>692</v>
      </c>
      <c r="E483" s="1040">
        <v>80111600</v>
      </c>
      <c r="F483" s="1026" t="s">
        <v>1100</v>
      </c>
      <c r="G483" s="1027" t="s">
        <v>1521</v>
      </c>
      <c r="H483" s="1141" t="s">
        <v>1521</v>
      </c>
      <c r="I483" s="1027">
        <v>10</v>
      </c>
      <c r="J483" s="1027" t="s">
        <v>1549</v>
      </c>
      <c r="K483" s="1027" t="s">
        <v>674</v>
      </c>
      <c r="L483" s="1029" t="s">
        <v>675</v>
      </c>
      <c r="M483" s="1092">
        <v>72100000</v>
      </c>
      <c r="N483" s="1083" t="s">
        <v>741</v>
      </c>
      <c r="O483" s="1083" t="s">
        <v>1524</v>
      </c>
      <c r="P483" s="1083"/>
      <c r="Q483" s="1027"/>
      <c r="R483" s="1022"/>
      <c r="S483" s="1130">
        <v>195</v>
      </c>
      <c r="T483" s="1156">
        <v>72100000</v>
      </c>
    </row>
    <row r="484" spans="1:103" s="995" customFormat="1" ht="87.5" x14ac:dyDescent="0.35">
      <c r="A484" s="1023">
        <v>2022479</v>
      </c>
      <c r="B484" s="1023">
        <v>7658</v>
      </c>
      <c r="C484" s="1023" t="s">
        <v>679</v>
      </c>
      <c r="D484" s="1039" t="s">
        <v>692</v>
      </c>
      <c r="E484" s="1040">
        <v>80111600</v>
      </c>
      <c r="F484" s="1026" t="s">
        <v>1100</v>
      </c>
      <c r="G484" s="1027" t="s">
        <v>1521</v>
      </c>
      <c r="H484" s="1141" t="s">
        <v>1521</v>
      </c>
      <c r="I484" s="1027">
        <v>10</v>
      </c>
      <c r="J484" s="1027" t="s">
        <v>1549</v>
      </c>
      <c r="K484" s="1027" t="s">
        <v>674</v>
      </c>
      <c r="L484" s="1029" t="s">
        <v>675</v>
      </c>
      <c r="M484" s="1092">
        <v>48500000</v>
      </c>
      <c r="N484" s="1083" t="s">
        <v>741</v>
      </c>
      <c r="O484" s="1083" t="s">
        <v>1524</v>
      </c>
      <c r="P484" s="1083"/>
      <c r="Q484" s="1027"/>
      <c r="R484" s="1022"/>
      <c r="S484" s="1130">
        <v>243</v>
      </c>
      <c r="T484" s="1156">
        <v>48500000</v>
      </c>
    </row>
    <row r="485" spans="1:103" s="995" customFormat="1" ht="87.5" x14ac:dyDescent="0.35">
      <c r="A485" s="1023">
        <v>2022480</v>
      </c>
      <c r="B485" s="1023">
        <v>7658</v>
      </c>
      <c r="C485" s="1023" t="s">
        <v>679</v>
      </c>
      <c r="D485" s="1039" t="s">
        <v>692</v>
      </c>
      <c r="E485" s="1040">
        <v>80111600</v>
      </c>
      <c r="F485" s="1026" t="s">
        <v>1100</v>
      </c>
      <c r="G485" s="1027" t="s">
        <v>1521</v>
      </c>
      <c r="H485" s="1141" t="s">
        <v>1521</v>
      </c>
      <c r="I485" s="1027">
        <v>10</v>
      </c>
      <c r="J485" s="1027" t="s">
        <v>1549</v>
      </c>
      <c r="K485" s="1027" t="s">
        <v>674</v>
      </c>
      <c r="L485" s="1029" t="s">
        <v>675</v>
      </c>
      <c r="M485" s="1092">
        <v>38500000</v>
      </c>
      <c r="N485" s="1083" t="s">
        <v>741</v>
      </c>
      <c r="O485" s="1083" t="s">
        <v>1524</v>
      </c>
      <c r="P485" s="1083"/>
      <c r="Q485" s="1027"/>
      <c r="R485" s="1022"/>
      <c r="S485" s="1130">
        <v>136</v>
      </c>
      <c r="T485" s="1156">
        <v>38500000</v>
      </c>
    </row>
    <row r="486" spans="1:103" s="995" customFormat="1" ht="87.5" x14ac:dyDescent="0.35">
      <c r="A486" s="1023">
        <v>2022481</v>
      </c>
      <c r="B486" s="1023">
        <v>7658</v>
      </c>
      <c r="C486" s="1023" t="s">
        <v>679</v>
      </c>
      <c r="D486" s="1039" t="s">
        <v>692</v>
      </c>
      <c r="E486" s="1040">
        <v>80111600</v>
      </c>
      <c r="F486" s="1026" t="s">
        <v>1101</v>
      </c>
      <c r="G486" s="1027" t="s">
        <v>1521</v>
      </c>
      <c r="H486" s="1141" t="s">
        <v>1521</v>
      </c>
      <c r="I486" s="1027">
        <v>6</v>
      </c>
      <c r="J486" s="1027" t="s">
        <v>1549</v>
      </c>
      <c r="K486" s="1027" t="s">
        <v>674</v>
      </c>
      <c r="L486" s="1029" t="s">
        <v>675</v>
      </c>
      <c r="M486" s="1092">
        <v>48000000</v>
      </c>
      <c r="N486" s="1083" t="s">
        <v>741</v>
      </c>
      <c r="O486" s="1083" t="s">
        <v>1524</v>
      </c>
      <c r="P486" s="1083"/>
      <c r="Q486" s="1027"/>
      <c r="R486" s="1022"/>
      <c r="S486" s="1130">
        <v>196</v>
      </c>
      <c r="T486" s="1156">
        <v>48000000</v>
      </c>
    </row>
    <row r="487" spans="1:103" s="995" customFormat="1" ht="87.5" x14ac:dyDescent="0.35">
      <c r="A487" s="1023">
        <v>2022482</v>
      </c>
      <c r="B487" s="1023">
        <v>7658</v>
      </c>
      <c r="C487" s="1023" t="s">
        <v>679</v>
      </c>
      <c r="D487" s="1039" t="s">
        <v>692</v>
      </c>
      <c r="E487" s="1040">
        <v>80111600</v>
      </c>
      <c r="F487" s="1026" t="s">
        <v>1102</v>
      </c>
      <c r="G487" s="1027" t="s">
        <v>1521</v>
      </c>
      <c r="H487" s="1141" t="s">
        <v>1521</v>
      </c>
      <c r="I487" s="1027">
        <v>6</v>
      </c>
      <c r="J487" s="1027" t="s">
        <v>1549</v>
      </c>
      <c r="K487" s="1027" t="s">
        <v>674</v>
      </c>
      <c r="L487" s="1029" t="s">
        <v>675</v>
      </c>
      <c r="M487" s="1092">
        <v>28200000</v>
      </c>
      <c r="N487" s="1083" t="s">
        <v>741</v>
      </c>
      <c r="O487" s="1083" t="s">
        <v>1524</v>
      </c>
      <c r="P487" s="1083"/>
      <c r="Q487" s="1027"/>
      <c r="R487" s="1022"/>
      <c r="S487" s="1130">
        <v>146</v>
      </c>
      <c r="T487" s="1156">
        <v>28200000</v>
      </c>
    </row>
    <row r="488" spans="1:103" s="995" customFormat="1" ht="87.5" x14ac:dyDescent="0.35">
      <c r="A488" s="1023">
        <v>2022236</v>
      </c>
      <c r="B488" s="1023">
        <v>7658</v>
      </c>
      <c r="C488" s="1023" t="s">
        <v>679</v>
      </c>
      <c r="D488" s="1039" t="s">
        <v>698</v>
      </c>
      <c r="E488" s="1040">
        <v>80111600</v>
      </c>
      <c r="F488" s="1026" t="s">
        <v>925</v>
      </c>
      <c r="G488" s="1027" t="s">
        <v>1414</v>
      </c>
      <c r="H488" s="1141" t="s">
        <v>1414</v>
      </c>
      <c r="I488" s="1027" t="s">
        <v>1467</v>
      </c>
      <c r="J488" s="1027" t="s">
        <v>1455</v>
      </c>
      <c r="K488" s="1027" t="s">
        <v>674</v>
      </c>
      <c r="L488" s="1029" t="s">
        <v>675</v>
      </c>
      <c r="M488" s="1092">
        <v>39100000</v>
      </c>
      <c r="N488" s="1083" t="s">
        <v>724</v>
      </c>
      <c r="O488" s="1083" t="s">
        <v>1473</v>
      </c>
      <c r="P488" s="1083"/>
      <c r="Q488" s="1027"/>
      <c r="R488" s="1022"/>
      <c r="S488" s="1130">
        <v>390</v>
      </c>
      <c r="T488" s="1156">
        <v>37400000</v>
      </c>
    </row>
    <row r="489" spans="1:103" s="995" customFormat="1" ht="87.5" x14ac:dyDescent="0.35">
      <c r="A489" s="1013">
        <v>2022483</v>
      </c>
      <c r="B489" s="1013">
        <v>7658</v>
      </c>
      <c r="C489" s="1013" t="s">
        <v>679</v>
      </c>
      <c r="D489" s="1045" t="s">
        <v>698</v>
      </c>
      <c r="E489" s="1051" t="s">
        <v>1103</v>
      </c>
      <c r="F489" s="1016" t="s">
        <v>1104</v>
      </c>
      <c r="G489" s="1047" t="s">
        <v>1414</v>
      </c>
      <c r="H489" s="1141" t="s">
        <v>1424</v>
      </c>
      <c r="I489" s="1048" t="s">
        <v>1468</v>
      </c>
      <c r="J489" s="1049" t="s">
        <v>1550</v>
      </c>
      <c r="K489" s="1017" t="s">
        <v>674</v>
      </c>
      <c r="L489" s="1085" t="s">
        <v>1105</v>
      </c>
      <c r="M489" s="1020">
        <v>30000000</v>
      </c>
      <c r="N489" s="1037" t="s">
        <v>1551</v>
      </c>
      <c r="O489" s="1037" t="s">
        <v>1473</v>
      </c>
      <c r="P489" s="1037"/>
      <c r="Q489" s="1047">
        <v>44600</v>
      </c>
      <c r="R489" s="1022"/>
      <c r="S489" s="1130"/>
      <c r="T489" s="1156"/>
    </row>
    <row r="490" spans="1:103" s="1034" customFormat="1" ht="87.5" x14ac:dyDescent="0.35">
      <c r="A490" s="1131">
        <v>2022484</v>
      </c>
      <c r="B490" s="1131">
        <v>7658</v>
      </c>
      <c r="C490" s="1131" t="s">
        <v>679</v>
      </c>
      <c r="D490" s="1139" t="s">
        <v>698</v>
      </c>
      <c r="E490" s="1140" t="s">
        <v>1106</v>
      </c>
      <c r="F490" s="1134" t="s">
        <v>1107</v>
      </c>
      <c r="G490" s="1141" t="s">
        <v>1414</v>
      </c>
      <c r="H490" s="1141" t="s">
        <v>1424</v>
      </c>
      <c r="I490" s="1142" t="s">
        <v>1469</v>
      </c>
      <c r="J490" s="1143" t="s">
        <v>1510</v>
      </c>
      <c r="K490" s="1135" t="s">
        <v>674</v>
      </c>
      <c r="L490" s="1153" t="s">
        <v>1108</v>
      </c>
      <c r="M490" s="1136">
        <v>100000000</v>
      </c>
      <c r="N490" s="1151" t="s">
        <v>1551</v>
      </c>
      <c r="O490" s="1151" t="s">
        <v>1473</v>
      </c>
      <c r="P490" s="1151"/>
      <c r="Q490" s="1135"/>
      <c r="R490" s="1130">
        <v>453</v>
      </c>
      <c r="S490" s="1130"/>
      <c r="T490" s="1156"/>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5"/>
      <c r="BI490" s="995"/>
      <c r="BJ490" s="995"/>
      <c r="BK490" s="995"/>
      <c r="BL490" s="995"/>
      <c r="BM490" s="995"/>
      <c r="BN490" s="995"/>
      <c r="BO490" s="995"/>
      <c r="BP490" s="995"/>
      <c r="BQ490" s="995"/>
      <c r="BR490" s="995"/>
      <c r="BS490" s="995"/>
      <c r="BT490" s="995"/>
      <c r="BU490" s="995"/>
      <c r="BV490" s="995"/>
      <c r="BW490" s="995"/>
      <c r="BX490" s="995"/>
      <c r="BY490" s="995"/>
      <c r="BZ490" s="995"/>
      <c r="CA490" s="995"/>
      <c r="CB490" s="995"/>
      <c r="CC490" s="995"/>
      <c r="CD490" s="995"/>
      <c r="CE490" s="995"/>
      <c r="CF490" s="995"/>
      <c r="CG490" s="995"/>
      <c r="CH490" s="995"/>
      <c r="CI490" s="995"/>
      <c r="CJ490" s="995"/>
      <c r="CK490" s="995"/>
      <c r="CL490" s="995"/>
      <c r="CM490" s="995"/>
      <c r="CN490" s="995"/>
      <c r="CO490" s="995"/>
      <c r="CP490" s="995"/>
      <c r="CQ490" s="995"/>
      <c r="CR490" s="995"/>
      <c r="CS490" s="995"/>
      <c r="CT490" s="995"/>
      <c r="CU490" s="995"/>
      <c r="CV490" s="995"/>
      <c r="CW490" s="995"/>
      <c r="CX490" s="995"/>
      <c r="CY490" s="995"/>
    </row>
    <row r="491" spans="1:103" s="1034" customFormat="1" ht="87.5" x14ac:dyDescent="0.35">
      <c r="A491" s="1131">
        <v>2022485</v>
      </c>
      <c r="B491" s="1131">
        <v>7658</v>
      </c>
      <c r="C491" s="1131" t="s">
        <v>679</v>
      </c>
      <c r="D491" s="1139" t="s">
        <v>698</v>
      </c>
      <c r="E491" s="1140" t="s">
        <v>1109</v>
      </c>
      <c r="F491" s="1134" t="s">
        <v>1110</v>
      </c>
      <c r="G491" s="1141" t="s">
        <v>1414</v>
      </c>
      <c r="H491" s="1141" t="s">
        <v>1424</v>
      </c>
      <c r="I491" s="1142" t="s">
        <v>1417</v>
      </c>
      <c r="J491" s="1143" t="s">
        <v>1510</v>
      </c>
      <c r="K491" s="1135" t="s">
        <v>674</v>
      </c>
      <c r="L491" s="1132" t="s">
        <v>1111</v>
      </c>
      <c r="M491" s="1136">
        <v>260900000</v>
      </c>
      <c r="N491" s="1151" t="s">
        <v>1551</v>
      </c>
      <c r="O491" s="1151" t="s">
        <v>1473</v>
      </c>
      <c r="P491" s="1151"/>
      <c r="Q491" s="1135"/>
      <c r="R491" s="1130">
        <v>451</v>
      </c>
      <c r="S491" s="1130"/>
      <c r="T491" s="1156"/>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c r="BF491" s="995"/>
      <c r="BG491" s="995"/>
      <c r="BH491" s="995"/>
      <c r="BI491" s="995"/>
      <c r="BJ491" s="995"/>
      <c r="BK491" s="995"/>
      <c r="BL491" s="995"/>
      <c r="BM491" s="995"/>
      <c r="BN491" s="995"/>
      <c r="BO491" s="995"/>
      <c r="BP491" s="995"/>
      <c r="BQ491" s="995"/>
      <c r="BR491" s="995"/>
      <c r="BS491" s="995"/>
      <c r="BT491" s="995"/>
      <c r="BU491" s="995"/>
      <c r="BV491" s="995"/>
      <c r="BW491" s="995"/>
      <c r="BX491" s="995"/>
      <c r="BY491" s="995"/>
      <c r="BZ491" s="995"/>
      <c r="CA491" s="995"/>
      <c r="CB491" s="995"/>
      <c r="CC491" s="995"/>
      <c r="CD491" s="995"/>
      <c r="CE491" s="995"/>
      <c r="CF491" s="995"/>
      <c r="CG491" s="995"/>
      <c r="CH491" s="995"/>
      <c r="CI491" s="995"/>
      <c r="CJ491" s="995"/>
      <c r="CK491" s="995"/>
      <c r="CL491" s="995"/>
      <c r="CM491" s="995"/>
      <c r="CN491" s="995"/>
      <c r="CO491" s="995"/>
      <c r="CP491" s="995"/>
      <c r="CQ491" s="995"/>
      <c r="CR491" s="995"/>
      <c r="CS491" s="995"/>
      <c r="CT491" s="995"/>
      <c r="CU491" s="995"/>
      <c r="CV491" s="995"/>
      <c r="CW491" s="995"/>
      <c r="CX491" s="995"/>
      <c r="CY491" s="995"/>
    </row>
    <row r="492" spans="1:103" s="995" customFormat="1" ht="87.5" x14ac:dyDescent="0.35">
      <c r="A492" s="1013">
        <v>2022486</v>
      </c>
      <c r="B492" s="1013">
        <v>7658</v>
      </c>
      <c r="C492" s="1013" t="s">
        <v>679</v>
      </c>
      <c r="D492" s="1045" t="s">
        <v>698</v>
      </c>
      <c r="E492" s="1094" t="s">
        <v>1112</v>
      </c>
      <c r="F492" s="1016" t="s">
        <v>1113</v>
      </c>
      <c r="G492" s="1047" t="s">
        <v>1414</v>
      </c>
      <c r="H492" s="1141" t="s">
        <v>1424</v>
      </c>
      <c r="I492" s="1048" t="s">
        <v>1469</v>
      </c>
      <c r="J492" s="1049" t="s">
        <v>1510</v>
      </c>
      <c r="K492" s="1017" t="s">
        <v>674</v>
      </c>
      <c r="L492" s="1019" t="s">
        <v>1492</v>
      </c>
      <c r="M492" s="1020">
        <v>200000000</v>
      </c>
      <c r="N492" s="1037" t="s">
        <v>1551</v>
      </c>
      <c r="O492" s="1037" t="s">
        <v>1473</v>
      </c>
      <c r="P492" s="1037"/>
      <c r="Q492" s="1017"/>
      <c r="R492" s="1022"/>
      <c r="S492" s="1130"/>
      <c r="T492" s="1156"/>
    </row>
    <row r="493" spans="1:103" s="995" customFormat="1" ht="87.5" x14ac:dyDescent="0.35">
      <c r="A493" s="1013">
        <v>2022487</v>
      </c>
      <c r="B493" s="1013">
        <v>7658</v>
      </c>
      <c r="C493" s="1013" t="s">
        <v>679</v>
      </c>
      <c r="D493" s="1045" t="s">
        <v>698</v>
      </c>
      <c r="E493" s="1094" t="s">
        <v>1106</v>
      </c>
      <c r="F493" s="1016" t="s">
        <v>1114</v>
      </c>
      <c r="G493" s="1047" t="s">
        <v>1414</v>
      </c>
      <c r="H493" s="1141" t="s">
        <v>1424</v>
      </c>
      <c r="I493" s="1048" t="s">
        <v>1552</v>
      </c>
      <c r="J493" s="1049" t="s">
        <v>1553</v>
      </c>
      <c r="K493" s="1017" t="s">
        <v>674</v>
      </c>
      <c r="L493" s="1085" t="s">
        <v>1108</v>
      </c>
      <c r="M493" s="1020">
        <v>34000000</v>
      </c>
      <c r="N493" s="1037" t="s">
        <v>1551</v>
      </c>
      <c r="O493" s="1037" t="s">
        <v>1473</v>
      </c>
      <c r="P493" s="1037"/>
      <c r="Q493" s="1017"/>
      <c r="R493" s="1022"/>
      <c r="S493" s="1130"/>
      <c r="T493" s="1156"/>
    </row>
    <row r="494" spans="1:103" s="1034" customFormat="1" ht="87.5" x14ac:dyDescent="0.35">
      <c r="A494" s="1131">
        <v>2022488</v>
      </c>
      <c r="B494" s="1131">
        <v>7658</v>
      </c>
      <c r="C494" s="1131" t="s">
        <v>679</v>
      </c>
      <c r="D494" s="1139" t="s">
        <v>698</v>
      </c>
      <c r="E494" s="1145">
        <v>78181500</v>
      </c>
      <c r="F494" s="1134" t="s">
        <v>1115</v>
      </c>
      <c r="G494" s="1141" t="s">
        <v>1414</v>
      </c>
      <c r="H494" s="1141" t="s">
        <v>1424</v>
      </c>
      <c r="I494" s="1142" t="s">
        <v>1554</v>
      </c>
      <c r="J494" s="1143" t="s">
        <v>1326</v>
      </c>
      <c r="K494" s="1135" t="s">
        <v>674</v>
      </c>
      <c r="L494" s="1132" t="s">
        <v>1116</v>
      </c>
      <c r="M494" s="1136">
        <v>2500000000</v>
      </c>
      <c r="N494" s="1151" t="s">
        <v>724</v>
      </c>
      <c r="O494" s="1151" t="s">
        <v>1473</v>
      </c>
      <c r="P494" s="1151"/>
      <c r="Q494" s="1135"/>
      <c r="R494" s="1130">
        <v>561</v>
      </c>
      <c r="S494" s="1130"/>
      <c r="T494" s="1156"/>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c r="BF494" s="995"/>
      <c r="BG494" s="995"/>
      <c r="BH494" s="995"/>
      <c r="BI494" s="995"/>
      <c r="BJ494" s="995"/>
      <c r="BK494" s="995"/>
      <c r="BL494" s="995"/>
      <c r="BM494" s="995"/>
      <c r="BN494" s="995"/>
      <c r="BO494" s="995"/>
      <c r="BP494" s="995"/>
      <c r="BQ494" s="995"/>
      <c r="BR494" s="995"/>
      <c r="BS494" s="995"/>
      <c r="BT494" s="995"/>
      <c r="BU494" s="995"/>
      <c r="BV494" s="995"/>
      <c r="BW494" s="995"/>
      <c r="BX494" s="995"/>
      <c r="BY494" s="995"/>
      <c r="BZ494" s="995"/>
      <c r="CA494" s="995"/>
      <c r="CB494" s="995"/>
      <c r="CC494" s="995"/>
      <c r="CD494" s="995"/>
      <c r="CE494" s="995"/>
      <c r="CF494" s="995"/>
      <c r="CG494" s="995"/>
      <c r="CH494" s="995"/>
      <c r="CI494" s="995"/>
      <c r="CJ494" s="995"/>
      <c r="CK494" s="995"/>
      <c r="CL494" s="995"/>
      <c r="CM494" s="995"/>
      <c r="CN494" s="995"/>
      <c r="CO494" s="995"/>
      <c r="CP494" s="995"/>
      <c r="CQ494" s="995"/>
      <c r="CR494" s="995"/>
      <c r="CS494" s="995"/>
      <c r="CT494" s="995"/>
      <c r="CU494" s="995"/>
      <c r="CV494" s="995"/>
      <c r="CW494" s="995"/>
      <c r="CX494" s="995"/>
      <c r="CY494" s="995"/>
    </row>
    <row r="495" spans="1:103" s="995" customFormat="1" ht="87.5" x14ac:dyDescent="0.35">
      <c r="A495" s="1023">
        <v>2022489</v>
      </c>
      <c r="B495" s="1023">
        <v>7658</v>
      </c>
      <c r="C495" s="1023" t="s">
        <v>679</v>
      </c>
      <c r="D495" s="1039" t="s">
        <v>698</v>
      </c>
      <c r="E495" s="1040">
        <v>78181500</v>
      </c>
      <c r="F495" s="1026" t="s">
        <v>1117</v>
      </c>
      <c r="G495" s="1041" t="s">
        <v>1414</v>
      </c>
      <c r="H495" s="1141" t="s">
        <v>1414</v>
      </c>
      <c r="I495" s="1042" t="s">
        <v>1518</v>
      </c>
      <c r="J495" s="1043" t="s">
        <v>1326</v>
      </c>
      <c r="K495" s="1027" t="s">
        <v>674</v>
      </c>
      <c r="L495" s="1029" t="s">
        <v>1116</v>
      </c>
      <c r="M495" s="1030">
        <v>750000000</v>
      </c>
      <c r="N495" s="1083" t="s">
        <v>724</v>
      </c>
      <c r="O495" s="1083" t="s">
        <v>1473</v>
      </c>
      <c r="P495" s="1083"/>
      <c r="Q495" s="1027"/>
      <c r="R495" s="1022"/>
      <c r="S495" s="1130">
        <v>493</v>
      </c>
      <c r="T495" s="1156">
        <v>750000000</v>
      </c>
    </row>
    <row r="496" spans="1:103" s="1022" customFormat="1" ht="87.5" x14ac:dyDescent="0.35">
      <c r="A496" s="1131">
        <v>2022490</v>
      </c>
      <c r="B496" s="1131">
        <v>7658</v>
      </c>
      <c r="C496" s="1131" t="s">
        <v>679</v>
      </c>
      <c r="D496" s="1139" t="s">
        <v>698</v>
      </c>
      <c r="E496" s="1145">
        <v>78181500</v>
      </c>
      <c r="F496" s="1134" t="s">
        <v>1118</v>
      </c>
      <c r="G496" s="1141" t="s">
        <v>1414</v>
      </c>
      <c r="H496" s="1141" t="s">
        <v>1414</v>
      </c>
      <c r="I496" s="1142" t="s">
        <v>1555</v>
      </c>
      <c r="J496" s="1143" t="s">
        <v>1326</v>
      </c>
      <c r="K496" s="1135" t="s">
        <v>674</v>
      </c>
      <c r="L496" s="1132" t="s">
        <v>1116</v>
      </c>
      <c r="M496" s="1136">
        <v>100000000</v>
      </c>
      <c r="N496" s="1151" t="s">
        <v>724</v>
      </c>
      <c r="O496" s="1151" t="s">
        <v>1473</v>
      </c>
      <c r="P496" s="1151"/>
      <c r="Q496" s="1135"/>
      <c r="R496" s="1130">
        <v>593</v>
      </c>
      <c r="S496" s="1130"/>
      <c r="T496" s="1156"/>
    </row>
    <row r="497" spans="1:103" s="1034" customFormat="1" ht="87.5" x14ac:dyDescent="0.35">
      <c r="A497" s="1131">
        <v>2022491</v>
      </c>
      <c r="B497" s="1131">
        <v>7658</v>
      </c>
      <c r="C497" s="1131" t="s">
        <v>679</v>
      </c>
      <c r="D497" s="1139" t="s">
        <v>698</v>
      </c>
      <c r="E497" s="1145">
        <v>25172500</v>
      </c>
      <c r="F497" s="1134" t="s">
        <v>1119</v>
      </c>
      <c r="G497" s="1141" t="s">
        <v>1414</v>
      </c>
      <c r="H497" s="1141" t="s">
        <v>1424</v>
      </c>
      <c r="I497" s="1142" t="s">
        <v>1417</v>
      </c>
      <c r="J497" s="1143" t="s">
        <v>1510</v>
      </c>
      <c r="K497" s="1135" t="s">
        <v>674</v>
      </c>
      <c r="L497" s="1132" t="s">
        <v>981</v>
      </c>
      <c r="M497" s="1136">
        <v>150000000</v>
      </c>
      <c r="N497" s="1151" t="s">
        <v>724</v>
      </c>
      <c r="O497" s="1151" t="s">
        <v>1473</v>
      </c>
      <c r="P497" s="1151"/>
      <c r="Q497" s="1135"/>
      <c r="R497" s="1130">
        <v>560</v>
      </c>
      <c r="S497" s="1130"/>
      <c r="T497" s="1156"/>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c r="BF497" s="995"/>
      <c r="BG497" s="995"/>
      <c r="BH497" s="995"/>
      <c r="BI497" s="995"/>
      <c r="BJ497" s="995"/>
      <c r="BK497" s="995"/>
      <c r="BL497" s="995"/>
      <c r="BM497" s="995"/>
      <c r="BN497" s="995"/>
      <c r="BO497" s="995"/>
      <c r="BP497" s="995"/>
      <c r="BQ497" s="995"/>
      <c r="BR497" s="995"/>
      <c r="BS497" s="995"/>
      <c r="BT497" s="995"/>
      <c r="BU497" s="995"/>
      <c r="BV497" s="995"/>
      <c r="BW497" s="995"/>
      <c r="BX497" s="995"/>
      <c r="BY497" s="995"/>
      <c r="BZ497" s="995"/>
      <c r="CA497" s="995"/>
      <c r="CB497" s="995"/>
      <c r="CC497" s="995"/>
      <c r="CD497" s="995"/>
      <c r="CE497" s="995"/>
      <c r="CF497" s="995"/>
      <c r="CG497" s="995"/>
      <c r="CH497" s="995"/>
      <c r="CI497" s="995"/>
      <c r="CJ497" s="995"/>
      <c r="CK497" s="995"/>
      <c r="CL497" s="995"/>
      <c r="CM497" s="995"/>
      <c r="CN497" s="995"/>
      <c r="CO497" s="995"/>
      <c r="CP497" s="995"/>
      <c r="CQ497" s="995"/>
      <c r="CR497" s="995"/>
      <c r="CS497" s="995"/>
      <c r="CT497" s="995"/>
      <c r="CU497" s="995"/>
      <c r="CV497" s="995"/>
      <c r="CW497" s="995"/>
      <c r="CX497" s="995"/>
      <c r="CY497" s="995"/>
    </row>
    <row r="498" spans="1:103" s="995" customFormat="1" ht="87.5" x14ac:dyDescent="0.35">
      <c r="A498" s="1023">
        <v>2022492</v>
      </c>
      <c r="B498" s="1023">
        <v>7658</v>
      </c>
      <c r="C498" s="1023" t="s">
        <v>679</v>
      </c>
      <c r="D498" s="1039" t="s">
        <v>698</v>
      </c>
      <c r="E498" s="1040">
        <v>15101500</v>
      </c>
      <c r="F498" s="1026" t="s">
        <v>1120</v>
      </c>
      <c r="G498" s="1041" t="s">
        <v>1414</v>
      </c>
      <c r="H498" s="1141" t="s">
        <v>1424</v>
      </c>
      <c r="I498" s="1042" t="s">
        <v>1554</v>
      </c>
      <c r="J498" s="1043" t="s">
        <v>1475</v>
      </c>
      <c r="K498" s="1027" t="s">
        <v>674</v>
      </c>
      <c r="L498" s="1029" t="s">
        <v>1121</v>
      </c>
      <c r="M498" s="1030">
        <v>1030000000</v>
      </c>
      <c r="N498" s="1083" t="s">
        <v>724</v>
      </c>
      <c r="O498" s="1083" t="s">
        <v>1473</v>
      </c>
      <c r="P498" s="1083"/>
      <c r="Q498" s="1027"/>
      <c r="R498" s="1022"/>
      <c r="S498" s="1130">
        <v>221</v>
      </c>
      <c r="T498" s="1156">
        <v>1030000000</v>
      </c>
    </row>
    <row r="499" spans="1:103" s="995" customFormat="1" ht="87.5" x14ac:dyDescent="0.35">
      <c r="A499" s="1013">
        <v>2022493</v>
      </c>
      <c r="B499" s="1013">
        <v>7658</v>
      </c>
      <c r="C499" s="1013" t="s">
        <v>679</v>
      </c>
      <c r="D499" s="1045" t="s">
        <v>698</v>
      </c>
      <c r="E499" s="1051" t="s">
        <v>1122</v>
      </c>
      <c r="F499" s="1016" t="s">
        <v>1123</v>
      </c>
      <c r="G499" s="1047" t="s">
        <v>1414</v>
      </c>
      <c r="H499" s="1141" t="s">
        <v>1424</v>
      </c>
      <c r="I499" s="1048" t="s">
        <v>1554</v>
      </c>
      <c r="J499" s="1049" t="s">
        <v>1510</v>
      </c>
      <c r="K499" s="1017" t="s">
        <v>674</v>
      </c>
      <c r="L499" s="1019" t="s">
        <v>981</v>
      </c>
      <c r="M499" s="1020">
        <v>400000000</v>
      </c>
      <c r="N499" s="1037" t="s">
        <v>724</v>
      </c>
      <c r="O499" s="1037" t="s">
        <v>1473</v>
      </c>
      <c r="P499" s="1037"/>
      <c r="Q499" s="1017"/>
      <c r="R499" s="1022"/>
      <c r="S499" s="1130"/>
      <c r="T499" s="1156"/>
    </row>
    <row r="500" spans="1:103" s="995" customFormat="1" ht="87.5" x14ac:dyDescent="0.35">
      <c r="A500" s="1013">
        <v>2022494</v>
      </c>
      <c r="B500" s="1013">
        <v>7658</v>
      </c>
      <c r="C500" s="1013" t="s">
        <v>679</v>
      </c>
      <c r="D500" s="1045" t="s">
        <v>698</v>
      </c>
      <c r="E500" s="1051" t="s">
        <v>1556</v>
      </c>
      <c r="F500" s="1016" t="s">
        <v>1557</v>
      </c>
      <c r="G500" s="1047" t="s">
        <v>1414</v>
      </c>
      <c r="H500" s="1141" t="s">
        <v>1424</v>
      </c>
      <c r="I500" s="1048" t="s">
        <v>1469</v>
      </c>
      <c r="J500" s="1049" t="s">
        <v>1558</v>
      </c>
      <c r="K500" s="1017" t="s">
        <v>674</v>
      </c>
      <c r="L500" s="1085" t="s">
        <v>957</v>
      </c>
      <c r="M500" s="1020">
        <v>50000000</v>
      </c>
      <c r="N500" s="1037" t="s">
        <v>724</v>
      </c>
      <c r="O500" s="1037" t="s">
        <v>1473</v>
      </c>
      <c r="P500" s="1037"/>
      <c r="Q500" s="1017"/>
      <c r="R500" s="1022"/>
      <c r="S500" s="1130"/>
      <c r="T500" s="1156"/>
    </row>
    <row r="501" spans="1:103" s="995" customFormat="1" ht="87.5" x14ac:dyDescent="0.35">
      <c r="A501" s="1013">
        <v>2022495</v>
      </c>
      <c r="B501" s="1013">
        <v>7658</v>
      </c>
      <c r="C501" s="1013" t="s">
        <v>679</v>
      </c>
      <c r="D501" s="1045" t="s">
        <v>698</v>
      </c>
      <c r="E501" s="1046">
        <v>78181505</v>
      </c>
      <c r="F501" s="1016" t="s">
        <v>1124</v>
      </c>
      <c r="G501" s="1047" t="s">
        <v>1414</v>
      </c>
      <c r="H501" s="1141" t="s">
        <v>1424</v>
      </c>
      <c r="I501" s="1048" t="s">
        <v>1417</v>
      </c>
      <c r="J501" s="1049" t="s">
        <v>1510</v>
      </c>
      <c r="K501" s="1017" t="s">
        <v>674</v>
      </c>
      <c r="L501" s="1019" t="s">
        <v>981</v>
      </c>
      <c r="M501" s="1020">
        <v>80000000</v>
      </c>
      <c r="N501" s="1037" t="s">
        <v>724</v>
      </c>
      <c r="O501" s="1037" t="s">
        <v>1473</v>
      </c>
      <c r="P501" s="1037"/>
      <c r="Q501" s="1047">
        <v>44600</v>
      </c>
      <c r="R501" s="1022"/>
      <c r="S501" s="1130"/>
      <c r="T501" s="1156"/>
    </row>
    <row r="502" spans="1:103" s="995" customFormat="1" ht="87.5" x14ac:dyDescent="0.35">
      <c r="A502" s="1013">
        <v>2022496</v>
      </c>
      <c r="B502" s="1013">
        <v>7658</v>
      </c>
      <c r="C502" s="1013" t="s">
        <v>679</v>
      </c>
      <c r="D502" s="1045" t="s">
        <v>698</v>
      </c>
      <c r="E502" s="1046" t="s">
        <v>1125</v>
      </c>
      <c r="F502" s="1016" t="s">
        <v>1126</v>
      </c>
      <c r="G502" s="1047" t="s">
        <v>1414</v>
      </c>
      <c r="H502" s="1141" t="s">
        <v>1424</v>
      </c>
      <c r="I502" s="1048" t="s">
        <v>1554</v>
      </c>
      <c r="J502" s="1049" t="s">
        <v>1510</v>
      </c>
      <c r="K502" s="1017" t="s">
        <v>674</v>
      </c>
      <c r="L502" s="1019" t="s">
        <v>981</v>
      </c>
      <c r="M502" s="1020">
        <v>150000000</v>
      </c>
      <c r="N502" s="1037" t="s">
        <v>724</v>
      </c>
      <c r="O502" s="1037" t="s">
        <v>1473</v>
      </c>
      <c r="P502" s="1037"/>
      <c r="Q502" s="1047">
        <v>44600</v>
      </c>
      <c r="R502" s="1022"/>
      <c r="S502" s="1130"/>
      <c r="T502" s="1156"/>
    </row>
    <row r="503" spans="1:103" s="1034" customFormat="1" ht="87.5" x14ac:dyDescent="0.35">
      <c r="A503" s="1131">
        <v>2022497</v>
      </c>
      <c r="B503" s="1131">
        <v>7658</v>
      </c>
      <c r="C503" s="1131" t="s">
        <v>679</v>
      </c>
      <c r="D503" s="1139" t="s">
        <v>698</v>
      </c>
      <c r="E503" s="1145">
        <v>72101509</v>
      </c>
      <c r="F503" s="1134" t="s">
        <v>1127</v>
      </c>
      <c r="G503" s="1141" t="s">
        <v>1414</v>
      </c>
      <c r="H503" s="1141" t="s">
        <v>1424</v>
      </c>
      <c r="I503" s="1142" t="s">
        <v>1554</v>
      </c>
      <c r="J503" s="1143" t="s">
        <v>1510</v>
      </c>
      <c r="K503" s="1135" t="s">
        <v>674</v>
      </c>
      <c r="L503" s="1132" t="s">
        <v>981</v>
      </c>
      <c r="M503" s="1136">
        <v>350000000</v>
      </c>
      <c r="N503" s="1151" t="s">
        <v>724</v>
      </c>
      <c r="O503" s="1151" t="s">
        <v>1473</v>
      </c>
      <c r="P503" s="1151"/>
      <c r="Q503" s="1141">
        <v>44600</v>
      </c>
      <c r="R503" s="1130">
        <v>421</v>
      </c>
      <c r="S503" s="1130"/>
      <c r="T503" s="1156"/>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c r="BF503" s="995"/>
      <c r="BG503" s="995"/>
      <c r="BH503" s="995"/>
      <c r="BI503" s="995"/>
      <c r="BJ503" s="995"/>
      <c r="BK503" s="995"/>
      <c r="BL503" s="995"/>
      <c r="BM503" s="995"/>
      <c r="BN503" s="995"/>
      <c r="BO503" s="995"/>
      <c r="BP503" s="995"/>
      <c r="BQ503" s="995"/>
      <c r="BR503" s="995"/>
      <c r="BS503" s="995"/>
      <c r="BT503" s="995"/>
      <c r="BU503" s="995"/>
      <c r="BV503" s="995"/>
      <c r="BW503" s="995"/>
      <c r="BX503" s="995"/>
      <c r="BY503" s="995"/>
      <c r="BZ503" s="995"/>
      <c r="CA503" s="995"/>
      <c r="CB503" s="995"/>
      <c r="CC503" s="995"/>
      <c r="CD503" s="995"/>
      <c r="CE503" s="995"/>
      <c r="CF503" s="995"/>
      <c r="CG503" s="995"/>
      <c r="CH503" s="995"/>
      <c r="CI503" s="995"/>
      <c r="CJ503" s="995"/>
      <c r="CK503" s="995"/>
      <c r="CL503" s="995"/>
      <c r="CM503" s="995"/>
      <c r="CN503" s="995"/>
      <c r="CO503" s="995"/>
      <c r="CP503" s="995"/>
      <c r="CQ503" s="995"/>
      <c r="CR503" s="995"/>
      <c r="CS503" s="995"/>
      <c r="CT503" s="995"/>
      <c r="CU503" s="995"/>
      <c r="CV503" s="995"/>
      <c r="CW503" s="995"/>
      <c r="CX503" s="995"/>
      <c r="CY503" s="995"/>
    </row>
    <row r="504" spans="1:103" s="995" customFormat="1" ht="87.5" x14ac:dyDescent="0.35">
      <c r="A504" s="1013">
        <v>2022498</v>
      </c>
      <c r="B504" s="1013">
        <v>7658</v>
      </c>
      <c r="C504" s="1013" t="s">
        <v>679</v>
      </c>
      <c r="D504" s="1045" t="s">
        <v>698</v>
      </c>
      <c r="E504" s="1046">
        <v>72101509</v>
      </c>
      <c r="F504" s="1016" t="s">
        <v>1559</v>
      </c>
      <c r="G504" s="1047" t="s">
        <v>1414</v>
      </c>
      <c r="H504" s="1141" t="s">
        <v>1424</v>
      </c>
      <c r="I504" s="1048" t="s">
        <v>1554</v>
      </c>
      <c r="J504" s="1049" t="s">
        <v>1560</v>
      </c>
      <c r="K504" s="1017" t="s">
        <v>674</v>
      </c>
      <c r="L504" s="1019" t="s">
        <v>981</v>
      </c>
      <c r="M504" s="1020">
        <v>300000000</v>
      </c>
      <c r="N504" s="1037" t="s">
        <v>724</v>
      </c>
      <c r="O504" s="1037" t="s">
        <v>1473</v>
      </c>
      <c r="P504" s="1037"/>
      <c r="Q504" s="1047">
        <v>44600</v>
      </c>
      <c r="R504" s="1022"/>
      <c r="S504" s="1130"/>
      <c r="T504" s="1156"/>
    </row>
    <row r="505" spans="1:103" s="995" customFormat="1" ht="87.5" x14ac:dyDescent="0.35">
      <c r="A505" s="1131">
        <v>2022499</v>
      </c>
      <c r="B505" s="1131">
        <v>7658</v>
      </c>
      <c r="C505" s="1131" t="s">
        <v>679</v>
      </c>
      <c r="D505" s="1139" t="s">
        <v>698</v>
      </c>
      <c r="E505" s="1145">
        <v>78111800</v>
      </c>
      <c r="F505" s="1134" t="s">
        <v>1129</v>
      </c>
      <c r="G505" s="1141" t="s">
        <v>1414</v>
      </c>
      <c r="H505" s="1141" t="s">
        <v>1424</v>
      </c>
      <c r="I505" s="1142" t="s">
        <v>1554</v>
      </c>
      <c r="J505" s="1143" t="s">
        <v>1475</v>
      </c>
      <c r="K505" s="1135" t="s">
        <v>674</v>
      </c>
      <c r="L505" s="1153" t="s">
        <v>1130</v>
      </c>
      <c r="M505" s="1136">
        <v>600000000</v>
      </c>
      <c r="N505" s="1151" t="s">
        <v>724</v>
      </c>
      <c r="O505" s="1151" t="s">
        <v>1473</v>
      </c>
      <c r="P505" s="1151"/>
      <c r="Q505" s="1135"/>
      <c r="R505" s="1130">
        <v>592</v>
      </c>
      <c r="S505" s="1130"/>
      <c r="T505" s="1156"/>
    </row>
    <row r="506" spans="1:103" s="995" customFormat="1" ht="87.5" x14ac:dyDescent="0.25">
      <c r="A506" s="1013">
        <v>2022500</v>
      </c>
      <c r="B506" s="1013">
        <v>7658</v>
      </c>
      <c r="C506" s="1096" t="s">
        <v>679</v>
      </c>
      <c r="D506" s="1045" t="s">
        <v>698</v>
      </c>
      <c r="E506" s="1046"/>
      <c r="F506" s="1016" t="s">
        <v>1131</v>
      </c>
      <c r="G506" s="1047" t="s">
        <v>1414</v>
      </c>
      <c r="H506" s="1047" t="s">
        <v>1424</v>
      </c>
      <c r="I506" s="1048" t="s">
        <v>1554</v>
      </c>
      <c r="J506" s="1095"/>
      <c r="K506" s="1017" t="s">
        <v>674</v>
      </c>
      <c r="L506" s="1097" t="s">
        <v>675</v>
      </c>
      <c r="M506" s="1020">
        <f>93500000-7475000-10000000</f>
        <v>76025000</v>
      </c>
      <c r="N506" s="1037" t="s">
        <v>1551</v>
      </c>
      <c r="O506" s="1037" t="s">
        <v>1473</v>
      </c>
      <c r="P506" s="1037"/>
      <c r="Q506" s="1047">
        <v>44600</v>
      </c>
      <c r="R506" s="1022"/>
      <c r="S506" s="1130"/>
      <c r="T506" s="1156"/>
    </row>
    <row r="507" spans="1:103" s="995" customFormat="1" ht="87.5" x14ac:dyDescent="0.35">
      <c r="A507" s="1013">
        <v>2022501</v>
      </c>
      <c r="B507" s="1013">
        <v>7658</v>
      </c>
      <c r="C507" s="1096" t="s">
        <v>679</v>
      </c>
      <c r="D507" s="1045" t="s">
        <v>698</v>
      </c>
      <c r="E507" s="1046" t="s">
        <v>1132</v>
      </c>
      <c r="F507" s="1016" t="s">
        <v>1133</v>
      </c>
      <c r="G507" s="1047" t="s">
        <v>1414</v>
      </c>
      <c r="H507" s="1047" t="s">
        <v>1424</v>
      </c>
      <c r="I507" s="1048" t="s">
        <v>1554</v>
      </c>
      <c r="J507" s="1049" t="s">
        <v>1326</v>
      </c>
      <c r="K507" s="1017" t="s">
        <v>770</v>
      </c>
      <c r="L507" s="1019" t="s">
        <v>1492</v>
      </c>
      <c r="M507" s="1020">
        <v>437560000</v>
      </c>
      <c r="N507" s="1037" t="s">
        <v>724</v>
      </c>
      <c r="O507" s="1037" t="s">
        <v>1473</v>
      </c>
      <c r="P507" s="1037"/>
      <c r="Q507" s="1017"/>
      <c r="R507" s="1022"/>
      <c r="S507" s="1130"/>
      <c r="T507" s="1156"/>
    </row>
    <row r="508" spans="1:103" s="995" customFormat="1" ht="100" x14ac:dyDescent="0.35">
      <c r="A508" s="1023">
        <v>2022502</v>
      </c>
      <c r="B508" s="1023">
        <v>7658</v>
      </c>
      <c r="C508" s="1098" t="s">
        <v>679</v>
      </c>
      <c r="D508" s="1039" t="s">
        <v>698</v>
      </c>
      <c r="E508" s="1040">
        <v>80111600</v>
      </c>
      <c r="F508" s="1026" t="s">
        <v>1134</v>
      </c>
      <c r="G508" s="1041" t="s">
        <v>1414</v>
      </c>
      <c r="H508" s="1028" t="s">
        <v>1414</v>
      </c>
      <c r="I508" s="1042" t="s">
        <v>1467</v>
      </c>
      <c r="J508" s="1043" t="s">
        <v>1455</v>
      </c>
      <c r="K508" s="1027" t="s">
        <v>674</v>
      </c>
      <c r="L508" s="1029" t="s">
        <v>675</v>
      </c>
      <c r="M508" s="1030">
        <v>98900000</v>
      </c>
      <c r="N508" s="1083" t="s">
        <v>724</v>
      </c>
      <c r="O508" s="1083" t="s">
        <v>1473</v>
      </c>
      <c r="P508" s="1083"/>
      <c r="Q508" s="1027"/>
      <c r="R508" s="1022"/>
      <c r="S508" s="1130">
        <v>127</v>
      </c>
      <c r="T508" s="1156">
        <v>94600000</v>
      </c>
    </row>
    <row r="509" spans="1:103" s="995" customFormat="1" ht="87.5" x14ac:dyDescent="0.35">
      <c r="A509" s="1023">
        <v>2022503</v>
      </c>
      <c r="B509" s="1023">
        <v>7658</v>
      </c>
      <c r="C509" s="1098" t="s">
        <v>679</v>
      </c>
      <c r="D509" s="1039" t="s">
        <v>698</v>
      </c>
      <c r="E509" s="1040">
        <v>80111600</v>
      </c>
      <c r="F509" s="1026" t="s">
        <v>1135</v>
      </c>
      <c r="G509" s="1041" t="s">
        <v>1414</v>
      </c>
      <c r="H509" s="1028" t="s">
        <v>1414</v>
      </c>
      <c r="I509" s="1042" t="s">
        <v>1467</v>
      </c>
      <c r="J509" s="1043" t="s">
        <v>1455</v>
      </c>
      <c r="K509" s="1027" t="s">
        <v>674</v>
      </c>
      <c r="L509" s="1029" t="s">
        <v>675</v>
      </c>
      <c r="M509" s="1030">
        <v>97175000</v>
      </c>
      <c r="N509" s="1083" t="s">
        <v>724</v>
      </c>
      <c r="O509" s="1083" t="s">
        <v>1473</v>
      </c>
      <c r="P509" s="1083"/>
      <c r="Q509" s="1027"/>
      <c r="R509" s="1022"/>
      <c r="S509" s="1130">
        <v>75</v>
      </c>
      <c r="T509" s="1156">
        <v>92950000</v>
      </c>
    </row>
    <row r="510" spans="1:103" s="995" customFormat="1" ht="87.5" x14ac:dyDescent="0.35">
      <c r="A510" s="1023">
        <v>2022504</v>
      </c>
      <c r="B510" s="1023">
        <v>7658</v>
      </c>
      <c r="C510" s="1098" t="s">
        <v>679</v>
      </c>
      <c r="D510" s="1039" t="s">
        <v>698</v>
      </c>
      <c r="E510" s="1040">
        <v>80111600</v>
      </c>
      <c r="F510" s="1026" t="s">
        <v>1136</v>
      </c>
      <c r="G510" s="1041" t="s">
        <v>1414</v>
      </c>
      <c r="H510" s="1028" t="s">
        <v>1414</v>
      </c>
      <c r="I510" s="1042" t="s">
        <v>1467</v>
      </c>
      <c r="J510" s="1043" t="s">
        <v>1455</v>
      </c>
      <c r="K510" s="1027" t="s">
        <v>674</v>
      </c>
      <c r="L510" s="1029" t="s">
        <v>782</v>
      </c>
      <c r="M510" s="1030">
        <v>103500000</v>
      </c>
      <c r="N510" s="1083" t="s">
        <v>724</v>
      </c>
      <c r="O510" s="1083" t="s">
        <v>1473</v>
      </c>
      <c r="P510" s="1083"/>
      <c r="Q510" s="1027"/>
      <c r="R510" s="1022"/>
      <c r="S510" s="1130">
        <v>303</v>
      </c>
      <c r="T510" s="1156">
        <v>99000000</v>
      </c>
    </row>
    <row r="511" spans="1:103" s="995" customFormat="1" ht="87.5" x14ac:dyDescent="0.35">
      <c r="A511" s="1023">
        <v>2022505</v>
      </c>
      <c r="B511" s="1023">
        <v>7658</v>
      </c>
      <c r="C511" s="1098" t="s">
        <v>679</v>
      </c>
      <c r="D511" s="1039" t="s">
        <v>698</v>
      </c>
      <c r="E511" s="1040">
        <v>80111600</v>
      </c>
      <c r="F511" s="1026" t="s">
        <v>1137</v>
      </c>
      <c r="G511" s="1041" t="s">
        <v>1414</v>
      </c>
      <c r="H511" s="1028" t="s">
        <v>1414</v>
      </c>
      <c r="I511" s="1042" t="s">
        <v>1467</v>
      </c>
      <c r="J511" s="1043" t="s">
        <v>1455</v>
      </c>
      <c r="K511" s="1027" t="s">
        <v>674</v>
      </c>
      <c r="L511" s="1029" t="s">
        <v>675</v>
      </c>
      <c r="M511" s="1030">
        <v>94760000</v>
      </c>
      <c r="N511" s="1083" t="s">
        <v>1551</v>
      </c>
      <c r="O511" s="1083" t="s">
        <v>1473</v>
      </c>
      <c r="P511" s="1083"/>
      <c r="Q511" s="1027"/>
      <c r="R511" s="1022"/>
      <c r="S511" s="1130">
        <v>455</v>
      </c>
      <c r="T511" s="1156">
        <v>90640000</v>
      </c>
    </row>
    <row r="512" spans="1:103" s="995" customFormat="1" ht="87.5" x14ac:dyDescent="0.35">
      <c r="A512" s="1023">
        <v>2022506</v>
      </c>
      <c r="B512" s="1023">
        <v>7658</v>
      </c>
      <c r="C512" s="1098" t="s">
        <v>679</v>
      </c>
      <c r="D512" s="1039" t="s">
        <v>698</v>
      </c>
      <c r="E512" s="1040">
        <v>80111600</v>
      </c>
      <c r="F512" s="1026" t="s">
        <v>1138</v>
      </c>
      <c r="G512" s="1041" t="s">
        <v>1414</v>
      </c>
      <c r="H512" s="1028" t="s">
        <v>1414</v>
      </c>
      <c r="I512" s="1042" t="s">
        <v>1467</v>
      </c>
      <c r="J512" s="1043" t="s">
        <v>1455</v>
      </c>
      <c r="K512" s="1027" t="s">
        <v>674</v>
      </c>
      <c r="L512" s="1027" t="s">
        <v>675</v>
      </c>
      <c r="M512" s="1030">
        <f>97175000-20700000-13225000</f>
        <v>63250000</v>
      </c>
      <c r="N512" s="1083" t="s">
        <v>724</v>
      </c>
      <c r="O512" s="1083" t="s">
        <v>1473</v>
      </c>
      <c r="P512" s="1083"/>
      <c r="Q512" s="1027"/>
      <c r="R512" s="1022"/>
      <c r="S512" s="1130">
        <v>442</v>
      </c>
      <c r="T512" s="1156">
        <v>60500000</v>
      </c>
    </row>
    <row r="513" spans="1:20" s="995" customFormat="1" ht="87.5" x14ac:dyDescent="0.35">
      <c r="A513" s="1023">
        <v>2022507</v>
      </c>
      <c r="B513" s="1023">
        <v>7658</v>
      </c>
      <c r="C513" s="1098" t="s">
        <v>679</v>
      </c>
      <c r="D513" s="1039" t="s">
        <v>698</v>
      </c>
      <c r="E513" s="1040">
        <v>80111600</v>
      </c>
      <c r="F513" s="1026" t="s">
        <v>1139</v>
      </c>
      <c r="G513" s="1041" t="s">
        <v>1414</v>
      </c>
      <c r="H513" s="1028" t="s">
        <v>1414</v>
      </c>
      <c r="I513" s="1042" t="s">
        <v>1467</v>
      </c>
      <c r="J513" s="1043" t="s">
        <v>1455</v>
      </c>
      <c r="K513" s="1027" t="s">
        <v>674</v>
      </c>
      <c r="L513" s="1029" t="s">
        <v>675</v>
      </c>
      <c r="M513" s="1030">
        <v>82915000</v>
      </c>
      <c r="N513" s="1083" t="s">
        <v>724</v>
      </c>
      <c r="O513" s="1083" t="s">
        <v>1473</v>
      </c>
      <c r="P513" s="1083"/>
      <c r="Q513" s="1027"/>
      <c r="R513" s="1022"/>
      <c r="S513" s="1130">
        <v>383</v>
      </c>
      <c r="T513" s="1156">
        <v>79310000</v>
      </c>
    </row>
    <row r="514" spans="1:20" s="995" customFormat="1" ht="87.5" x14ac:dyDescent="0.35">
      <c r="A514" s="1023">
        <v>2022508</v>
      </c>
      <c r="B514" s="1023">
        <v>7658</v>
      </c>
      <c r="C514" s="1098" t="s">
        <v>679</v>
      </c>
      <c r="D514" s="1039" t="s">
        <v>698</v>
      </c>
      <c r="E514" s="1040">
        <v>80111600</v>
      </c>
      <c r="F514" s="1026" t="s">
        <v>1140</v>
      </c>
      <c r="G514" s="1041" t="s">
        <v>1414</v>
      </c>
      <c r="H514" s="1028" t="s">
        <v>1414</v>
      </c>
      <c r="I514" s="1042" t="s">
        <v>1467</v>
      </c>
      <c r="J514" s="1043" t="s">
        <v>1455</v>
      </c>
      <c r="K514" s="1027" t="s">
        <v>674</v>
      </c>
      <c r="L514" s="1029" t="s">
        <v>675</v>
      </c>
      <c r="M514" s="1030">
        <v>32200000</v>
      </c>
      <c r="N514" s="1083" t="s">
        <v>724</v>
      </c>
      <c r="O514" s="1083" t="s">
        <v>1473</v>
      </c>
      <c r="P514" s="1083"/>
      <c r="Q514" s="1027"/>
      <c r="R514" s="1022"/>
      <c r="S514" s="1130">
        <v>111</v>
      </c>
      <c r="T514" s="1156">
        <v>16800000</v>
      </c>
    </row>
    <row r="515" spans="1:20" s="995" customFormat="1" ht="87.5" x14ac:dyDescent="0.35">
      <c r="A515" s="1023">
        <v>2022509</v>
      </c>
      <c r="B515" s="1023">
        <v>7658</v>
      </c>
      <c r="C515" s="1098" t="s">
        <v>679</v>
      </c>
      <c r="D515" s="1039" t="s">
        <v>698</v>
      </c>
      <c r="E515" s="1040">
        <v>80111600</v>
      </c>
      <c r="F515" s="1026" t="s">
        <v>1141</v>
      </c>
      <c r="G515" s="1041" t="s">
        <v>1414</v>
      </c>
      <c r="H515" s="1028" t="s">
        <v>1414</v>
      </c>
      <c r="I515" s="1042" t="s">
        <v>1467</v>
      </c>
      <c r="J515" s="1043" t="s">
        <v>1455</v>
      </c>
      <c r="K515" s="1027" t="s">
        <v>674</v>
      </c>
      <c r="L515" s="1029" t="s">
        <v>675</v>
      </c>
      <c r="M515" s="1030">
        <v>36685000</v>
      </c>
      <c r="N515" s="1083" t="s">
        <v>1551</v>
      </c>
      <c r="O515" s="1083" t="s">
        <v>1473</v>
      </c>
      <c r="P515" s="1083"/>
      <c r="Q515" s="1027"/>
      <c r="R515" s="1022"/>
      <c r="S515" s="1130">
        <v>233</v>
      </c>
      <c r="T515" s="1156">
        <v>35090000</v>
      </c>
    </row>
    <row r="516" spans="1:20" s="995" customFormat="1" ht="87.5" x14ac:dyDescent="0.35">
      <c r="A516" s="1023">
        <v>2022510</v>
      </c>
      <c r="B516" s="1023">
        <v>7658</v>
      </c>
      <c r="C516" s="1098" t="s">
        <v>679</v>
      </c>
      <c r="D516" s="1039" t="s">
        <v>698</v>
      </c>
      <c r="E516" s="1040">
        <v>80111600</v>
      </c>
      <c r="F516" s="1026" t="s">
        <v>1142</v>
      </c>
      <c r="G516" s="1041" t="s">
        <v>1414</v>
      </c>
      <c r="H516" s="1028" t="s">
        <v>1414</v>
      </c>
      <c r="I516" s="1042" t="s">
        <v>1467</v>
      </c>
      <c r="J516" s="1043" t="s">
        <v>1455</v>
      </c>
      <c r="K516" s="1027" t="s">
        <v>674</v>
      </c>
      <c r="L516" s="1029" t="s">
        <v>675</v>
      </c>
      <c r="M516" s="1030">
        <v>97175000</v>
      </c>
      <c r="N516" s="1083" t="s">
        <v>1551</v>
      </c>
      <c r="O516" s="1083" t="s">
        <v>1473</v>
      </c>
      <c r="P516" s="1083"/>
      <c r="Q516" s="1027"/>
      <c r="R516" s="1022"/>
      <c r="S516" s="1130">
        <v>69</v>
      </c>
      <c r="T516" s="1156">
        <v>92950000</v>
      </c>
    </row>
    <row r="517" spans="1:20" s="995" customFormat="1" ht="87.5" x14ac:dyDescent="0.35">
      <c r="A517" s="1023">
        <v>2022511</v>
      </c>
      <c r="B517" s="1023">
        <v>7658</v>
      </c>
      <c r="C517" s="1098" t="s">
        <v>679</v>
      </c>
      <c r="D517" s="1039" t="s">
        <v>698</v>
      </c>
      <c r="E517" s="1040">
        <v>80111600</v>
      </c>
      <c r="F517" s="1026" t="s">
        <v>1143</v>
      </c>
      <c r="G517" s="1041" t="s">
        <v>1414</v>
      </c>
      <c r="H517" s="1028" t="s">
        <v>1414</v>
      </c>
      <c r="I517" s="1042" t="s">
        <v>1467</v>
      </c>
      <c r="J517" s="1043" t="s">
        <v>1455</v>
      </c>
      <c r="K517" s="1027" t="s">
        <v>674</v>
      </c>
      <c r="L517" s="1029" t="s">
        <v>675</v>
      </c>
      <c r="M517" s="1030">
        <v>45655000</v>
      </c>
      <c r="N517" s="1083" t="s">
        <v>1551</v>
      </c>
      <c r="O517" s="1083" t="s">
        <v>1473</v>
      </c>
      <c r="P517" s="1083"/>
      <c r="Q517" s="1027"/>
      <c r="R517" s="1022"/>
      <c r="S517" s="1130">
        <v>148</v>
      </c>
      <c r="T517" s="1156">
        <v>43670000</v>
      </c>
    </row>
    <row r="518" spans="1:20" s="995" customFormat="1" ht="87.5" x14ac:dyDescent="0.35">
      <c r="A518" s="1023">
        <v>2022512</v>
      </c>
      <c r="B518" s="1023">
        <v>7658</v>
      </c>
      <c r="C518" s="1098" t="s">
        <v>679</v>
      </c>
      <c r="D518" s="1039" t="s">
        <v>698</v>
      </c>
      <c r="E518" s="1040">
        <v>80111600</v>
      </c>
      <c r="F518" s="1026" t="s">
        <v>1139</v>
      </c>
      <c r="G518" s="1041" t="s">
        <v>1414</v>
      </c>
      <c r="H518" s="1028" t="s">
        <v>1414</v>
      </c>
      <c r="I518" s="1042" t="s">
        <v>1467</v>
      </c>
      <c r="J518" s="1043" t="s">
        <v>1455</v>
      </c>
      <c r="K518" s="1027" t="s">
        <v>674</v>
      </c>
      <c r="L518" s="1029" t="s">
        <v>675</v>
      </c>
      <c r="M518" s="1030">
        <v>82915000</v>
      </c>
      <c r="N518" s="1083" t="s">
        <v>724</v>
      </c>
      <c r="O518" s="1083" t="s">
        <v>1473</v>
      </c>
      <c r="P518" s="1083"/>
      <c r="Q518" s="1027"/>
      <c r="R518" s="1022"/>
      <c r="S518" s="1130">
        <v>276</v>
      </c>
      <c r="T518" s="1156">
        <v>79310000</v>
      </c>
    </row>
    <row r="519" spans="1:20" s="995" customFormat="1" ht="87.5" x14ac:dyDescent="0.35">
      <c r="A519" s="1023">
        <v>2022513</v>
      </c>
      <c r="B519" s="1023">
        <v>7658</v>
      </c>
      <c r="C519" s="1098" t="s">
        <v>679</v>
      </c>
      <c r="D519" s="1039" t="s">
        <v>698</v>
      </c>
      <c r="E519" s="1040">
        <v>80111600</v>
      </c>
      <c r="F519" s="1026" t="s">
        <v>1561</v>
      </c>
      <c r="G519" s="1041" t="s">
        <v>1414</v>
      </c>
      <c r="H519" s="1028" t="s">
        <v>1414</v>
      </c>
      <c r="I519" s="1042" t="s">
        <v>1467</v>
      </c>
      <c r="J519" s="1043" t="s">
        <v>1455</v>
      </c>
      <c r="K519" s="1027" t="s">
        <v>674</v>
      </c>
      <c r="L519" s="1029" t="s">
        <v>675</v>
      </c>
      <c r="M519" s="1030">
        <v>28175000</v>
      </c>
      <c r="N519" s="1083" t="s">
        <v>724</v>
      </c>
      <c r="O519" s="1083" t="s">
        <v>1473</v>
      </c>
      <c r="P519" s="1083"/>
      <c r="Q519" s="1027"/>
      <c r="R519" s="1022"/>
      <c r="S519" s="1130">
        <v>399</v>
      </c>
      <c r="T519" s="1156">
        <v>26950000</v>
      </c>
    </row>
    <row r="520" spans="1:20" s="995" customFormat="1" ht="87.5" x14ac:dyDescent="0.35">
      <c r="A520" s="1023">
        <v>2022514</v>
      </c>
      <c r="B520" s="1023">
        <v>7658</v>
      </c>
      <c r="C520" s="1098" t="s">
        <v>679</v>
      </c>
      <c r="D520" s="1039" t="s">
        <v>698</v>
      </c>
      <c r="E520" s="1040">
        <v>80111600</v>
      </c>
      <c r="F520" s="1026" t="s">
        <v>1145</v>
      </c>
      <c r="G520" s="1041" t="s">
        <v>1414</v>
      </c>
      <c r="H520" s="1028" t="s">
        <v>1414</v>
      </c>
      <c r="I520" s="1042" t="s">
        <v>1467</v>
      </c>
      <c r="J520" s="1043" t="s">
        <v>1455</v>
      </c>
      <c r="K520" s="1027" t="s">
        <v>674</v>
      </c>
      <c r="L520" s="1029" t="s">
        <v>675</v>
      </c>
      <c r="M520" s="1030">
        <v>45655000</v>
      </c>
      <c r="N520" s="1083" t="s">
        <v>1551</v>
      </c>
      <c r="O520" s="1083" t="s">
        <v>1473</v>
      </c>
      <c r="P520" s="1083"/>
      <c r="Q520" s="1027"/>
      <c r="R520" s="1022"/>
      <c r="S520" s="1130">
        <v>365</v>
      </c>
      <c r="T520" s="1156">
        <v>43670000</v>
      </c>
    </row>
    <row r="521" spans="1:20" s="995" customFormat="1" ht="87.5" x14ac:dyDescent="0.35">
      <c r="A521" s="1023">
        <v>2022515</v>
      </c>
      <c r="B521" s="1023">
        <v>7658</v>
      </c>
      <c r="C521" s="1098" t="s">
        <v>679</v>
      </c>
      <c r="D521" s="1039" t="s">
        <v>698</v>
      </c>
      <c r="E521" s="1040">
        <v>80111600</v>
      </c>
      <c r="F521" s="1026" t="s">
        <v>1146</v>
      </c>
      <c r="G521" s="1041" t="s">
        <v>1414</v>
      </c>
      <c r="H521" s="1028" t="s">
        <v>1414</v>
      </c>
      <c r="I521" s="1042" t="s">
        <v>1467</v>
      </c>
      <c r="J521" s="1043" t="s">
        <v>1455</v>
      </c>
      <c r="K521" s="1027" t="s">
        <v>674</v>
      </c>
      <c r="L521" s="1029" t="s">
        <v>675</v>
      </c>
      <c r="M521" s="1030">
        <v>36685000</v>
      </c>
      <c r="N521" s="1083" t="s">
        <v>724</v>
      </c>
      <c r="O521" s="1083" t="s">
        <v>1473</v>
      </c>
      <c r="P521" s="1083"/>
      <c r="Q521" s="1027"/>
      <c r="R521" s="1022"/>
      <c r="S521" s="1130">
        <v>263</v>
      </c>
      <c r="T521" s="1156">
        <v>35090000</v>
      </c>
    </row>
    <row r="522" spans="1:20" s="995" customFormat="1" ht="87.5" x14ac:dyDescent="0.35">
      <c r="A522" s="1023">
        <v>2022516</v>
      </c>
      <c r="B522" s="1023">
        <v>7658</v>
      </c>
      <c r="C522" s="1098" t="s">
        <v>679</v>
      </c>
      <c r="D522" s="1039" t="s">
        <v>698</v>
      </c>
      <c r="E522" s="1040">
        <v>80111600</v>
      </c>
      <c r="F522" s="1026" t="s">
        <v>1147</v>
      </c>
      <c r="G522" s="1041" t="s">
        <v>1414</v>
      </c>
      <c r="H522" s="1028" t="s">
        <v>1414</v>
      </c>
      <c r="I522" s="1042" t="s">
        <v>1467</v>
      </c>
      <c r="J522" s="1043" t="s">
        <v>1455</v>
      </c>
      <c r="K522" s="1027" t="s">
        <v>674</v>
      </c>
      <c r="L522" s="1029" t="s">
        <v>675</v>
      </c>
      <c r="M522" s="1030">
        <v>28175000</v>
      </c>
      <c r="N522" s="1083" t="s">
        <v>1551</v>
      </c>
      <c r="O522" s="1083" t="s">
        <v>1473</v>
      </c>
      <c r="P522" s="1083"/>
      <c r="Q522" s="1027"/>
      <c r="R522" s="1022"/>
      <c r="S522" s="1130">
        <v>139</v>
      </c>
      <c r="T522" s="1156">
        <v>26950000</v>
      </c>
    </row>
    <row r="523" spans="1:20" s="995" customFormat="1" ht="87.5" x14ac:dyDescent="0.35">
      <c r="A523" s="1023">
        <v>2022517</v>
      </c>
      <c r="B523" s="1023">
        <v>7658</v>
      </c>
      <c r="C523" s="1098" t="s">
        <v>679</v>
      </c>
      <c r="D523" s="1039" t="s">
        <v>698</v>
      </c>
      <c r="E523" s="1040">
        <v>80111600</v>
      </c>
      <c r="F523" s="1026" t="s">
        <v>1148</v>
      </c>
      <c r="G523" s="1041" t="s">
        <v>1414</v>
      </c>
      <c r="H523" s="1028" t="s">
        <v>1414</v>
      </c>
      <c r="I523" s="1042" t="s">
        <v>1467</v>
      </c>
      <c r="J523" s="1043" t="s">
        <v>1455</v>
      </c>
      <c r="K523" s="1027" t="s">
        <v>674</v>
      </c>
      <c r="L523" s="1029" t="s">
        <v>675</v>
      </c>
      <c r="M523" s="1030">
        <v>36685000</v>
      </c>
      <c r="N523" s="1083" t="s">
        <v>724</v>
      </c>
      <c r="O523" s="1083" t="s">
        <v>1473</v>
      </c>
      <c r="P523" s="1083"/>
      <c r="Q523" s="1027"/>
      <c r="R523" s="1022"/>
      <c r="S523" s="1130">
        <v>364</v>
      </c>
      <c r="T523" s="1156">
        <v>35090000</v>
      </c>
    </row>
    <row r="524" spans="1:20" s="995" customFormat="1" ht="112.5" x14ac:dyDescent="0.35">
      <c r="A524" s="1023">
        <v>2022518</v>
      </c>
      <c r="B524" s="1023">
        <v>7658</v>
      </c>
      <c r="C524" s="1098" t="s">
        <v>679</v>
      </c>
      <c r="D524" s="1039" t="s">
        <v>698</v>
      </c>
      <c r="E524" s="1040">
        <v>80111600</v>
      </c>
      <c r="F524" s="1026" t="s">
        <v>1149</v>
      </c>
      <c r="G524" s="1041" t="s">
        <v>1414</v>
      </c>
      <c r="H524" s="1028" t="s">
        <v>1414</v>
      </c>
      <c r="I524" s="1042" t="s">
        <v>1467</v>
      </c>
      <c r="J524" s="1043" t="s">
        <v>1455</v>
      </c>
      <c r="K524" s="1027" t="s">
        <v>674</v>
      </c>
      <c r="L524" s="1027" t="s">
        <v>675</v>
      </c>
      <c r="M524" s="1030">
        <v>51750000</v>
      </c>
      <c r="N524" s="1083" t="s">
        <v>724</v>
      </c>
      <c r="O524" s="1083" t="s">
        <v>1473</v>
      </c>
      <c r="P524" s="1083"/>
      <c r="Q524" s="1027"/>
      <c r="R524" s="1022"/>
      <c r="S524" s="1130">
        <v>234</v>
      </c>
      <c r="T524" s="1156">
        <v>51700000</v>
      </c>
    </row>
    <row r="525" spans="1:20" s="995" customFormat="1" ht="112.5" x14ac:dyDescent="0.35">
      <c r="A525" s="1023">
        <v>2022519</v>
      </c>
      <c r="B525" s="1023">
        <v>7658</v>
      </c>
      <c r="C525" s="1098" t="s">
        <v>679</v>
      </c>
      <c r="D525" s="1039" t="s">
        <v>698</v>
      </c>
      <c r="E525" s="1040">
        <v>80111600</v>
      </c>
      <c r="F525" s="1026" t="s">
        <v>1150</v>
      </c>
      <c r="G525" s="1041" t="s">
        <v>1414</v>
      </c>
      <c r="H525" s="1028" t="s">
        <v>1414</v>
      </c>
      <c r="I525" s="1042" t="s">
        <v>1467</v>
      </c>
      <c r="J525" s="1043" t="s">
        <v>1455</v>
      </c>
      <c r="K525" s="1027" t="s">
        <v>674</v>
      </c>
      <c r="L525" s="1029" t="s">
        <v>675</v>
      </c>
      <c r="M525" s="1030">
        <v>54050000</v>
      </c>
      <c r="N525" s="1083" t="s">
        <v>1551</v>
      </c>
      <c r="O525" s="1083" t="s">
        <v>1473</v>
      </c>
      <c r="P525" s="1083"/>
      <c r="Q525" s="1027"/>
      <c r="R525" s="1022"/>
      <c r="S525" s="1130">
        <v>165</v>
      </c>
      <c r="T525" s="1156">
        <v>49500000</v>
      </c>
    </row>
    <row r="526" spans="1:20" s="995" customFormat="1" ht="87.5" x14ac:dyDescent="0.35">
      <c r="A526" s="1023">
        <v>2022520</v>
      </c>
      <c r="B526" s="1023">
        <v>7658</v>
      </c>
      <c r="C526" s="1098" t="s">
        <v>679</v>
      </c>
      <c r="D526" s="1039" t="s">
        <v>698</v>
      </c>
      <c r="E526" s="1040">
        <v>80111600</v>
      </c>
      <c r="F526" s="1026" t="s">
        <v>1151</v>
      </c>
      <c r="G526" s="1041" t="s">
        <v>1414</v>
      </c>
      <c r="H526" s="1028" t="s">
        <v>1414</v>
      </c>
      <c r="I526" s="1042" t="s">
        <v>1467</v>
      </c>
      <c r="J526" s="1043" t="s">
        <v>1455</v>
      </c>
      <c r="K526" s="1027" t="s">
        <v>674</v>
      </c>
      <c r="L526" s="1029" t="s">
        <v>675</v>
      </c>
      <c r="M526" s="1030">
        <v>51750000</v>
      </c>
      <c r="N526" s="1083" t="s">
        <v>724</v>
      </c>
      <c r="O526" s="1083" t="s">
        <v>1473</v>
      </c>
      <c r="P526" s="1083"/>
      <c r="Q526" s="1027"/>
      <c r="R526" s="1022"/>
      <c r="S526" s="1130">
        <v>220</v>
      </c>
      <c r="T526" s="1156">
        <v>49500000</v>
      </c>
    </row>
    <row r="527" spans="1:20" s="995" customFormat="1" ht="87.5" x14ac:dyDescent="0.35">
      <c r="A527" s="1023">
        <v>2022521</v>
      </c>
      <c r="B527" s="1023">
        <v>7658</v>
      </c>
      <c r="C527" s="1098" t="s">
        <v>679</v>
      </c>
      <c r="D527" s="1039" t="s">
        <v>698</v>
      </c>
      <c r="E527" s="1040">
        <v>80111600</v>
      </c>
      <c r="F527" s="1026" t="s">
        <v>1152</v>
      </c>
      <c r="G527" s="1041" t="s">
        <v>1414</v>
      </c>
      <c r="H527" s="1028" t="s">
        <v>1414</v>
      </c>
      <c r="I527" s="1042" t="s">
        <v>1467</v>
      </c>
      <c r="J527" s="1043" t="s">
        <v>1455</v>
      </c>
      <c r="K527" s="1027" t="s">
        <v>674</v>
      </c>
      <c r="L527" s="1029" t="s">
        <v>675</v>
      </c>
      <c r="M527" s="1030">
        <v>45655000</v>
      </c>
      <c r="N527" s="1083" t="s">
        <v>724</v>
      </c>
      <c r="O527" s="1083" t="s">
        <v>1473</v>
      </c>
      <c r="P527" s="1083"/>
      <c r="Q527" s="1027"/>
      <c r="R527" s="1022"/>
      <c r="S527" s="1130">
        <v>384</v>
      </c>
      <c r="T527" s="1156">
        <v>43670000</v>
      </c>
    </row>
    <row r="528" spans="1:20" s="995" customFormat="1" ht="87.5" x14ac:dyDescent="0.35">
      <c r="A528" s="1023">
        <v>2022522</v>
      </c>
      <c r="B528" s="1023">
        <v>7658</v>
      </c>
      <c r="C528" s="1098" t="s">
        <v>679</v>
      </c>
      <c r="D528" s="1039" t="s">
        <v>698</v>
      </c>
      <c r="E528" s="1040">
        <v>80111600</v>
      </c>
      <c r="F528" s="1026" t="s">
        <v>1139</v>
      </c>
      <c r="G528" s="1041" t="s">
        <v>1414</v>
      </c>
      <c r="H528" s="1028" t="s">
        <v>1414</v>
      </c>
      <c r="I528" s="1042" t="s">
        <v>1467</v>
      </c>
      <c r="J528" s="1043" t="s">
        <v>1455</v>
      </c>
      <c r="K528" s="1027" t="s">
        <v>674</v>
      </c>
      <c r="L528" s="1029" t="s">
        <v>675</v>
      </c>
      <c r="M528" s="1030">
        <v>82915000</v>
      </c>
      <c r="N528" s="1083" t="s">
        <v>724</v>
      </c>
      <c r="O528" s="1083" t="s">
        <v>1473</v>
      </c>
      <c r="P528" s="1083"/>
      <c r="Q528" s="1027"/>
      <c r="R528" s="1022"/>
      <c r="S528" s="1130">
        <v>114</v>
      </c>
      <c r="T528" s="1156">
        <v>79310000</v>
      </c>
    </row>
    <row r="529" spans="1:20" s="995" customFormat="1" ht="87.5" x14ac:dyDescent="0.35">
      <c r="A529" s="1023">
        <v>2022523</v>
      </c>
      <c r="B529" s="1023">
        <v>7658</v>
      </c>
      <c r="C529" s="1098" t="s">
        <v>679</v>
      </c>
      <c r="D529" s="1039" t="s">
        <v>698</v>
      </c>
      <c r="E529" s="1040">
        <v>80111600</v>
      </c>
      <c r="F529" s="1026" t="s">
        <v>1153</v>
      </c>
      <c r="G529" s="1041" t="s">
        <v>1414</v>
      </c>
      <c r="H529" s="1028" t="s">
        <v>1414</v>
      </c>
      <c r="I529" s="1042" t="s">
        <v>1467</v>
      </c>
      <c r="J529" s="1043" t="s">
        <v>1455</v>
      </c>
      <c r="K529" s="1027" t="s">
        <v>674</v>
      </c>
      <c r="L529" s="1029" t="s">
        <v>782</v>
      </c>
      <c r="M529" s="1030">
        <v>54510000</v>
      </c>
      <c r="N529" s="1083" t="s">
        <v>1551</v>
      </c>
      <c r="O529" s="1083" t="s">
        <v>1473</v>
      </c>
      <c r="P529" s="1083"/>
      <c r="Q529" s="1027"/>
      <c r="R529" s="1022"/>
      <c r="S529" s="1130">
        <v>302</v>
      </c>
      <c r="T529" s="1156">
        <v>84700000</v>
      </c>
    </row>
    <row r="530" spans="1:20" s="995" customFormat="1" ht="87.5" x14ac:dyDescent="0.35">
      <c r="A530" s="1023">
        <v>2022524</v>
      </c>
      <c r="B530" s="1023">
        <v>7658</v>
      </c>
      <c r="C530" s="1098" t="s">
        <v>679</v>
      </c>
      <c r="D530" s="1039" t="s">
        <v>698</v>
      </c>
      <c r="E530" s="1040">
        <v>80111600</v>
      </c>
      <c r="F530" s="1026" t="s">
        <v>1154</v>
      </c>
      <c r="G530" s="1041" t="s">
        <v>1414</v>
      </c>
      <c r="H530" s="1028" t="s">
        <v>1414</v>
      </c>
      <c r="I530" s="1042" t="s">
        <v>1467</v>
      </c>
      <c r="J530" s="1043" t="s">
        <v>1455</v>
      </c>
      <c r="K530" s="1027" t="s">
        <v>674</v>
      </c>
      <c r="L530" s="1029" t="s">
        <v>675</v>
      </c>
      <c r="M530" s="1030">
        <v>36685000</v>
      </c>
      <c r="N530" s="1083" t="s">
        <v>724</v>
      </c>
      <c r="O530" s="1083" t="s">
        <v>1473</v>
      </c>
      <c r="P530" s="1083"/>
      <c r="Q530" s="1027"/>
      <c r="R530" s="1022"/>
      <c r="S530" s="1130">
        <v>480</v>
      </c>
      <c r="T530" s="1156">
        <v>35090000</v>
      </c>
    </row>
    <row r="531" spans="1:20" s="995" customFormat="1" ht="87.5" x14ac:dyDescent="0.35">
      <c r="A531" s="1023">
        <v>2022525</v>
      </c>
      <c r="B531" s="1023">
        <v>7658</v>
      </c>
      <c r="C531" s="1098" t="s">
        <v>679</v>
      </c>
      <c r="D531" s="1039" t="s">
        <v>698</v>
      </c>
      <c r="E531" s="1040">
        <v>80111600</v>
      </c>
      <c r="F531" s="1026" t="s">
        <v>1155</v>
      </c>
      <c r="G531" s="1041" t="s">
        <v>1414</v>
      </c>
      <c r="H531" s="1028" t="s">
        <v>1414</v>
      </c>
      <c r="I531" s="1042" t="s">
        <v>1467</v>
      </c>
      <c r="J531" s="1043" t="s">
        <v>1455</v>
      </c>
      <c r="K531" s="1027" t="s">
        <v>674</v>
      </c>
      <c r="L531" s="1029" t="s">
        <v>675</v>
      </c>
      <c r="M531" s="1030">
        <v>54050000</v>
      </c>
      <c r="N531" s="1083" t="s">
        <v>724</v>
      </c>
      <c r="O531" s="1083" t="s">
        <v>1473</v>
      </c>
      <c r="P531" s="1083"/>
      <c r="Q531" s="1027"/>
      <c r="R531" s="1022"/>
      <c r="S531" s="1130">
        <v>293</v>
      </c>
      <c r="T531" s="1156">
        <v>51700000</v>
      </c>
    </row>
    <row r="532" spans="1:20" s="995" customFormat="1" ht="87.5" x14ac:dyDescent="0.35">
      <c r="A532" s="1023">
        <v>2022526</v>
      </c>
      <c r="B532" s="1023">
        <v>7658</v>
      </c>
      <c r="C532" s="1098" t="s">
        <v>679</v>
      </c>
      <c r="D532" s="1039" t="s">
        <v>698</v>
      </c>
      <c r="E532" s="1040">
        <v>80111600</v>
      </c>
      <c r="F532" s="1026" t="s">
        <v>1156</v>
      </c>
      <c r="G532" s="1041" t="s">
        <v>1414</v>
      </c>
      <c r="H532" s="1028" t="s">
        <v>1414</v>
      </c>
      <c r="I532" s="1042" t="s">
        <v>1467</v>
      </c>
      <c r="J532" s="1043" t="s">
        <v>1455</v>
      </c>
      <c r="K532" s="1027" t="s">
        <v>674</v>
      </c>
      <c r="L532" s="1029" t="s">
        <v>675</v>
      </c>
      <c r="M532" s="1030">
        <v>28175000</v>
      </c>
      <c r="N532" s="1083" t="s">
        <v>724</v>
      </c>
      <c r="O532" s="1083" t="s">
        <v>1473</v>
      </c>
      <c r="P532" s="1083"/>
      <c r="Q532" s="1027"/>
      <c r="R532" s="1022"/>
      <c r="S532" s="1130">
        <v>128</v>
      </c>
      <c r="T532" s="1156">
        <v>26950000</v>
      </c>
    </row>
    <row r="533" spans="1:20" s="995" customFormat="1" ht="87.5" x14ac:dyDescent="0.35">
      <c r="A533" s="1023">
        <v>2022527</v>
      </c>
      <c r="B533" s="1023">
        <v>7658</v>
      </c>
      <c r="C533" s="1098" t="s">
        <v>679</v>
      </c>
      <c r="D533" s="1039" t="s">
        <v>698</v>
      </c>
      <c r="E533" s="1040">
        <v>80111600</v>
      </c>
      <c r="F533" s="1026" t="s">
        <v>1157</v>
      </c>
      <c r="G533" s="1041" t="s">
        <v>1414</v>
      </c>
      <c r="H533" s="1028" t="s">
        <v>1414</v>
      </c>
      <c r="I533" s="1042" t="s">
        <v>1467</v>
      </c>
      <c r="J533" s="1043" t="s">
        <v>1455</v>
      </c>
      <c r="K533" s="1027" t="s">
        <v>674</v>
      </c>
      <c r="L533" s="1029" t="s">
        <v>675</v>
      </c>
      <c r="M533" s="1030">
        <v>36685000</v>
      </c>
      <c r="N533" s="1083" t="s">
        <v>724</v>
      </c>
      <c r="O533" s="1083" t="s">
        <v>1473</v>
      </c>
      <c r="P533" s="1083"/>
      <c r="Q533" s="1027"/>
      <c r="R533" s="1022"/>
      <c r="S533" s="1130">
        <v>445</v>
      </c>
      <c r="T533" s="1156">
        <v>30250000</v>
      </c>
    </row>
    <row r="534" spans="1:20" s="995" customFormat="1" ht="87.5" x14ac:dyDescent="0.35">
      <c r="A534" s="1023">
        <v>2022528</v>
      </c>
      <c r="B534" s="1023">
        <v>7658</v>
      </c>
      <c r="C534" s="1098" t="s">
        <v>679</v>
      </c>
      <c r="D534" s="1039" t="s">
        <v>698</v>
      </c>
      <c r="E534" s="1040">
        <v>80111600</v>
      </c>
      <c r="F534" s="1026" t="s">
        <v>1158</v>
      </c>
      <c r="G534" s="1041" t="s">
        <v>1414</v>
      </c>
      <c r="H534" s="1028" t="s">
        <v>1414</v>
      </c>
      <c r="I534" s="1042" t="s">
        <v>1467</v>
      </c>
      <c r="J534" s="1043" t="s">
        <v>1455</v>
      </c>
      <c r="K534" s="1027" t="s">
        <v>674</v>
      </c>
      <c r="L534" s="1029" t="s">
        <v>675</v>
      </c>
      <c r="M534" s="1030">
        <v>51750000</v>
      </c>
      <c r="N534" s="1083" t="s">
        <v>724</v>
      </c>
      <c r="O534" s="1083" t="s">
        <v>1473</v>
      </c>
      <c r="P534" s="1083"/>
      <c r="Q534" s="1027"/>
      <c r="R534" s="1022"/>
      <c r="S534" s="1130">
        <v>405</v>
      </c>
      <c r="T534" s="1156">
        <v>49500000</v>
      </c>
    </row>
    <row r="535" spans="1:20" s="995" customFormat="1" ht="87.5" x14ac:dyDescent="0.35">
      <c r="A535" s="1023">
        <v>2022529</v>
      </c>
      <c r="B535" s="1023">
        <v>7658</v>
      </c>
      <c r="C535" s="1098" t="s">
        <v>679</v>
      </c>
      <c r="D535" s="1039" t="s">
        <v>698</v>
      </c>
      <c r="E535" s="1040">
        <v>80111600</v>
      </c>
      <c r="F535" s="1026" t="s">
        <v>1159</v>
      </c>
      <c r="G535" s="1041" t="s">
        <v>1414</v>
      </c>
      <c r="H535" s="1028" t="s">
        <v>1414</v>
      </c>
      <c r="I535" s="1042" t="s">
        <v>1467</v>
      </c>
      <c r="J535" s="1043" t="s">
        <v>1455</v>
      </c>
      <c r="K535" s="1027" t="s">
        <v>674</v>
      </c>
      <c r="L535" s="1027" t="s">
        <v>675</v>
      </c>
      <c r="M535" s="1030">
        <f>48300000+20700000</f>
        <v>69000000</v>
      </c>
      <c r="N535" s="1083" t="s">
        <v>724</v>
      </c>
      <c r="O535" s="1083" t="s">
        <v>1473</v>
      </c>
      <c r="P535" s="1083"/>
      <c r="Q535" s="1027"/>
      <c r="R535" s="1022"/>
      <c r="S535" s="1130">
        <v>478</v>
      </c>
      <c r="T535" s="1156">
        <v>27000000</v>
      </c>
    </row>
    <row r="536" spans="1:20" s="995" customFormat="1" ht="87.5" x14ac:dyDescent="0.35">
      <c r="A536" s="1023">
        <v>2022530</v>
      </c>
      <c r="B536" s="1023">
        <v>7658</v>
      </c>
      <c r="C536" s="1098" t="s">
        <v>679</v>
      </c>
      <c r="D536" s="1039" t="s">
        <v>698</v>
      </c>
      <c r="E536" s="1040">
        <v>80111600</v>
      </c>
      <c r="F536" s="1026" t="s">
        <v>1139</v>
      </c>
      <c r="G536" s="1041" t="s">
        <v>1414</v>
      </c>
      <c r="H536" s="1028" t="s">
        <v>1414</v>
      </c>
      <c r="I536" s="1042" t="s">
        <v>1467</v>
      </c>
      <c r="J536" s="1043" t="s">
        <v>1455</v>
      </c>
      <c r="K536" s="1027" t="s">
        <v>674</v>
      </c>
      <c r="L536" s="1029" t="s">
        <v>675</v>
      </c>
      <c r="M536" s="1030">
        <v>82915000</v>
      </c>
      <c r="N536" s="1083" t="s">
        <v>724</v>
      </c>
      <c r="O536" s="1083" t="s">
        <v>1473</v>
      </c>
      <c r="P536" s="1083"/>
      <c r="Q536" s="1027"/>
      <c r="R536" s="1022"/>
      <c r="S536" s="1130">
        <v>129</v>
      </c>
      <c r="T536" s="1156">
        <v>79310000</v>
      </c>
    </row>
    <row r="537" spans="1:20" s="995" customFormat="1" ht="87.5" x14ac:dyDescent="0.35">
      <c r="A537" s="1023">
        <v>2022531</v>
      </c>
      <c r="B537" s="1023">
        <v>7658</v>
      </c>
      <c r="C537" s="1098" t="s">
        <v>679</v>
      </c>
      <c r="D537" s="1039" t="s">
        <v>698</v>
      </c>
      <c r="E537" s="1040">
        <v>80111600</v>
      </c>
      <c r="F537" s="1026" t="s">
        <v>1160</v>
      </c>
      <c r="G537" s="1041" t="s">
        <v>1414</v>
      </c>
      <c r="H537" s="1028" t="s">
        <v>1414</v>
      </c>
      <c r="I537" s="1042" t="s">
        <v>1467</v>
      </c>
      <c r="J537" s="1043" t="s">
        <v>1455</v>
      </c>
      <c r="K537" s="1027" t="s">
        <v>674</v>
      </c>
      <c r="L537" s="1029" t="s">
        <v>675</v>
      </c>
      <c r="M537" s="1030">
        <v>45655000</v>
      </c>
      <c r="N537" s="1083" t="s">
        <v>1551</v>
      </c>
      <c r="O537" s="1083" t="s">
        <v>1473</v>
      </c>
      <c r="P537" s="1083"/>
      <c r="Q537" s="1027"/>
      <c r="R537" s="1022"/>
      <c r="S537" s="1130">
        <v>414</v>
      </c>
      <c r="T537" s="1156">
        <v>43670000</v>
      </c>
    </row>
    <row r="538" spans="1:20" s="995" customFormat="1" ht="87.5" x14ac:dyDescent="0.35">
      <c r="A538" s="1023">
        <v>2022532</v>
      </c>
      <c r="B538" s="1023">
        <v>7658</v>
      </c>
      <c r="C538" s="1098" t="s">
        <v>679</v>
      </c>
      <c r="D538" s="1039" t="s">
        <v>698</v>
      </c>
      <c r="E538" s="1040">
        <v>80111600</v>
      </c>
      <c r="F538" s="1026" t="s">
        <v>1161</v>
      </c>
      <c r="G538" s="1041" t="s">
        <v>1414</v>
      </c>
      <c r="H538" s="1028" t="s">
        <v>1414</v>
      </c>
      <c r="I538" s="1042" t="s">
        <v>1467</v>
      </c>
      <c r="J538" s="1043" t="s">
        <v>1455</v>
      </c>
      <c r="K538" s="1027" t="s">
        <v>674</v>
      </c>
      <c r="L538" s="1029" t="s">
        <v>675</v>
      </c>
      <c r="M538" s="1030">
        <v>47380000</v>
      </c>
      <c r="N538" s="1083" t="s">
        <v>1551</v>
      </c>
      <c r="O538" s="1083" t="s">
        <v>1473</v>
      </c>
      <c r="P538" s="1083"/>
      <c r="Q538" s="1027"/>
      <c r="R538" s="1022"/>
      <c r="S538" s="1130">
        <v>413</v>
      </c>
      <c r="T538" s="1156">
        <v>45320000</v>
      </c>
    </row>
    <row r="539" spans="1:20" s="995" customFormat="1" ht="112.5" x14ac:dyDescent="0.35">
      <c r="A539" s="1023">
        <v>2022533</v>
      </c>
      <c r="B539" s="1023">
        <v>7658</v>
      </c>
      <c r="C539" s="1098" t="s">
        <v>679</v>
      </c>
      <c r="D539" s="1039" t="s">
        <v>698</v>
      </c>
      <c r="E539" s="1040">
        <v>80111600</v>
      </c>
      <c r="F539" s="1026" t="s">
        <v>1162</v>
      </c>
      <c r="G539" s="1041" t="s">
        <v>1414</v>
      </c>
      <c r="H539" s="1028" t="s">
        <v>1414</v>
      </c>
      <c r="I539" s="1042" t="s">
        <v>1467</v>
      </c>
      <c r="J539" s="1043" t="s">
        <v>1455</v>
      </c>
      <c r="K539" s="1027" t="s">
        <v>674</v>
      </c>
      <c r="L539" s="1029" t="s">
        <v>675</v>
      </c>
      <c r="M539" s="1030">
        <v>54050000</v>
      </c>
      <c r="N539" s="1083" t="s">
        <v>1551</v>
      </c>
      <c r="O539" s="1083" t="s">
        <v>1473</v>
      </c>
      <c r="P539" s="1083"/>
      <c r="Q539" s="1027"/>
      <c r="R539" s="1022"/>
      <c r="S539" s="1130">
        <v>366</v>
      </c>
      <c r="T539" s="1156">
        <v>51700000</v>
      </c>
    </row>
    <row r="540" spans="1:20" s="995" customFormat="1" ht="87.5" x14ac:dyDescent="0.35">
      <c r="A540" s="1023">
        <v>2022534</v>
      </c>
      <c r="B540" s="1023">
        <v>7658</v>
      </c>
      <c r="C540" s="1098" t="s">
        <v>679</v>
      </c>
      <c r="D540" s="1039" t="s">
        <v>698</v>
      </c>
      <c r="E540" s="1040">
        <v>80111600</v>
      </c>
      <c r="F540" s="1026" t="s">
        <v>1163</v>
      </c>
      <c r="G540" s="1041" t="s">
        <v>1414</v>
      </c>
      <c r="H540" s="1028" t="s">
        <v>1414</v>
      </c>
      <c r="I540" s="1042" t="s">
        <v>1467</v>
      </c>
      <c r="J540" s="1043" t="s">
        <v>1455</v>
      </c>
      <c r="K540" s="1027" t="s">
        <v>674</v>
      </c>
      <c r="L540" s="1029" t="s">
        <v>782</v>
      </c>
      <c r="M540" s="1030">
        <v>88550000</v>
      </c>
      <c r="N540" s="1083" t="s">
        <v>724</v>
      </c>
      <c r="O540" s="1083" t="s">
        <v>1473</v>
      </c>
      <c r="P540" s="1083"/>
      <c r="Q540" s="1027"/>
      <c r="R540" s="1022"/>
      <c r="S540" s="1130">
        <v>285</v>
      </c>
      <c r="T540" s="1156">
        <v>52140000</v>
      </c>
    </row>
    <row r="541" spans="1:20" s="995" customFormat="1" ht="87.5" x14ac:dyDescent="0.35">
      <c r="A541" s="1023">
        <v>2022535</v>
      </c>
      <c r="B541" s="1023">
        <v>7658</v>
      </c>
      <c r="C541" s="1098" t="s">
        <v>679</v>
      </c>
      <c r="D541" s="1039" t="s">
        <v>698</v>
      </c>
      <c r="E541" s="1040">
        <v>80111600</v>
      </c>
      <c r="F541" s="1026" t="s">
        <v>1164</v>
      </c>
      <c r="G541" s="1041" t="s">
        <v>1414</v>
      </c>
      <c r="H541" s="1028" t="s">
        <v>1414</v>
      </c>
      <c r="I541" s="1042" t="s">
        <v>1467</v>
      </c>
      <c r="J541" s="1043" t="s">
        <v>1455</v>
      </c>
      <c r="K541" s="1027" t="s">
        <v>674</v>
      </c>
      <c r="L541" s="1029" t="s">
        <v>675</v>
      </c>
      <c r="M541" s="1030">
        <v>38525000</v>
      </c>
      <c r="N541" s="1083" t="s">
        <v>724</v>
      </c>
      <c r="O541" s="1083" t="s">
        <v>1473</v>
      </c>
      <c r="P541" s="1083"/>
      <c r="Q541" s="1027"/>
      <c r="R541" s="1022"/>
      <c r="S541" s="1130">
        <v>295</v>
      </c>
      <c r="T541" s="1156">
        <v>36850000</v>
      </c>
    </row>
    <row r="542" spans="1:20" s="995" customFormat="1" ht="87.5" x14ac:dyDescent="0.35">
      <c r="A542" s="1023">
        <v>2022536</v>
      </c>
      <c r="B542" s="1023">
        <v>7658</v>
      </c>
      <c r="C542" s="1098" t="s">
        <v>679</v>
      </c>
      <c r="D542" s="1039" t="s">
        <v>698</v>
      </c>
      <c r="E542" s="1040">
        <v>80111600</v>
      </c>
      <c r="F542" s="1026" t="s">
        <v>1165</v>
      </c>
      <c r="G542" s="1041" t="s">
        <v>1414</v>
      </c>
      <c r="H542" s="1028" t="s">
        <v>1414</v>
      </c>
      <c r="I542" s="1042" t="s">
        <v>1467</v>
      </c>
      <c r="J542" s="1043" t="s">
        <v>1455</v>
      </c>
      <c r="K542" s="1027" t="s">
        <v>674</v>
      </c>
      <c r="L542" s="1029" t="s">
        <v>675</v>
      </c>
      <c r="M542" s="1030">
        <v>38525000</v>
      </c>
      <c r="N542" s="1083" t="s">
        <v>724</v>
      </c>
      <c r="O542" s="1083" t="s">
        <v>1473</v>
      </c>
      <c r="P542" s="1083"/>
      <c r="Q542" s="1027"/>
      <c r="R542" s="1022"/>
      <c r="S542" s="1130">
        <v>423</v>
      </c>
      <c r="T542" s="1156">
        <v>37400000</v>
      </c>
    </row>
    <row r="543" spans="1:20" s="995" customFormat="1" ht="87.5" x14ac:dyDescent="0.35">
      <c r="A543" s="1023">
        <v>2022537</v>
      </c>
      <c r="B543" s="1023">
        <v>7658</v>
      </c>
      <c r="C543" s="1098" t="s">
        <v>679</v>
      </c>
      <c r="D543" s="1039" t="s">
        <v>698</v>
      </c>
      <c r="E543" s="1040">
        <v>80111600</v>
      </c>
      <c r="F543" s="1026" t="s">
        <v>1166</v>
      </c>
      <c r="G543" s="1041" t="s">
        <v>1414</v>
      </c>
      <c r="H543" s="1028" t="s">
        <v>1414</v>
      </c>
      <c r="I543" s="1042" t="s">
        <v>1467</v>
      </c>
      <c r="J543" s="1043" t="s">
        <v>1455</v>
      </c>
      <c r="K543" s="1027" t="s">
        <v>674</v>
      </c>
      <c r="L543" s="1027" t="s">
        <v>675</v>
      </c>
      <c r="M543" s="1030">
        <f>48300000+13225000+7475000</f>
        <v>69000000</v>
      </c>
      <c r="N543" s="1083" t="s">
        <v>1551</v>
      </c>
      <c r="O543" s="1083" t="s">
        <v>1473</v>
      </c>
      <c r="P543" s="1083"/>
      <c r="Q543" s="1027"/>
      <c r="R543" s="1022"/>
      <c r="S543" s="1130">
        <v>477</v>
      </c>
      <c r="T543" s="1156">
        <v>66000000</v>
      </c>
    </row>
    <row r="544" spans="1:20" s="995" customFormat="1" ht="87.5" x14ac:dyDescent="0.35">
      <c r="A544" s="1023">
        <v>2022538</v>
      </c>
      <c r="B544" s="1023">
        <v>7658</v>
      </c>
      <c r="C544" s="1023" t="s">
        <v>679</v>
      </c>
      <c r="D544" s="1039" t="s">
        <v>698</v>
      </c>
      <c r="E544" s="1040">
        <v>80111600</v>
      </c>
      <c r="F544" s="1026" t="s">
        <v>1167</v>
      </c>
      <c r="G544" s="1041" t="s">
        <v>1414</v>
      </c>
      <c r="H544" s="1028" t="s">
        <v>1414</v>
      </c>
      <c r="I544" s="1042" t="s">
        <v>1467</v>
      </c>
      <c r="J544" s="1043" t="s">
        <v>1455</v>
      </c>
      <c r="K544" s="1027" t="s">
        <v>674</v>
      </c>
      <c r="L544" s="1029" t="s">
        <v>675</v>
      </c>
      <c r="M544" s="1030">
        <v>65550000</v>
      </c>
      <c r="N544" s="1083" t="s">
        <v>724</v>
      </c>
      <c r="O544" s="1083" t="s">
        <v>1473</v>
      </c>
      <c r="P544" s="1083"/>
      <c r="Q544" s="1027"/>
      <c r="R544" s="1022"/>
      <c r="S544" s="1130">
        <v>468</v>
      </c>
      <c r="T544" s="1156">
        <v>42350000</v>
      </c>
    </row>
    <row r="545" spans="1:20" s="995" customFormat="1" ht="87.5" x14ac:dyDescent="0.35">
      <c r="A545" s="1023">
        <v>2022539</v>
      </c>
      <c r="B545" s="1023">
        <v>7658</v>
      </c>
      <c r="C545" s="1023" t="s">
        <v>679</v>
      </c>
      <c r="D545" s="1039" t="s">
        <v>698</v>
      </c>
      <c r="E545" s="1040">
        <v>80111600</v>
      </c>
      <c r="F545" s="1026" t="s">
        <v>1168</v>
      </c>
      <c r="G545" s="1041" t="s">
        <v>1414</v>
      </c>
      <c r="H545" s="1028" t="s">
        <v>1414</v>
      </c>
      <c r="I545" s="1042" t="s">
        <v>1467</v>
      </c>
      <c r="J545" s="1043" t="s">
        <v>1455</v>
      </c>
      <c r="K545" s="1027" t="s">
        <v>674</v>
      </c>
      <c r="L545" s="1029" t="s">
        <v>675</v>
      </c>
      <c r="M545" s="1030">
        <v>69000000</v>
      </c>
      <c r="N545" s="1083" t="s">
        <v>724</v>
      </c>
      <c r="O545" s="1083" t="s">
        <v>1473</v>
      </c>
      <c r="P545" s="1083"/>
      <c r="Q545" s="1027"/>
      <c r="R545" s="1022"/>
      <c r="S545" s="1130">
        <v>336</v>
      </c>
      <c r="T545" s="1156">
        <v>66000000</v>
      </c>
    </row>
    <row r="546" spans="1:20" s="995" customFormat="1" ht="87.5" x14ac:dyDescent="0.35">
      <c r="A546" s="1023">
        <v>2022540</v>
      </c>
      <c r="B546" s="1023">
        <v>7658</v>
      </c>
      <c r="C546" s="1023" t="s">
        <v>679</v>
      </c>
      <c r="D546" s="1039" t="s">
        <v>698</v>
      </c>
      <c r="E546" s="1040">
        <v>80111600</v>
      </c>
      <c r="F546" s="1026" t="s">
        <v>1169</v>
      </c>
      <c r="G546" s="1041" t="s">
        <v>1414</v>
      </c>
      <c r="H546" s="1028" t="s">
        <v>1414</v>
      </c>
      <c r="I546" s="1042" t="s">
        <v>1467</v>
      </c>
      <c r="J546" s="1043" t="s">
        <v>1455</v>
      </c>
      <c r="K546" s="1027" t="s">
        <v>674</v>
      </c>
      <c r="L546" s="1029" t="s">
        <v>675</v>
      </c>
      <c r="M546" s="1030">
        <v>39100000</v>
      </c>
      <c r="N546" s="1083" t="s">
        <v>724</v>
      </c>
      <c r="O546" s="1083" t="s">
        <v>1473</v>
      </c>
      <c r="P546" s="1083"/>
      <c r="Q546" s="1027"/>
      <c r="R546" s="1022"/>
      <c r="S546" s="1130">
        <v>422</v>
      </c>
      <c r="T546" s="1156">
        <v>35200000</v>
      </c>
    </row>
    <row r="547" spans="1:20" s="995" customFormat="1" ht="87.5" x14ac:dyDescent="0.35">
      <c r="A547" s="1023">
        <v>2022541</v>
      </c>
      <c r="B547" s="1023">
        <v>7658</v>
      </c>
      <c r="C547" s="1023" t="s">
        <v>679</v>
      </c>
      <c r="D547" s="1039" t="s">
        <v>698</v>
      </c>
      <c r="E547" s="1040">
        <v>80111600</v>
      </c>
      <c r="F547" s="1026" t="s">
        <v>1170</v>
      </c>
      <c r="G547" s="1041" t="s">
        <v>1414</v>
      </c>
      <c r="H547" s="1028" t="s">
        <v>1414</v>
      </c>
      <c r="I547" s="1042" t="s">
        <v>1467</v>
      </c>
      <c r="J547" s="1043" t="s">
        <v>1455</v>
      </c>
      <c r="K547" s="1027" t="s">
        <v>674</v>
      </c>
      <c r="L547" s="1029" t="s">
        <v>675</v>
      </c>
      <c r="M547" s="1030">
        <v>36685000</v>
      </c>
      <c r="N547" s="1083" t="s">
        <v>724</v>
      </c>
      <c r="O547" s="1083" t="s">
        <v>1473</v>
      </c>
      <c r="P547" s="1083"/>
      <c r="Q547" s="1027"/>
      <c r="R547" s="1022"/>
      <c r="S547" s="1130">
        <v>398</v>
      </c>
      <c r="T547" s="1156">
        <v>35090000</v>
      </c>
    </row>
    <row r="548" spans="1:20" ht="50" x14ac:dyDescent="0.25">
      <c r="A548" s="1013">
        <v>2022542</v>
      </c>
      <c r="B548" s="1075" t="s">
        <v>459</v>
      </c>
      <c r="C548" s="1075"/>
      <c r="D548" s="1045" t="s">
        <v>689</v>
      </c>
      <c r="E548" s="1099" t="s">
        <v>1171</v>
      </c>
      <c r="F548" s="1074" t="s">
        <v>1172</v>
      </c>
      <c r="G548" s="1096" t="s">
        <v>1521</v>
      </c>
      <c r="H548" s="1096" t="s">
        <v>1521</v>
      </c>
      <c r="I548" s="1096" t="s">
        <v>1562</v>
      </c>
      <c r="J548" s="1096" t="s">
        <v>1432</v>
      </c>
      <c r="K548" s="1017" t="s">
        <v>43</v>
      </c>
      <c r="L548" s="1100"/>
      <c r="M548" s="1101">
        <v>4200000</v>
      </c>
      <c r="N548" s="1037"/>
      <c r="O548" s="1037"/>
      <c r="P548" s="1037"/>
      <c r="Q548" s="1102"/>
      <c r="R548" s="1022"/>
      <c r="S548" s="1130"/>
      <c r="T548" s="1156"/>
    </row>
    <row r="549" spans="1:20" ht="37.5" x14ac:dyDescent="0.25">
      <c r="A549" s="1013">
        <v>2022543</v>
      </c>
      <c r="B549" s="1075" t="s">
        <v>459</v>
      </c>
      <c r="C549" s="1075"/>
      <c r="D549" s="1045" t="s">
        <v>689</v>
      </c>
      <c r="E549" s="1099" t="s">
        <v>1171</v>
      </c>
      <c r="F549" s="1074" t="s">
        <v>1173</v>
      </c>
      <c r="G549" s="1096" t="s">
        <v>1522</v>
      </c>
      <c r="H549" s="1096" t="s">
        <v>1522</v>
      </c>
      <c r="I549" s="1096" t="s">
        <v>1563</v>
      </c>
      <c r="J549" s="1096" t="s">
        <v>1432</v>
      </c>
      <c r="K549" s="1017" t="s">
        <v>43</v>
      </c>
      <c r="L549" s="1100"/>
      <c r="M549" s="1101">
        <v>6799000</v>
      </c>
      <c r="N549" s="1037"/>
      <c r="O549" s="1037"/>
      <c r="P549" s="1037"/>
      <c r="Q549" s="1102"/>
      <c r="R549" s="1022"/>
      <c r="S549" s="1130"/>
      <c r="T549" s="1156"/>
    </row>
    <row r="550" spans="1:20" ht="50" x14ac:dyDescent="0.25">
      <c r="A550" s="1013">
        <v>2022544</v>
      </c>
      <c r="B550" s="1075" t="s">
        <v>459</v>
      </c>
      <c r="C550" s="1075"/>
      <c r="D550" s="1045" t="s">
        <v>689</v>
      </c>
      <c r="E550" s="1099" t="s">
        <v>1171</v>
      </c>
      <c r="F550" s="1074" t="s">
        <v>987</v>
      </c>
      <c r="G550" s="1096" t="s">
        <v>1521</v>
      </c>
      <c r="H550" s="1096" t="s">
        <v>1521</v>
      </c>
      <c r="I550" s="1096" t="s">
        <v>1499</v>
      </c>
      <c r="J550" s="1096" t="s">
        <v>1475</v>
      </c>
      <c r="K550" s="1017" t="s">
        <v>43</v>
      </c>
      <c r="L550" s="1100"/>
      <c r="M550" s="1101">
        <v>10000000</v>
      </c>
      <c r="N550" s="1037"/>
      <c r="O550" s="1037"/>
      <c r="P550" s="1037"/>
      <c r="Q550" s="1102"/>
      <c r="R550" s="1022"/>
      <c r="S550" s="1130"/>
      <c r="T550" s="1156"/>
    </row>
    <row r="551" spans="1:20" ht="37.5" x14ac:dyDescent="0.25">
      <c r="A551" s="1013">
        <v>2022545</v>
      </c>
      <c r="B551" s="1075" t="s">
        <v>459</v>
      </c>
      <c r="C551" s="1075"/>
      <c r="D551" s="1045" t="s">
        <v>689</v>
      </c>
      <c r="E551" s="1099" t="s">
        <v>1171</v>
      </c>
      <c r="F551" s="1074" t="s">
        <v>1174</v>
      </c>
      <c r="G551" s="1096" t="s">
        <v>1521</v>
      </c>
      <c r="H551" s="1096" t="s">
        <v>1521</v>
      </c>
      <c r="I551" s="1096" t="s">
        <v>1470</v>
      </c>
      <c r="J551" s="1096" t="s">
        <v>1475</v>
      </c>
      <c r="K551" s="1017" t="s">
        <v>43</v>
      </c>
      <c r="L551" s="1100"/>
      <c r="M551" s="1101">
        <v>87000000</v>
      </c>
      <c r="N551" s="1037"/>
      <c r="O551" s="1037"/>
      <c r="P551" s="1037"/>
      <c r="Q551" s="1102"/>
      <c r="R551" s="1022"/>
      <c r="S551" s="1130"/>
      <c r="T551" s="1156"/>
    </row>
    <row r="552" spans="1:20" ht="50" x14ac:dyDescent="0.25">
      <c r="A552" s="1013">
        <v>2022546</v>
      </c>
      <c r="B552" s="1075" t="s">
        <v>459</v>
      </c>
      <c r="C552" s="1075"/>
      <c r="D552" s="1045" t="s">
        <v>689</v>
      </c>
      <c r="E552" s="1099" t="s">
        <v>1171</v>
      </c>
      <c r="F552" s="1074" t="s">
        <v>1172</v>
      </c>
      <c r="G552" s="1096" t="s">
        <v>1521</v>
      </c>
      <c r="H552" s="1096" t="s">
        <v>1521</v>
      </c>
      <c r="I552" s="1096" t="s">
        <v>1562</v>
      </c>
      <c r="J552" s="1096" t="s">
        <v>1432</v>
      </c>
      <c r="K552" s="1017" t="s">
        <v>43</v>
      </c>
      <c r="L552" s="1100"/>
      <c r="M552" s="1101">
        <v>5600000</v>
      </c>
      <c r="N552" s="1037"/>
      <c r="O552" s="1037"/>
      <c r="P552" s="1037"/>
      <c r="Q552" s="1102"/>
      <c r="R552" s="1022"/>
      <c r="S552" s="1130"/>
      <c r="T552" s="1156"/>
    </row>
    <row r="553" spans="1:20" ht="37.5" x14ac:dyDescent="0.25">
      <c r="A553" s="1013">
        <v>2022547</v>
      </c>
      <c r="B553" s="1075" t="s">
        <v>459</v>
      </c>
      <c r="C553" s="1075"/>
      <c r="D553" s="1045" t="s">
        <v>689</v>
      </c>
      <c r="E553" s="1099" t="s">
        <v>1171</v>
      </c>
      <c r="F553" s="1074" t="s">
        <v>1175</v>
      </c>
      <c r="G553" s="1096" t="s">
        <v>1522</v>
      </c>
      <c r="H553" s="1096" t="s">
        <v>1522</v>
      </c>
      <c r="I553" s="1096" t="s">
        <v>1563</v>
      </c>
      <c r="J553" s="1096" t="s">
        <v>1432</v>
      </c>
      <c r="K553" s="1017" t="s">
        <v>43</v>
      </c>
      <c r="L553" s="1100"/>
      <c r="M553" s="1101">
        <v>28400000</v>
      </c>
      <c r="N553" s="1037"/>
      <c r="O553" s="1037"/>
      <c r="P553" s="1037"/>
      <c r="Q553" s="1102"/>
      <c r="R553" s="1022"/>
      <c r="S553" s="1130"/>
      <c r="T553" s="1156"/>
    </row>
    <row r="554" spans="1:20" s="1106" customFormat="1" ht="37.5" x14ac:dyDescent="0.25">
      <c r="A554" s="1013">
        <v>2022548</v>
      </c>
      <c r="B554" s="1096" t="s">
        <v>459</v>
      </c>
      <c r="C554" s="1075"/>
      <c r="D554" s="1045" t="s">
        <v>689</v>
      </c>
      <c r="E554" s="1099" t="s">
        <v>1176</v>
      </c>
      <c r="F554" s="1074" t="s">
        <v>1177</v>
      </c>
      <c r="G554" s="1096" t="s">
        <v>1521</v>
      </c>
      <c r="H554" s="1096" t="s">
        <v>1521</v>
      </c>
      <c r="I554" s="1096" t="s">
        <v>1470</v>
      </c>
      <c r="J554" s="1096" t="s">
        <v>1475</v>
      </c>
      <c r="K554" s="1017" t="s">
        <v>43</v>
      </c>
      <c r="L554" s="1104"/>
      <c r="M554" s="1105">
        <v>100000000</v>
      </c>
      <c r="N554" s="1037"/>
      <c r="O554" s="1037"/>
      <c r="P554" s="1037"/>
      <c r="Q554" s="1102"/>
      <c r="R554" s="1022"/>
      <c r="S554" s="1130"/>
      <c r="T554" s="1156"/>
    </row>
    <row r="555" spans="1:20" s="1106" customFormat="1" ht="37.5" x14ac:dyDescent="0.25">
      <c r="A555" s="1013">
        <v>2022549</v>
      </c>
      <c r="B555" s="1096" t="s">
        <v>459</v>
      </c>
      <c r="C555" s="1075"/>
      <c r="D555" s="1045" t="s">
        <v>689</v>
      </c>
      <c r="E555" s="1099" t="s">
        <v>1176</v>
      </c>
      <c r="F555" s="1074" t="s">
        <v>1178</v>
      </c>
      <c r="G555" s="1096" t="s">
        <v>1522</v>
      </c>
      <c r="H555" s="1096" t="s">
        <v>1522</v>
      </c>
      <c r="I555" s="1096" t="s">
        <v>1563</v>
      </c>
      <c r="J555" s="1096" t="s">
        <v>1432</v>
      </c>
      <c r="K555" s="1017" t="s">
        <v>43</v>
      </c>
      <c r="L555" s="1104"/>
      <c r="M555" s="1105">
        <v>10000000</v>
      </c>
      <c r="N555" s="1037"/>
      <c r="O555" s="1037"/>
      <c r="P555" s="1037"/>
      <c r="Q555" s="1102"/>
      <c r="R555" s="1022"/>
      <c r="S555" s="1130"/>
      <c r="T555" s="1156"/>
    </row>
    <row r="556" spans="1:20" ht="37.5" x14ac:dyDescent="0.25">
      <c r="A556" s="1013">
        <v>2022550</v>
      </c>
      <c r="B556" s="1075" t="s">
        <v>459</v>
      </c>
      <c r="C556" s="1075"/>
      <c r="D556" s="1045" t="s">
        <v>689</v>
      </c>
      <c r="E556" s="1099" t="s">
        <v>1171</v>
      </c>
      <c r="F556" s="1074" t="s">
        <v>989</v>
      </c>
      <c r="G556" s="1096" t="s">
        <v>1521</v>
      </c>
      <c r="H556" s="1096" t="s">
        <v>1521</v>
      </c>
      <c r="I556" s="1096" t="s">
        <v>1470</v>
      </c>
      <c r="J556" s="1096" t="s">
        <v>1475</v>
      </c>
      <c r="K556" s="1017" t="s">
        <v>43</v>
      </c>
      <c r="L556" s="1100"/>
      <c r="M556" s="1101">
        <v>42542000</v>
      </c>
      <c r="N556" s="1037"/>
      <c r="O556" s="1037"/>
      <c r="P556" s="1037"/>
      <c r="Q556" s="1102"/>
      <c r="R556" s="1022"/>
      <c r="S556" s="1130"/>
      <c r="T556" s="1156"/>
    </row>
    <row r="557" spans="1:20" ht="50" x14ac:dyDescent="0.25">
      <c r="A557" s="1013">
        <v>2022551</v>
      </c>
      <c r="B557" s="1075" t="s">
        <v>459</v>
      </c>
      <c r="C557" s="1075"/>
      <c r="D557" s="1045" t="s">
        <v>689</v>
      </c>
      <c r="E557" s="1099" t="s">
        <v>1171</v>
      </c>
      <c r="F557" s="1074" t="s">
        <v>987</v>
      </c>
      <c r="G557" s="1096" t="s">
        <v>1521</v>
      </c>
      <c r="H557" s="1096" t="s">
        <v>1521</v>
      </c>
      <c r="I557" s="1096" t="s">
        <v>1499</v>
      </c>
      <c r="J557" s="1096" t="s">
        <v>1475</v>
      </c>
      <c r="K557" s="1017" t="s">
        <v>43</v>
      </c>
      <c r="L557" s="1100"/>
      <c r="M557" s="1101">
        <v>2345000</v>
      </c>
      <c r="N557" s="1037"/>
      <c r="O557" s="1037"/>
      <c r="P557" s="1037"/>
      <c r="Q557" s="1102"/>
      <c r="R557" s="1022"/>
      <c r="S557" s="1130"/>
      <c r="T557" s="1156"/>
    </row>
    <row r="558" spans="1:20" ht="50" x14ac:dyDescent="0.25">
      <c r="A558" s="1013">
        <v>2022552</v>
      </c>
      <c r="B558" s="1075" t="s">
        <v>459</v>
      </c>
      <c r="C558" s="1075"/>
      <c r="D558" s="1045" t="s">
        <v>689</v>
      </c>
      <c r="E558" s="1099" t="s">
        <v>1171</v>
      </c>
      <c r="F558" s="1074" t="s">
        <v>987</v>
      </c>
      <c r="G558" s="1096" t="s">
        <v>1521</v>
      </c>
      <c r="H558" s="1096" t="s">
        <v>1521</v>
      </c>
      <c r="I558" s="1096" t="s">
        <v>1499</v>
      </c>
      <c r="J558" s="1096" t="s">
        <v>1475</v>
      </c>
      <c r="K558" s="1017" t="s">
        <v>43</v>
      </c>
      <c r="L558" s="1100"/>
      <c r="M558" s="1101">
        <v>1450000</v>
      </c>
      <c r="N558" s="1037"/>
      <c r="O558" s="1037"/>
      <c r="P558" s="1037"/>
      <c r="Q558" s="1102"/>
      <c r="R558" s="1022"/>
      <c r="S558" s="1130"/>
      <c r="T558" s="1156"/>
    </row>
    <row r="559" spans="1:20" ht="37.5" x14ac:dyDescent="0.25">
      <c r="A559" s="1013">
        <v>2022553</v>
      </c>
      <c r="B559" s="1075" t="s">
        <v>459</v>
      </c>
      <c r="C559" s="1075"/>
      <c r="D559" s="1045" t="s">
        <v>689</v>
      </c>
      <c r="E559" s="1099" t="s">
        <v>1171</v>
      </c>
      <c r="F559" s="1074" t="s">
        <v>989</v>
      </c>
      <c r="G559" s="1096" t="s">
        <v>1521</v>
      </c>
      <c r="H559" s="1096" t="s">
        <v>1521</v>
      </c>
      <c r="I559" s="1096" t="s">
        <v>1470</v>
      </c>
      <c r="J559" s="1096" t="s">
        <v>1475</v>
      </c>
      <c r="K559" s="1017" t="s">
        <v>43</v>
      </c>
      <c r="L559" s="1100"/>
      <c r="M559" s="1101">
        <v>11550000</v>
      </c>
      <c r="N559" s="1037"/>
      <c r="O559" s="1037"/>
      <c r="P559" s="1037"/>
      <c r="Q559" s="1102"/>
      <c r="R559" s="1022"/>
      <c r="S559" s="1130"/>
      <c r="T559" s="1156"/>
    </row>
    <row r="560" spans="1:20" ht="50" x14ac:dyDescent="0.25">
      <c r="A560" s="1013">
        <v>2022554</v>
      </c>
      <c r="B560" s="1075" t="s">
        <v>459</v>
      </c>
      <c r="C560" s="1075"/>
      <c r="D560" s="1045" t="s">
        <v>689</v>
      </c>
      <c r="E560" s="1099" t="s">
        <v>1171</v>
      </c>
      <c r="F560" s="1074" t="s">
        <v>1172</v>
      </c>
      <c r="G560" s="1096" t="s">
        <v>1521</v>
      </c>
      <c r="H560" s="1096" t="s">
        <v>1521</v>
      </c>
      <c r="I560" s="1096" t="s">
        <v>1562</v>
      </c>
      <c r="J560" s="1096" t="s">
        <v>1432</v>
      </c>
      <c r="K560" s="1017" t="s">
        <v>43</v>
      </c>
      <c r="L560" s="1100"/>
      <c r="M560" s="1101">
        <v>2800000</v>
      </c>
      <c r="N560" s="1037"/>
      <c r="O560" s="1037"/>
      <c r="P560" s="1037"/>
      <c r="Q560" s="1102"/>
      <c r="R560" s="1022"/>
      <c r="S560" s="1130"/>
      <c r="T560" s="1156"/>
    </row>
    <row r="561" spans="1:20" ht="37.5" x14ac:dyDescent="0.25">
      <c r="A561" s="1013">
        <v>2022555</v>
      </c>
      <c r="B561" s="1075" t="s">
        <v>459</v>
      </c>
      <c r="C561" s="1075"/>
      <c r="D561" s="1045" t="s">
        <v>689</v>
      </c>
      <c r="E561" s="1099" t="s">
        <v>1171</v>
      </c>
      <c r="F561" s="1074" t="s">
        <v>1179</v>
      </c>
      <c r="G561" s="1096" t="s">
        <v>1522</v>
      </c>
      <c r="H561" s="1096" t="s">
        <v>1522</v>
      </c>
      <c r="I561" s="1096" t="s">
        <v>1563</v>
      </c>
      <c r="J561" s="1096" t="s">
        <v>1432</v>
      </c>
      <c r="K561" s="1017" t="s">
        <v>43</v>
      </c>
      <c r="L561" s="1100"/>
      <c r="M561" s="1101">
        <v>5204000</v>
      </c>
      <c r="N561" s="1037"/>
      <c r="O561" s="1037"/>
      <c r="P561" s="1037"/>
      <c r="Q561" s="1102"/>
      <c r="R561" s="1022"/>
      <c r="S561" s="1130"/>
      <c r="T561" s="1156"/>
    </row>
    <row r="562" spans="1:20" ht="50" x14ac:dyDescent="0.25">
      <c r="A562" s="1013">
        <v>2022556</v>
      </c>
      <c r="B562" s="1075" t="s">
        <v>459</v>
      </c>
      <c r="C562" s="1075"/>
      <c r="D562" s="1045" t="s">
        <v>689</v>
      </c>
      <c r="E562" s="1099" t="s">
        <v>1171</v>
      </c>
      <c r="F562" s="1074" t="s">
        <v>987</v>
      </c>
      <c r="G562" s="1096" t="s">
        <v>1521</v>
      </c>
      <c r="H562" s="1096" t="s">
        <v>1521</v>
      </c>
      <c r="I562" s="1096" t="s">
        <v>1499</v>
      </c>
      <c r="J562" s="1096" t="s">
        <v>1475</v>
      </c>
      <c r="K562" s="1017" t="s">
        <v>43</v>
      </c>
      <c r="L562" s="1100"/>
      <c r="M562" s="1101">
        <v>1308000</v>
      </c>
      <c r="N562" s="1037"/>
      <c r="O562" s="1037"/>
      <c r="P562" s="1037"/>
      <c r="Q562" s="1102"/>
      <c r="R562" s="1022"/>
      <c r="S562" s="1130"/>
      <c r="T562" s="1156"/>
    </row>
    <row r="563" spans="1:20" ht="37.5" x14ac:dyDescent="0.25">
      <c r="A563" s="1013">
        <v>2022557</v>
      </c>
      <c r="B563" s="1075" t="s">
        <v>459</v>
      </c>
      <c r="C563" s="1075"/>
      <c r="D563" s="1045" t="s">
        <v>689</v>
      </c>
      <c r="E563" s="1099" t="s">
        <v>1171</v>
      </c>
      <c r="F563" s="1074" t="s">
        <v>989</v>
      </c>
      <c r="G563" s="1096" t="s">
        <v>1521</v>
      </c>
      <c r="H563" s="1096" t="s">
        <v>1521</v>
      </c>
      <c r="I563" s="1096" t="s">
        <v>1470</v>
      </c>
      <c r="J563" s="1096" t="s">
        <v>1475</v>
      </c>
      <c r="K563" s="1017" t="s">
        <v>43</v>
      </c>
      <c r="L563" s="1100"/>
      <c r="M563" s="1101">
        <v>14692000</v>
      </c>
      <c r="N563" s="1037"/>
      <c r="O563" s="1037"/>
      <c r="P563" s="1037"/>
      <c r="Q563" s="1102"/>
      <c r="R563" s="1022"/>
      <c r="S563" s="1130"/>
      <c r="T563" s="1156"/>
    </row>
    <row r="564" spans="1:20" ht="50" x14ac:dyDescent="0.25">
      <c r="A564" s="1013">
        <v>2022558</v>
      </c>
      <c r="B564" s="1075" t="s">
        <v>459</v>
      </c>
      <c r="C564" s="1075"/>
      <c r="D564" s="1045" t="s">
        <v>689</v>
      </c>
      <c r="E564" s="1099" t="s">
        <v>1171</v>
      </c>
      <c r="F564" s="1074" t="s">
        <v>1180</v>
      </c>
      <c r="G564" s="1096" t="s">
        <v>1521</v>
      </c>
      <c r="H564" s="1096" t="s">
        <v>1521</v>
      </c>
      <c r="I564" s="1096" t="s">
        <v>1562</v>
      </c>
      <c r="J564" s="1096" t="s">
        <v>1432</v>
      </c>
      <c r="K564" s="1017" t="s">
        <v>43</v>
      </c>
      <c r="L564" s="1100"/>
      <c r="M564" s="1101">
        <v>1400000</v>
      </c>
      <c r="N564" s="1037"/>
      <c r="O564" s="1037"/>
      <c r="P564" s="1037"/>
      <c r="Q564" s="1102"/>
      <c r="R564" s="1022"/>
      <c r="S564" s="1130"/>
      <c r="T564" s="1156"/>
    </row>
    <row r="565" spans="1:20" ht="37.5" x14ac:dyDescent="0.25">
      <c r="A565" s="1013">
        <v>2022559</v>
      </c>
      <c r="B565" s="1075" t="s">
        <v>459</v>
      </c>
      <c r="C565" s="1075"/>
      <c r="D565" s="1045" t="s">
        <v>689</v>
      </c>
      <c r="E565" s="1099" t="s">
        <v>1171</v>
      </c>
      <c r="F565" s="1074" t="s">
        <v>1179</v>
      </c>
      <c r="G565" s="1096" t="s">
        <v>1522</v>
      </c>
      <c r="H565" s="1096" t="s">
        <v>1522</v>
      </c>
      <c r="I565" s="1096" t="s">
        <v>1563</v>
      </c>
      <c r="J565" s="1096" t="s">
        <v>1432</v>
      </c>
      <c r="K565" s="1017" t="s">
        <v>43</v>
      </c>
      <c r="L565" s="1100"/>
      <c r="M565" s="1101">
        <v>9600000</v>
      </c>
      <c r="N565" s="1037"/>
      <c r="O565" s="1037"/>
      <c r="P565" s="1037"/>
      <c r="Q565" s="1102"/>
      <c r="R565" s="1022"/>
      <c r="S565" s="1130"/>
      <c r="T565" s="1156"/>
    </row>
    <row r="566" spans="1:20" ht="137.5" x14ac:dyDescent="0.25">
      <c r="A566" s="1013">
        <v>2022560</v>
      </c>
      <c r="B566" s="1075" t="s">
        <v>459</v>
      </c>
      <c r="C566" s="1075"/>
      <c r="D566" s="1045" t="s">
        <v>689</v>
      </c>
      <c r="E566" s="1107" t="s">
        <v>1181</v>
      </c>
      <c r="F566" s="1074" t="s">
        <v>1182</v>
      </c>
      <c r="G566" s="1096" t="s">
        <v>1537</v>
      </c>
      <c r="H566" s="1096" t="s">
        <v>1537</v>
      </c>
      <c r="I566" s="1096" t="s">
        <v>1564</v>
      </c>
      <c r="J566" s="1096" t="s">
        <v>1565</v>
      </c>
      <c r="K566" s="1017" t="s">
        <v>43</v>
      </c>
      <c r="L566" s="1100"/>
      <c r="M566" s="1101">
        <v>79500000</v>
      </c>
      <c r="N566" s="1037"/>
      <c r="O566" s="1037"/>
      <c r="P566" s="1037"/>
      <c r="Q566" s="1102"/>
      <c r="R566" s="1022"/>
      <c r="S566" s="1130"/>
      <c r="T566" s="1156"/>
    </row>
    <row r="567" spans="1:20" ht="162.5" x14ac:dyDescent="0.25">
      <c r="A567" s="1013">
        <v>2022561</v>
      </c>
      <c r="B567" s="1075" t="s">
        <v>459</v>
      </c>
      <c r="C567" s="1075"/>
      <c r="D567" s="1045" t="s">
        <v>689</v>
      </c>
      <c r="E567" s="1107" t="s">
        <v>1181</v>
      </c>
      <c r="F567" s="1074" t="s">
        <v>1183</v>
      </c>
      <c r="G567" s="1096" t="s">
        <v>1526</v>
      </c>
      <c r="H567" s="1096" t="s">
        <v>1526</v>
      </c>
      <c r="I567" s="1096" t="s">
        <v>1566</v>
      </c>
      <c r="J567" s="1096" t="s">
        <v>1565</v>
      </c>
      <c r="K567" s="1017" t="s">
        <v>43</v>
      </c>
      <c r="L567" s="1100"/>
      <c r="M567" s="1101">
        <v>41500000</v>
      </c>
      <c r="N567" s="1037"/>
      <c r="O567" s="1037"/>
      <c r="P567" s="1037"/>
      <c r="Q567" s="1102"/>
      <c r="R567" s="1022"/>
      <c r="S567" s="1130"/>
      <c r="T567" s="1156"/>
    </row>
    <row r="568" spans="1:20" ht="37.5" x14ac:dyDescent="0.25">
      <c r="A568" s="1013">
        <v>2022562</v>
      </c>
      <c r="B568" s="1075" t="s">
        <v>459</v>
      </c>
      <c r="C568" s="1075"/>
      <c r="D568" s="1045" t="s">
        <v>689</v>
      </c>
      <c r="E568" s="1099" t="s">
        <v>1184</v>
      </c>
      <c r="F568" s="1074" t="s">
        <v>1185</v>
      </c>
      <c r="G568" s="1096" t="s">
        <v>1526</v>
      </c>
      <c r="H568" s="1096" t="s">
        <v>1526</v>
      </c>
      <c r="I568" s="1096" t="s">
        <v>1567</v>
      </c>
      <c r="J568" s="1096" t="s">
        <v>1568</v>
      </c>
      <c r="K568" s="1017" t="s">
        <v>43</v>
      </c>
      <c r="L568" s="1100"/>
      <c r="M568" s="1101">
        <v>1500000000</v>
      </c>
      <c r="N568" s="1037"/>
      <c r="O568" s="1037"/>
      <c r="P568" s="1037"/>
      <c r="Q568" s="1102"/>
      <c r="R568" s="1022"/>
      <c r="S568" s="1130"/>
      <c r="T568" s="1156"/>
    </row>
    <row r="569" spans="1:20" ht="37.5" x14ac:dyDescent="0.25">
      <c r="A569" s="1013">
        <v>2022563</v>
      </c>
      <c r="B569" s="1075" t="s">
        <v>459</v>
      </c>
      <c r="C569" s="1075"/>
      <c r="D569" s="1045" t="s">
        <v>689</v>
      </c>
      <c r="E569" s="1099" t="s">
        <v>1184</v>
      </c>
      <c r="F569" s="1074" t="s">
        <v>1185</v>
      </c>
      <c r="G569" s="1096" t="s">
        <v>1526</v>
      </c>
      <c r="H569" s="1096" t="s">
        <v>1526</v>
      </c>
      <c r="I569" s="1096" t="s">
        <v>1567</v>
      </c>
      <c r="J569" s="1096" t="s">
        <v>1568</v>
      </c>
      <c r="K569" s="1017" t="s">
        <v>43</v>
      </c>
      <c r="L569" s="1100"/>
      <c r="M569" s="1101">
        <v>550000000</v>
      </c>
      <c r="N569" s="1037"/>
      <c r="O569" s="1037"/>
      <c r="P569" s="1037"/>
      <c r="Q569" s="1102"/>
      <c r="R569" s="1022"/>
      <c r="S569" s="1130"/>
      <c r="T569" s="1156"/>
    </row>
    <row r="570" spans="1:20" ht="37.5" x14ac:dyDescent="0.25">
      <c r="A570" s="1013">
        <v>2022564</v>
      </c>
      <c r="B570" s="1075" t="s">
        <v>459</v>
      </c>
      <c r="C570" s="1075"/>
      <c r="D570" s="1045" t="s">
        <v>689</v>
      </c>
      <c r="E570" s="1099" t="s">
        <v>1184</v>
      </c>
      <c r="F570" s="1074" t="s">
        <v>1185</v>
      </c>
      <c r="G570" s="1096" t="s">
        <v>1526</v>
      </c>
      <c r="H570" s="1096" t="s">
        <v>1526</v>
      </c>
      <c r="I570" s="1096" t="s">
        <v>1567</v>
      </c>
      <c r="J570" s="1096" t="s">
        <v>1568</v>
      </c>
      <c r="K570" s="1017" t="s">
        <v>43</v>
      </c>
      <c r="L570" s="1100"/>
      <c r="M570" s="1101">
        <v>733000000</v>
      </c>
      <c r="N570" s="1037"/>
      <c r="O570" s="1037"/>
      <c r="P570" s="1037"/>
      <c r="Q570" s="1102"/>
      <c r="R570" s="1022"/>
      <c r="S570" s="1130"/>
      <c r="T570" s="1156"/>
    </row>
    <row r="571" spans="1:20" ht="37.5" x14ac:dyDescent="0.25">
      <c r="A571" s="1013">
        <v>2022565</v>
      </c>
      <c r="B571" s="1075" t="s">
        <v>459</v>
      </c>
      <c r="C571" s="1075"/>
      <c r="D571" s="1045" t="s">
        <v>689</v>
      </c>
      <c r="E571" s="1099" t="s">
        <v>1184</v>
      </c>
      <c r="F571" s="1074" t="s">
        <v>1185</v>
      </c>
      <c r="G571" s="1096" t="s">
        <v>1526</v>
      </c>
      <c r="H571" s="1096" t="s">
        <v>1526</v>
      </c>
      <c r="I571" s="1096" t="s">
        <v>1567</v>
      </c>
      <c r="J571" s="1096" t="s">
        <v>1568</v>
      </c>
      <c r="K571" s="1017" t="s">
        <v>43</v>
      </c>
      <c r="L571" s="1100"/>
      <c r="M571" s="1101">
        <v>150000000</v>
      </c>
      <c r="N571" s="1037"/>
      <c r="O571" s="1037"/>
      <c r="P571" s="1037"/>
      <c r="Q571" s="1102"/>
      <c r="R571" s="1022"/>
      <c r="S571" s="1130"/>
      <c r="T571" s="1156"/>
    </row>
    <row r="572" spans="1:20" ht="37.5" x14ac:dyDescent="0.25">
      <c r="A572" s="1013">
        <v>2022566</v>
      </c>
      <c r="B572" s="1075" t="s">
        <v>459</v>
      </c>
      <c r="C572" s="1075"/>
      <c r="D572" s="1045" t="s">
        <v>689</v>
      </c>
      <c r="E572" s="1099" t="s">
        <v>1184</v>
      </c>
      <c r="F572" s="1074" t="s">
        <v>1185</v>
      </c>
      <c r="G572" s="1096" t="s">
        <v>1526</v>
      </c>
      <c r="H572" s="1096" t="s">
        <v>1526</v>
      </c>
      <c r="I572" s="1096" t="s">
        <v>1567</v>
      </c>
      <c r="J572" s="1096" t="s">
        <v>1568</v>
      </c>
      <c r="K572" s="1017" t="s">
        <v>43</v>
      </c>
      <c r="L572" s="1100"/>
      <c r="M572" s="1101">
        <v>300000000</v>
      </c>
      <c r="N572" s="1037"/>
      <c r="O572" s="1037"/>
      <c r="P572" s="1037"/>
      <c r="Q572" s="1102"/>
      <c r="R572" s="1022"/>
      <c r="S572" s="1130"/>
      <c r="T572" s="1156"/>
    </row>
    <row r="573" spans="1:20" ht="37.5" x14ac:dyDescent="0.25">
      <c r="A573" s="1013">
        <v>2022567</v>
      </c>
      <c r="B573" s="1075" t="s">
        <v>459</v>
      </c>
      <c r="C573" s="1075"/>
      <c r="D573" s="1045" t="s">
        <v>689</v>
      </c>
      <c r="E573" s="1099" t="s">
        <v>1184</v>
      </c>
      <c r="F573" s="1074" t="s">
        <v>1185</v>
      </c>
      <c r="G573" s="1096" t="s">
        <v>1526</v>
      </c>
      <c r="H573" s="1096" t="s">
        <v>1526</v>
      </c>
      <c r="I573" s="1096" t="s">
        <v>1567</v>
      </c>
      <c r="J573" s="1096" t="s">
        <v>1568</v>
      </c>
      <c r="K573" s="1017" t="s">
        <v>43</v>
      </c>
      <c r="L573" s="1100"/>
      <c r="M573" s="1101">
        <v>67000000</v>
      </c>
      <c r="N573" s="1037"/>
      <c r="O573" s="1037"/>
      <c r="P573" s="1037"/>
      <c r="Q573" s="1102"/>
      <c r="R573" s="1022"/>
      <c r="S573" s="1130"/>
      <c r="T573" s="1156"/>
    </row>
    <row r="574" spans="1:20" ht="37.5" x14ac:dyDescent="0.25">
      <c r="A574" s="1013">
        <v>2022568</v>
      </c>
      <c r="B574" s="1075" t="s">
        <v>459</v>
      </c>
      <c r="C574" s="1075"/>
      <c r="D574" s="1045" t="s">
        <v>689</v>
      </c>
      <c r="E574" s="1107" t="s">
        <v>1186</v>
      </c>
      <c r="F574" s="1074" t="s">
        <v>1187</v>
      </c>
      <c r="G574" s="1096" t="s">
        <v>1532</v>
      </c>
      <c r="H574" s="1096" t="s">
        <v>1532</v>
      </c>
      <c r="I574" s="1096" t="s">
        <v>1564</v>
      </c>
      <c r="J574" s="1096" t="s">
        <v>1565</v>
      </c>
      <c r="K574" s="1017" t="s">
        <v>43</v>
      </c>
      <c r="L574" s="1100"/>
      <c r="M574" s="1101">
        <v>124000000</v>
      </c>
      <c r="N574" s="1037"/>
      <c r="O574" s="1037"/>
      <c r="P574" s="1037"/>
      <c r="Q574" s="1102"/>
      <c r="R574" s="1022"/>
      <c r="S574" s="1130"/>
      <c r="T574" s="1156"/>
    </row>
    <row r="575" spans="1:20" ht="37.5" x14ac:dyDescent="0.25">
      <c r="A575" s="1013">
        <v>2022569</v>
      </c>
      <c r="B575" s="1075" t="s">
        <v>459</v>
      </c>
      <c r="C575" s="1075"/>
      <c r="D575" s="1045" t="s">
        <v>689</v>
      </c>
      <c r="E575" s="1107" t="s">
        <v>1186</v>
      </c>
      <c r="F575" s="1074" t="s">
        <v>1188</v>
      </c>
      <c r="G575" s="1096" t="s">
        <v>1521</v>
      </c>
      <c r="H575" s="1096" t="s">
        <v>1521</v>
      </c>
      <c r="I575" s="1096" t="s">
        <v>1567</v>
      </c>
      <c r="J575" s="1096" t="s">
        <v>1565</v>
      </c>
      <c r="K575" s="1017" t="s">
        <v>43</v>
      </c>
      <c r="L575" s="1100"/>
      <c r="M575" s="1101">
        <v>109000000</v>
      </c>
      <c r="N575" s="1037"/>
      <c r="O575" s="1037"/>
      <c r="P575" s="1037"/>
      <c r="Q575" s="1102"/>
      <c r="R575" s="1022"/>
      <c r="S575" s="1130"/>
      <c r="T575" s="1156"/>
    </row>
    <row r="576" spans="1:20" ht="50" x14ac:dyDescent="0.25">
      <c r="A576" s="1013">
        <v>2022570</v>
      </c>
      <c r="B576" s="1075" t="s">
        <v>459</v>
      </c>
      <c r="C576" s="1075"/>
      <c r="D576" s="1045" t="s">
        <v>689</v>
      </c>
      <c r="E576" s="1107" t="s">
        <v>780</v>
      </c>
      <c r="F576" s="1074" t="s">
        <v>1189</v>
      </c>
      <c r="G576" s="1096" t="s">
        <v>1538</v>
      </c>
      <c r="H576" s="1096" t="s">
        <v>1538</v>
      </c>
      <c r="I576" s="1096" t="s">
        <v>1569</v>
      </c>
      <c r="J576" s="1096" t="s">
        <v>1565</v>
      </c>
      <c r="K576" s="1017" t="s">
        <v>43</v>
      </c>
      <c r="L576" s="1100"/>
      <c r="M576" s="1101">
        <v>350000000</v>
      </c>
      <c r="N576" s="1037"/>
      <c r="O576" s="1037"/>
      <c r="P576" s="1037"/>
      <c r="Q576" s="1102"/>
      <c r="R576" s="1022"/>
      <c r="S576" s="1130"/>
      <c r="T576" s="1156"/>
    </row>
    <row r="577" spans="1:20" ht="62.5" x14ac:dyDescent="0.25">
      <c r="A577" s="1013">
        <v>2022571</v>
      </c>
      <c r="B577" s="1075" t="s">
        <v>459</v>
      </c>
      <c r="C577" s="1075"/>
      <c r="D577" s="1045" t="s">
        <v>689</v>
      </c>
      <c r="E577" s="1099" t="s">
        <v>983</v>
      </c>
      <c r="F577" s="1074" t="s">
        <v>1190</v>
      </c>
      <c r="G577" s="1096" t="s">
        <v>1527</v>
      </c>
      <c r="H577" s="1096" t="s">
        <v>1527</v>
      </c>
      <c r="I577" s="1096" t="s">
        <v>1570</v>
      </c>
      <c r="J577" s="1096" t="s">
        <v>1568</v>
      </c>
      <c r="K577" s="1017" t="s">
        <v>43</v>
      </c>
      <c r="L577" s="1100"/>
      <c r="M577" s="1101">
        <v>756263000</v>
      </c>
      <c r="N577" s="1037"/>
      <c r="O577" s="1037"/>
      <c r="P577" s="1037"/>
      <c r="Q577" s="1102"/>
      <c r="R577" s="1022"/>
      <c r="S577" s="1130"/>
      <c r="T577" s="1156"/>
    </row>
    <row r="578" spans="1:20" ht="50" x14ac:dyDescent="0.25">
      <c r="A578" s="1013">
        <v>2022572</v>
      </c>
      <c r="B578" s="1075" t="s">
        <v>459</v>
      </c>
      <c r="C578" s="1075"/>
      <c r="D578" s="1045" t="s">
        <v>689</v>
      </c>
      <c r="E578" s="1099" t="s">
        <v>1171</v>
      </c>
      <c r="F578" s="1074" t="s">
        <v>987</v>
      </c>
      <c r="G578" s="1096" t="s">
        <v>1521</v>
      </c>
      <c r="H578" s="1096" t="s">
        <v>1521</v>
      </c>
      <c r="I578" s="1096" t="s">
        <v>1499</v>
      </c>
      <c r="J578" s="1096" t="s">
        <v>1475</v>
      </c>
      <c r="K578" s="1017" t="s">
        <v>43</v>
      </c>
      <c r="L578" s="1100"/>
      <c r="M578" s="1101">
        <v>37063000</v>
      </c>
      <c r="N578" s="1037"/>
      <c r="O578" s="1037"/>
      <c r="P578" s="1037"/>
      <c r="Q578" s="1102"/>
      <c r="R578" s="1022"/>
      <c r="S578" s="1130"/>
      <c r="T578" s="1156"/>
    </row>
    <row r="579" spans="1:20" ht="37.5" x14ac:dyDescent="0.25">
      <c r="A579" s="1013">
        <v>2022573</v>
      </c>
      <c r="B579" s="1075" t="s">
        <v>459</v>
      </c>
      <c r="C579" s="1075"/>
      <c r="D579" s="1045" t="s">
        <v>689</v>
      </c>
      <c r="E579" s="1099" t="s">
        <v>1171</v>
      </c>
      <c r="F579" s="1074" t="s">
        <v>989</v>
      </c>
      <c r="G579" s="1096" t="s">
        <v>1521</v>
      </c>
      <c r="H579" s="1096" t="s">
        <v>1521</v>
      </c>
      <c r="I579" s="1096" t="s">
        <v>1470</v>
      </c>
      <c r="J579" s="1096" t="s">
        <v>1475</v>
      </c>
      <c r="K579" s="1017" t="s">
        <v>43</v>
      </c>
      <c r="L579" s="1100"/>
      <c r="M579" s="1101">
        <v>382937000</v>
      </c>
      <c r="N579" s="1037"/>
      <c r="O579" s="1037"/>
      <c r="P579" s="1037"/>
      <c r="Q579" s="1102"/>
      <c r="R579" s="1022"/>
      <c r="S579" s="1130"/>
      <c r="T579" s="1156"/>
    </row>
    <row r="580" spans="1:20" ht="37.5" x14ac:dyDescent="0.25">
      <c r="A580" s="1013">
        <v>2022574</v>
      </c>
      <c r="B580" s="1075" t="s">
        <v>459</v>
      </c>
      <c r="C580" s="1075"/>
      <c r="D580" s="1045" t="s">
        <v>689</v>
      </c>
      <c r="E580" s="1099" t="s">
        <v>1191</v>
      </c>
      <c r="F580" s="1074" t="s">
        <v>1571</v>
      </c>
      <c r="G580" s="1096" t="s">
        <v>1521</v>
      </c>
      <c r="H580" s="1096" t="s">
        <v>1521</v>
      </c>
      <c r="I580" s="1096" t="s">
        <v>1563</v>
      </c>
      <c r="J580" s="1096" t="s">
        <v>1565</v>
      </c>
      <c r="K580" s="1017" t="s">
        <v>43</v>
      </c>
      <c r="L580" s="1100"/>
      <c r="M580" s="1101">
        <v>4019274</v>
      </c>
      <c r="N580" s="1037"/>
      <c r="O580" s="1037"/>
      <c r="P580" s="1037"/>
      <c r="Q580" s="1102"/>
      <c r="R580" s="1022"/>
      <c r="S580" s="1130"/>
      <c r="T580" s="1156"/>
    </row>
    <row r="581" spans="1:20" ht="50" x14ac:dyDescent="0.25">
      <c r="A581" s="1013">
        <v>2022575</v>
      </c>
      <c r="B581" s="1075" t="s">
        <v>459</v>
      </c>
      <c r="C581" s="1075"/>
      <c r="D581" s="1045" t="s">
        <v>689</v>
      </c>
      <c r="E581" s="1107" t="s">
        <v>1193</v>
      </c>
      <c r="F581" s="1074" t="s">
        <v>1194</v>
      </c>
      <c r="G581" s="1096" t="s">
        <v>1521</v>
      </c>
      <c r="H581" s="1096" t="s">
        <v>1521</v>
      </c>
      <c r="I581" s="1096" t="s">
        <v>1572</v>
      </c>
      <c r="J581" s="1096" t="s">
        <v>1565</v>
      </c>
      <c r="K581" s="1017" t="s">
        <v>43</v>
      </c>
      <c r="L581" s="1100"/>
      <c r="M581" s="1101">
        <v>8664250</v>
      </c>
      <c r="N581" s="1037"/>
      <c r="O581" s="1037"/>
      <c r="P581" s="1037"/>
      <c r="Q581" s="1102"/>
      <c r="R581" s="1022"/>
      <c r="S581" s="1130"/>
      <c r="T581" s="1156"/>
    </row>
    <row r="582" spans="1:20" ht="37.5" x14ac:dyDescent="0.25">
      <c r="A582" s="1013">
        <v>2022576</v>
      </c>
      <c r="B582" s="1075" t="s">
        <v>459</v>
      </c>
      <c r="C582" s="1075"/>
      <c r="D582" s="1045" t="s">
        <v>689</v>
      </c>
      <c r="E582" s="1107" t="s">
        <v>1191</v>
      </c>
      <c r="F582" s="1074" t="s">
        <v>1195</v>
      </c>
      <c r="G582" s="1096" t="s">
        <v>1532</v>
      </c>
      <c r="H582" s="1096" t="s">
        <v>1532</v>
      </c>
      <c r="I582" s="1096" t="s">
        <v>1573</v>
      </c>
      <c r="J582" s="1096" t="s">
        <v>1565</v>
      </c>
      <c r="K582" s="1017" t="s">
        <v>43</v>
      </c>
      <c r="L582" s="1100"/>
      <c r="M582" s="1101">
        <v>13335750</v>
      </c>
      <c r="N582" s="1037"/>
      <c r="O582" s="1037"/>
      <c r="P582" s="1037"/>
      <c r="Q582" s="1102"/>
      <c r="R582" s="1022"/>
      <c r="S582" s="1130"/>
      <c r="T582" s="1156"/>
    </row>
    <row r="583" spans="1:20" ht="37.5" x14ac:dyDescent="0.25">
      <c r="A583" s="1013">
        <v>2022577</v>
      </c>
      <c r="B583" s="1075" t="s">
        <v>459</v>
      </c>
      <c r="C583" s="1075"/>
      <c r="D583" s="1045" t="s">
        <v>689</v>
      </c>
      <c r="E583" s="1107" t="s">
        <v>1193</v>
      </c>
      <c r="F583" s="1074" t="s">
        <v>1192</v>
      </c>
      <c r="G583" s="1096" t="s">
        <v>1535</v>
      </c>
      <c r="H583" s="1096" t="s">
        <v>1535</v>
      </c>
      <c r="I583" s="1096" t="s">
        <v>1563</v>
      </c>
      <c r="J583" s="1096" t="s">
        <v>1565</v>
      </c>
      <c r="K583" s="1017" t="s">
        <v>43</v>
      </c>
      <c r="L583" s="1100"/>
      <c r="M583" s="1101">
        <v>3980726</v>
      </c>
      <c r="N583" s="1037"/>
      <c r="O583" s="1037"/>
      <c r="P583" s="1037"/>
      <c r="Q583" s="1102"/>
      <c r="R583" s="1022"/>
      <c r="S583" s="1130"/>
      <c r="T583" s="1156"/>
    </row>
    <row r="584" spans="1:20" ht="62.5" x14ac:dyDescent="0.25">
      <c r="A584" s="1013">
        <v>2022578</v>
      </c>
      <c r="B584" s="1075" t="s">
        <v>459</v>
      </c>
      <c r="C584" s="1075"/>
      <c r="D584" s="1045" t="s">
        <v>689</v>
      </c>
      <c r="E584" s="1099" t="s">
        <v>808</v>
      </c>
      <c r="F584" s="1074" t="s">
        <v>809</v>
      </c>
      <c r="G584" s="1096" t="s">
        <v>1521</v>
      </c>
      <c r="H584" s="1096" t="s">
        <v>1521</v>
      </c>
      <c r="I584" s="1096">
        <v>0</v>
      </c>
      <c r="J584" s="1096" t="s">
        <v>1574</v>
      </c>
      <c r="K584" s="1017" t="s">
        <v>43</v>
      </c>
      <c r="L584" s="1100"/>
      <c r="M584" s="1101">
        <v>20000000</v>
      </c>
      <c r="N584" s="1037"/>
      <c r="O584" s="1037"/>
      <c r="P584" s="1037"/>
      <c r="Q584" s="1102"/>
      <c r="R584" s="1022"/>
      <c r="S584" s="1130"/>
      <c r="T584" s="1156"/>
    </row>
    <row r="585" spans="1:20" ht="37.5" x14ac:dyDescent="0.25">
      <c r="A585" s="1013">
        <v>2022579</v>
      </c>
      <c r="B585" s="1075" t="s">
        <v>459</v>
      </c>
      <c r="C585" s="1075"/>
      <c r="D585" s="1045" t="s">
        <v>689</v>
      </c>
      <c r="E585" s="1099" t="s">
        <v>808</v>
      </c>
      <c r="F585" s="1074" t="s">
        <v>1196</v>
      </c>
      <c r="G585" s="1096" t="s">
        <v>1521</v>
      </c>
      <c r="H585" s="1096" t="s">
        <v>1521</v>
      </c>
      <c r="I585" s="1096" t="s">
        <v>1575</v>
      </c>
      <c r="J585" s="1096" t="s">
        <v>1574</v>
      </c>
      <c r="K585" s="1017" t="s">
        <v>43</v>
      </c>
      <c r="L585" s="1100"/>
      <c r="M585" s="1101">
        <v>130000000</v>
      </c>
      <c r="N585" s="1037"/>
      <c r="O585" s="1037"/>
      <c r="P585" s="1037"/>
      <c r="Q585" s="1102"/>
      <c r="R585" s="1022"/>
      <c r="S585" s="1130"/>
      <c r="T585" s="1156"/>
    </row>
    <row r="586" spans="1:20" ht="37.5" x14ac:dyDescent="0.25">
      <c r="A586" s="1013">
        <v>2022580</v>
      </c>
      <c r="B586" s="1075" t="s">
        <v>459</v>
      </c>
      <c r="C586" s="1075"/>
      <c r="D586" s="1045" t="s">
        <v>682</v>
      </c>
      <c r="E586" s="1096" t="s">
        <v>780</v>
      </c>
      <c r="F586" s="1074" t="s">
        <v>1197</v>
      </c>
      <c r="G586" s="1081" t="s">
        <v>1521</v>
      </c>
      <c r="H586" s="1081" t="s">
        <v>1521</v>
      </c>
      <c r="I586" s="1096" t="s">
        <v>1576</v>
      </c>
      <c r="J586" s="1096" t="s">
        <v>1565</v>
      </c>
      <c r="K586" s="1017" t="s">
        <v>43</v>
      </c>
      <c r="L586" s="1100"/>
      <c r="M586" s="1101">
        <v>85650000</v>
      </c>
      <c r="N586" s="1037"/>
      <c r="O586" s="1037"/>
      <c r="P586" s="1037"/>
      <c r="Q586" s="1102"/>
      <c r="R586" s="1022"/>
      <c r="S586" s="1130"/>
      <c r="T586" s="1156"/>
    </row>
    <row r="587" spans="1:20" ht="50" x14ac:dyDescent="0.25">
      <c r="A587" s="1013">
        <v>2022581</v>
      </c>
      <c r="B587" s="1075" t="s">
        <v>459</v>
      </c>
      <c r="C587" s="1075"/>
      <c r="D587" s="1045" t="s">
        <v>682</v>
      </c>
      <c r="E587" s="1096" t="s">
        <v>780</v>
      </c>
      <c r="F587" s="1074" t="s">
        <v>1198</v>
      </c>
      <c r="G587" s="1081" t="s">
        <v>1521</v>
      </c>
      <c r="H587" s="1081" t="s">
        <v>1521</v>
      </c>
      <c r="I587" s="1096" t="s">
        <v>1576</v>
      </c>
      <c r="J587" s="1096" t="s">
        <v>1565</v>
      </c>
      <c r="K587" s="1017" t="s">
        <v>43</v>
      </c>
      <c r="L587" s="1100"/>
      <c r="M587" s="1101">
        <v>55350000</v>
      </c>
      <c r="N587" s="1037"/>
      <c r="O587" s="1037"/>
      <c r="P587" s="1037"/>
      <c r="Q587" s="1102"/>
      <c r="R587" s="1022"/>
      <c r="S587" s="1130"/>
      <c r="T587" s="1156"/>
    </row>
    <row r="588" spans="1:20" ht="50" x14ac:dyDescent="0.25">
      <c r="A588" s="1013">
        <v>2022582</v>
      </c>
      <c r="B588" s="1075" t="s">
        <v>459</v>
      </c>
      <c r="C588" s="1075"/>
      <c r="D588" s="1045" t="s">
        <v>682</v>
      </c>
      <c r="E588" s="1096" t="s">
        <v>780</v>
      </c>
      <c r="F588" s="1074" t="s">
        <v>1199</v>
      </c>
      <c r="G588" s="1081" t="s">
        <v>1521</v>
      </c>
      <c r="H588" s="1081" t="s">
        <v>1521</v>
      </c>
      <c r="I588" s="1096" t="s">
        <v>1474</v>
      </c>
      <c r="J588" s="1096" t="s">
        <v>1565</v>
      </c>
      <c r="K588" s="1017" t="s">
        <v>43</v>
      </c>
      <c r="L588" s="1100"/>
      <c r="M588" s="1101">
        <v>99000000</v>
      </c>
      <c r="N588" s="1037"/>
      <c r="O588" s="1037"/>
      <c r="P588" s="1037"/>
      <c r="Q588" s="1102"/>
      <c r="R588" s="1022"/>
      <c r="S588" s="1130"/>
      <c r="T588" s="1156"/>
    </row>
    <row r="589" spans="1:20" ht="87.5" x14ac:dyDescent="0.25">
      <c r="A589" s="1013">
        <v>2022583</v>
      </c>
      <c r="B589" s="1075" t="s">
        <v>459</v>
      </c>
      <c r="C589" s="1075"/>
      <c r="D589" s="1045" t="s">
        <v>698</v>
      </c>
      <c r="E589" s="1096" t="s">
        <v>1200</v>
      </c>
      <c r="F589" s="1074" t="s">
        <v>1201</v>
      </c>
      <c r="G589" s="1081" t="s">
        <v>1521</v>
      </c>
      <c r="H589" s="1081" t="s">
        <v>1521</v>
      </c>
      <c r="I589" s="1096" t="s">
        <v>1460</v>
      </c>
      <c r="J589" s="1096" t="s">
        <v>1577</v>
      </c>
      <c r="K589" s="1017" t="s">
        <v>43</v>
      </c>
      <c r="L589" s="1100"/>
      <c r="M589" s="1101">
        <v>22000000</v>
      </c>
      <c r="N589" s="1037"/>
      <c r="O589" s="1037"/>
      <c r="P589" s="1037"/>
      <c r="Q589" s="1102"/>
      <c r="R589" s="1022"/>
      <c r="S589" s="1130"/>
      <c r="T589" s="1156"/>
    </row>
    <row r="590" spans="1:20" ht="25" x14ac:dyDescent="0.25">
      <c r="A590" s="1013">
        <v>2022584</v>
      </c>
      <c r="B590" s="1075" t="s">
        <v>459</v>
      </c>
      <c r="C590" s="1075"/>
      <c r="D590" s="1045" t="s">
        <v>701</v>
      </c>
      <c r="E590" s="1108" t="s">
        <v>1202</v>
      </c>
      <c r="F590" s="1074" t="s">
        <v>1203</v>
      </c>
      <c r="G590" s="1096" t="s">
        <v>1526</v>
      </c>
      <c r="H590" s="1096" t="s">
        <v>1526</v>
      </c>
      <c r="I590" s="1096" t="s">
        <v>1563</v>
      </c>
      <c r="J590" s="1096" t="s">
        <v>1565</v>
      </c>
      <c r="K590" s="1017" t="s">
        <v>43</v>
      </c>
      <c r="L590" s="1100"/>
      <c r="M590" s="1101">
        <v>700102000</v>
      </c>
      <c r="N590" s="1037"/>
      <c r="O590" s="1037"/>
      <c r="P590" s="1037"/>
      <c r="Q590" s="1102"/>
      <c r="R590" s="1022"/>
      <c r="S590" s="1130"/>
      <c r="T590" s="1156"/>
    </row>
    <row r="591" spans="1:20" ht="212.5" x14ac:dyDescent="0.25">
      <c r="A591" s="1013">
        <v>2022585</v>
      </c>
      <c r="B591" s="1075" t="s">
        <v>459</v>
      </c>
      <c r="C591" s="1075"/>
      <c r="D591" s="1045" t="s">
        <v>695</v>
      </c>
      <c r="E591" s="1099" t="s">
        <v>1204</v>
      </c>
      <c r="F591" s="1074" t="s">
        <v>1205</v>
      </c>
      <c r="G591" s="1096" t="s">
        <v>1532</v>
      </c>
      <c r="H591" s="1096" t="s">
        <v>1532</v>
      </c>
      <c r="I591" s="1096" t="s">
        <v>1563</v>
      </c>
      <c r="J591" s="1096" t="s">
        <v>1568</v>
      </c>
      <c r="K591" s="1017" t="s">
        <v>43</v>
      </c>
      <c r="L591" s="1100"/>
      <c r="M591" s="1101">
        <v>40000000</v>
      </c>
      <c r="N591" s="1037"/>
      <c r="O591" s="1037"/>
      <c r="P591" s="1037"/>
      <c r="Q591" s="1102"/>
      <c r="R591" s="1022"/>
      <c r="S591" s="1130"/>
      <c r="T591" s="1156"/>
    </row>
    <row r="592" spans="1:20" ht="50" x14ac:dyDescent="0.25">
      <c r="A592" s="1013">
        <v>2022586</v>
      </c>
      <c r="B592" s="1075" t="s">
        <v>459</v>
      </c>
      <c r="C592" s="1075"/>
      <c r="D592" s="1045" t="s">
        <v>695</v>
      </c>
      <c r="E592" s="1108" t="s">
        <v>1206</v>
      </c>
      <c r="F592" s="1074" t="s">
        <v>1207</v>
      </c>
      <c r="G592" s="1096" t="s">
        <v>1522</v>
      </c>
      <c r="H592" s="1096" t="s">
        <v>1522</v>
      </c>
      <c r="I592" s="1096" t="s">
        <v>1573</v>
      </c>
      <c r="J592" s="1096" t="s">
        <v>1568</v>
      </c>
      <c r="K592" s="1017" t="s">
        <v>43</v>
      </c>
      <c r="L592" s="1100"/>
      <c r="M592" s="1101">
        <v>870000000</v>
      </c>
      <c r="N592" s="1037"/>
      <c r="O592" s="1037"/>
      <c r="P592" s="1037"/>
      <c r="Q592" s="1102"/>
      <c r="R592" s="1022"/>
      <c r="S592" s="1130"/>
      <c r="T592" s="1156"/>
    </row>
    <row r="593" spans="1:20" ht="25" x14ac:dyDescent="0.25">
      <c r="A593" s="1013">
        <v>2022587</v>
      </c>
      <c r="B593" s="1075" t="s">
        <v>459</v>
      </c>
      <c r="C593" s="1075"/>
      <c r="D593" s="1045" t="s">
        <v>695</v>
      </c>
      <c r="E593" s="1096" t="s">
        <v>1208</v>
      </c>
      <c r="F593" s="1074" t="s">
        <v>1209</v>
      </c>
      <c r="G593" s="1096" t="s">
        <v>1578</v>
      </c>
      <c r="H593" s="1096" t="s">
        <v>1578</v>
      </c>
      <c r="I593" s="1096" t="s">
        <v>1210</v>
      </c>
      <c r="J593" s="1096"/>
      <c r="K593" s="1017" t="s">
        <v>43</v>
      </c>
      <c r="L593" s="1100"/>
      <c r="M593" s="1101">
        <v>150000000</v>
      </c>
      <c r="N593" s="1037"/>
      <c r="O593" s="1037"/>
      <c r="P593" s="1037"/>
      <c r="Q593" s="1102"/>
      <c r="R593" s="1022"/>
      <c r="S593" s="1130"/>
      <c r="T593" s="1156"/>
    </row>
    <row r="594" spans="1:20" ht="25" x14ac:dyDescent="0.25">
      <c r="A594" s="1013">
        <v>2022588</v>
      </c>
      <c r="B594" s="1075" t="s">
        <v>459</v>
      </c>
      <c r="C594" s="1075"/>
      <c r="D594" s="1045" t="s">
        <v>695</v>
      </c>
      <c r="E594" s="1099" t="s">
        <v>1211</v>
      </c>
      <c r="F594" s="1074" t="s">
        <v>1212</v>
      </c>
      <c r="G594" s="1096" t="s">
        <v>1537</v>
      </c>
      <c r="H594" s="1096" t="s">
        <v>1537</v>
      </c>
      <c r="I594" s="1096" t="s">
        <v>1564</v>
      </c>
      <c r="J594" s="1096" t="s">
        <v>1574</v>
      </c>
      <c r="K594" s="1017" t="s">
        <v>43</v>
      </c>
      <c r="L594" s="1100"/>
      <c r="M594" s="1101">
        <v>250000000</v>
      </c>
      <c r="N594" s="1037"/>
      <c r="O594" s="1037"/>
      <c r="P594" s="1037"/>
      <c r="Q594" s="1102"/>
      <c r="R594" s="1022"/>
      <c r="S594" s="1130"/>
      <c r="T594" s="1156"/>
    </row>
    <row r="595" spans="1:20" ht="87.5" x14ac:dyDescent="0.25">
      <c r="A595" s="1013">
        <v>2022589</v>
      </c>
      <c r="B595" s="1075" t="s">
        <v>459</v>
      </c>
      <c r="C595" s="1075"/>
      <c r="D595" s="1045" t="s">
        <v>695</v>
      </c>
      <c r="E595" s="1099" t="s">
        <v>1213</v>
      </c>
      <c r="F595" s="1074" t="s">
        <v>1214</v>
      </c>
      <c r="G595" s="1096" t="s">
        <v>1522</v>
      </c>
      <c r="H595" s="1096" t="s">
        <v>1522</v>
      </c>
      <c r="I595" s="1096" t="s">
        <v>1573</v>
      </c>
      <c r="J595" s="1096" t="s">
        <v>1577</v>
      </c>
      <c r="K595" s="1017" t="s">
        <v>43</v>
      </c>
      <c r="L595" s="1100"/>
      <c r="M595" s="1101">
        <v>50000000</v>
      </c>
      <c r="N595" s="1037"/>
      <c r="O595" s="1037"/>
      <c r="P595" s="1037"/>
      <c r="Q595" s="1102"/>
      <c r="R595" s="1022"/>
      <c r="S595" s="1130"/>
      <c r="T595" s="1156"/>
    </row>
    <row r="596" spans="1:20" ht="75" x14ac:dyDescent="0.25">
      <c r="A596" s="1013">
        <v>2022590</v>
      </c>
      <c r="B596" s="1075" t="s">
        <v>459</v>
      </c>
      <c r="C596" s="1075"/>
      <c r="D596" s="1045" t="s">
        <v>695</v>
      </c>
      <c r="E596" s="1096" t="s">
        <v>1210</v>
      </c>
      <c r="F596" s="1074" t="s">
        <v>1215</v>
      </c>
      <c r="G596" s="1096" t="s">
        <v>1526</v>
      </c>
      <c r="H596" s="1096" t="s">
        <v>1526</v>
      </c>
      <c r="I596" s="1096" t="s">
        <v>1567</v>
      </c>
      <c r="J596" s="1096" t="s">
        <v>1579</v>
      </c>
      <c r="K596" s="1017" t="s">
        <v>43</v>
      </c>
      <c r="L596" s="1104"/>
      <c r="M596" s="1105">
        <v>2476000000</v>
      </c>
      <c r="N596" s="1037"/>
      <c r="O596" s="1037"/>
      <c r="P596" s="1037"/>
      <c r="Q596" s="1102"/>
      <c r="R596" s="1022"/>
      <c r="S596" s="1130"/>
      <c r="T596" s="1156"/>
    </row>
    <row r="597" spans="1:20" ht="84" customHeight="1" x14ac:dyDescent="0.25">
      <c r="A597" s="1013">
        <v>2022591</v>
      </c>
      <c r="B597" s="1075" t="s">
        <v>459</v>
      </c>
      <c r="C597" s="1075"/>
      <c r="D597" s="1014" t="s">
        <v>671</v>
      </c>
      <c r="E597" s="1096" t="s">
        <v>1216</v>
      </c>
      <c r="F597" s="1074" t="s">
        <v>1580</v>
      </c>
      <c r="G597" s="1096" t="s">
        <v>1521</v>
      </c>
      <c r="H597" s="1096" t="s">
        <v>1521</v>
      </c>
      <c r="I597" s="1096" t="s">
        <v>1581</v>
      </c>
      <c r="J597" s="1096" t="s">
        <v>1565</v>
      </c>
      <c r="K597" s="1017" t="s">
        <v>43</v>
      </c>
      <c r="L597" s="1104"/>
      <c r="M597" s="1105">
        <v>35000000</v>
      </c>
      <c r="N597" s="1037"/>
      <c r="O597" s="1037"/>
      <c r="P597" s="1037"/>
      <c r="Q597" s="1047">
        <v>44600</v>
      </c>
      <c r="R597" s="1022"/>
      <c r="S597" s="1130"/>
      <c r="T597" s="1156"/>
    </row>
    <row r="598" spans="1:20" ht="50" x14ac:dyDescent="0.25">
      <c r="A598" s="1013">
        <v>2022592</v>
      </c>
      <c r="B598" s="1075" t="s">
        <v>459</v>
      </c>
      <c r="C598" s="1075"/>
      <c r="D598" s="1014" t="s">
        <v>671</v>
      </c>
      <c r="E598" s="1096" t="s">
        <v>1216</v>
      </c>
      <c r="F598" s="1074" t="s">
        <v>1218</v>
      </c>
      <c r="G598" s="1096" t="s">
        <v>1521</v>
      </c>
      <c r="H598" s="1096" t="s">
        <v>1521</v>
      </c>
      <c r="I598" s="1096" t="s">
        <v>1581</v>
      </c>
      <c r="J598" s="1096" t="s">
        <v>1582</v>
      </c>
      <c r="K598" s="1017" t="s">
        <v>43</v>
      </c>
      <c r="L598" s="1104"/>
      <c r="M598" s="1105">
        <v>19810000</v>
      </c>
      <c r="N598" s="1037"/>
      <c r="O598" s="1037"/>
      <c r="P598" s="1037"/>
      <c r="Q598" s="1047">
        <v>44600</v>
      </c>
      <c r="R598" s="1022"/>
      <c r="S598" s="1130"/>
      <c r="T598" s="1156"/>
    </row>
    <row r="599" spans="1:20" ht="62.5" x14ac:dyDescent="0.25">
      <c r="A599" s="1013">
        <v>2022593</v>
      </c>
      <c r="B599" s="1075" t="s">
        <v>459</v>
      </c>
      <c r="C599" s="1075"/>
      <c r="D599" s="1014" t="s">
        <v>671</v>
      </c>
      <c r="E599" s="1099" t="s">
        <v>1219</v>
      </c>
      <c r="F599" s="1074" t="s">
        <v>1220</v>
      </c>
      <c r="G599" s="1096" t="s">
        <v>1521</v>
      </c>
      <c r="H599" s="1096" t="s">
        <v>1521</v>
      </c>
      <c r="I599" s="1096" t="s">
        <v>1583</v>
      </c>
      <c r="J599" s="1096" t="s">
        <v>1565</v>
      </c>
      <c r="K599" s="1017" t="s">
        <v>43</v>
      </c>
      <c r="L599" s="1104"/>
      <c r="M599" s="1105">
        <v>10000000</v>
      </c>
      <c r="N599" s="1037"/>
      <c r="O599" s="1037"/>
      <c r="P599" s="1037"/>
      <c r="Q599" s="1102"/>
      <c r="R599" s="1022"/>
      <c r="S599" s="1130"/>
      <c r="T599" s="1156"/>
    </row>
    <row r="600" spans="1:20" ht="37.5" x14ac:dyDescent="0.25">
      <c r="A600" s="1013">
        <v>2022594</v>
      </c>
      <c r="B600" s="1075" t="s">
        <v>459</v>
      </c>
      <c r="C600" s="1075"/>
      <c r="D600" s="1014" t="s">
        <v>671</v>
      </c>
      <c r="E600" s="1099" t="s">
        <v>1221</v>
      </c>
      <c r="F600" s="1074" t="s">
        <v>1584</v>
      </c>
      <c r="G600" s="1096" t="s">
        <v>1521</v>
      </c>
      <c r="H600" s="1096" t="s">
        <v>1521</v>
      </c>
      <c r="I600" s="1096" t="s">
        <v>1563</v>
      </c>
      <c r="J600" s="1096" t="s">
        <v>1565</v>
      </c>
      <c r="K600" s="1017" t="s">
        <v>43</v>
      </c>
      <c r="L600" s="1104"/>
      <c r="M600" s="1105">
        <v>8386190</v>
      </c>
      <c r="N600" s="1037"/>
      <c r="O600" s="1037"/>
      <c r="P600" s="1037"/>
      <c r="Q600" s="1102"/>
      <c r="R600" s="1022"/>
      <c r="S600" s="1130"/>
      <c r="T600" s="1156"/>
    </row>
    <row r="601" spans="1:20" ht="37.5" x14ac:dyDescent="0.25">
      <c r="A601" s="1013">
        <v>2022595</v>
      </c>
      <c r="B601" s="1075" t="s">
        <v>459</v>
      </c>
      <c r="C601" s="1075"/>
      <c r="D601" s="1014" t="s">
        <v>671</v>
      </c>
      <c r="E601" s="1099" t="s">
        <v>1223</v>
      </c>
      <c r="F601" s="1074" t="s">
        <v>1224</v>
      </c>
      <c r="G601" s="1096" t="s">
        <v>1538</v>
      </c>
      <c r="H601" s="1096" t="s">
        <v>1538</v>
      </c>
      <c r="I601" s="1096" t="s">
        <v>1567</v>
      </c>
      <c r="J601" s="1096" t="s">
        <v>1565</v>
      </c>
      <c r="K601" s="1017" t="s">
        <v>43</v>
      </c>
      <c r="L601" s="1104"/>
      <c r="M601" s="1105">
        <v>35000000</v>
      </c>
      <c r="N601" s="1037"/>
      <c r="O601" s="1037"/>
      <c r="P601" s="1037"/>
      <c r="Q601" s="1102"/>
      <c r="R601" s="1022"/>
      <c r="S601" s="1130"/>
      <c r="T601" s="1156"/>
    </row>
    <row r="602" spans="1:20" ht="37.5" x14ac:dyDescent="0.25">
      <c r="A602" s="1013">
        <v>2022596</v>
      </c>
      <c r="B602" s="1075" t="s">
        <v>459</v>
      </c>
      <c r="C602" s="1075"/>
      <c r="D602" s="1014" t="s">
        <v>671</v>
      </c>
      <c r="E602" s="1099" t="s">
        <v>1225</v>
      </c>
      <c r="F602" s="1074" t="s">
        <v>1585</v>
      </c>
      <c r="G602" s="1096" t="s">
        <v>1537</v>
      </c>
      <c r="H602" s="1096" t="s">
        <v>1537</v>
      </c>
      <c r="I602" s="1096" t="s">
        <v>1581</v>
      </c>
      <c r="J602" s="1096" t="s">
        <v>1475</v>
      </c>
      <c r="K602" s="1017" t="s">
        <v>43</v>
      </c>
      <c r="L602" s="1104"/>
      <c r="M602" s="1105">
        <v>35000000</v>
      </c>
      <c r="N602" s="1037"/>
      <c r="O602" s="1037"/>
      <c r="P602" s="1037"/>
      <c r="Q602" s="1102"/>
      <c r="R602" s="1022"/>
      <c r="S602" s="1130"/>
      <c r="T602" s="1156"/>
    </row>
    <row r="603" spans="1:20" ht="87.5" x14ac:dyDescent="0.25">
      <c r="A603" s="1013">
        <v>2022597</v>
      </c>
      <c r="B603" s="1075" t="s">
        <v>459</v>
      </c>
      <c r="C603" s="1075"/>
      <c r="D603" s="1014" t="s">
        <v>671</v>
      </c>
      <c r="E603" s="1096" t="s">
        <v>1227</v>
      </c>
      <c r="F603" s="1074" t="s">
        <v>1586</v>
      </c>
      <c r="G603" s="1096" t="s">
        <v>1521</v>
      </c>
      <c r="H603" s="1096" t="s">
        <v>1521</v>
      </c>
      <c r="I603" s="1096" t="s">
        <v>1587</v>
      </c>
      <c r="J603" s="1096" t="s">
        <v>1475</v>
      </c>
      <c r="K603" s="1017" t="s">
        <v>43</v>
      </c>
      <c r="L603" s="1104"/>
      <c r="M603" s="1105">
        <f>300000000-81890487</f>
        <v>218109513</v>
      </c>
      <c r="N603" s="1037"/>
      <c r="O603" s="1037"/>
      <c r="P603" s="1037"/>
      <c r="Q603" s="1047">
        <v>44600</v>
      </c>
      <c r="R603" s="1022"/>
      <c r="S603" s="1130"/>
      <c r="T603" s="1156"/>
    </row>
    <row r="604" spans="1:20" ht="62.5" x14ac:dyDescent="0.25">
      <c r="A604" s="1013">
        <v>2022598</v>
      </c>
      <c r="B604" s="1075" t="s">
        <v>459</v>
      </c>
      <c r="C604" s="1075"/>
      <c r="D604" s="1014" t="s">
        <v>671</v>
      </c>
      <c r="E604" s="1096" t="s">
        <v>1229</v>
      </c>
      <c r="F604" s="1074" t="s">
        <v>1230</v>
      </c>
      <c r="G604" s="1096" t="s">
        <v>1521</v>
      </c>
      <c r="H604" s="1096" t="s">
        <v>1521</v>
      </c>
      <c r="I604" s="1096" t="s">
        <v>1587</v>
      </c>
      <c r="J604" s="1096" t="s">
        <v>1565</v>
      </c>
      <c r="K604" s="1017" t="s">
        <v>43</v>
      </c>
      <c r="L604" s="1104"/>
      <c r="M604" s="1105">
        <v>120473160</v>
      </c>
      <c r="N604" s="1037"/>
      <c r="O604" s="1037"/>
      <c r="P604" s="1037"/>
      <c r="Q604" s="1102"/>
      <c r="R604" s="1022"/>
      <c r="S604" s="1130"/>
      <c r="T604" s="1156"/>
    </row>
    <row r="605" spans="1:20" ht="50" x14ac:dyDescent="0.25">
      <c r="A605" s="1013">
        <v>2022599</v>
      </c>
      <c r="B605" s="1075" t="s">
        <v>459</v>
      </c>
      <c r="C605" s="1075"/>
      <c r="D605" s="1014" t="s">
        <v>671</v>
      </c>
      <c r="E605" s="1096" t="s">
        <v>1229</v>
      </c>
      <c r="F605" s="1074" t="s">
        <v>1232</v>
      </c>
      <c r="G605" s="1096" t="s">
        <v>1532</v>
      </c>
      <c r="H605" s="1096" t="s">
        <v>1532</v>
      </c>
      <c r="I605" s="1096" t="s">
        <v>1588</v>
      </c>
      <c r="J605" s="1096" t="s">
        <v>1565</v>
      </c>
      <c r="K605" s="1017" t="s">
        <v>43</v>
      </c>
      <c r="L605" s="1104"/>
      <c r="M605" s="1105">
        <v>171518585</v>
      </c>
      <c r="N605" s="1037"/>
      <c r="O605" s="1037"/>
      <c r="P605" s="1037"/>
      <c r="Q605" s="1102"/>
      <c r="R605" s="1022"/>
      <c r="S605" s="1130"/>
      <c r="T605" s="1156"/>
    </row>
    <row r="606" spans="1:20" ht="25" x14ac:dyDescent="0.25">
      <c r="A606" s="1013">
        <v>2022600</v>
      </c>
      <c r="B606" s="1075" t="s">
        <v>459</v>
      </c>
      <c r="C606" s="1075"/>
      <c r="D606" s="1014" t="s">
        <v>671</v>
      </c>
      <c r="E606" s="1096" t="s">
        <v>1210</v>
      </c>
      <c r="F606" s="1074" t="s">
        <v>1233</v>
      </c>
      <c r="G606" s="1096" t="s">
        <v>1210</v>
      </c>
      <c r="H606" s="1096" t="s">
        <v>1210</v>
      </c>
      <c r="I606" s="1096" t="s">
        <v>1210</v>
      </c>
      <c r="J606" s="1096" t="s">
        <v>1210</v>
      </c>
      <c r="K606" s="1017"/>
      <c r="L606" s="1104"/>
      <c r="M606" s="1105">
        <v>1613810</v>
      </c>
      <c r="N606" s="1037"/>
      <c r="O606" s="1037"/>
      <c r="P606" s="1037"/>
      <c r="Q606" s="1102"/>
      <c r="R606" s="1022"/>
      <c r="S606" s="1130"/>
      <c r="T606" s="1156"/>
    </row>
    <row r="607" spans="1:20" ht="25" x14ac:dyDescent="0.25">
      <c r="A607" s="1013">
        <v>2022601</v>
      </c>
      <c r="B607" s="1075" t="s">
        <v>459</v>
      </c>
      <c r="C607" s="1075"/>
      <c r="D607" s="1014" t="s">
        <v>671</v>
      </c>
      <c r="E607" s="1096" t="s">
        <v>1210</v>
      </c>
      <c r="F607" s="1074" t="s">
        <v>1234</v>
      </c>
      <c r="G607" s="1096" t="s">
        <v>1210</v>
      </c>
      <c r="H607" s="1096" t="s">
        <v>1210</v>
      </c>
      <c r="I607" s="1096" t="s">
        <v>1210</v>
      </c>
      <c r="J607" s="1096" t="s">
        <v>1210</v>
      </c>
      <c r="K607" s="1017"/>
      <c r="L607" s="1104"/>
      <c r="M607" s="1105">
        <v>8008255</v>
      </c>
      <c r="N607" s="1037"/>
      <c r="O607" s="1037"/>
      <c r="P607" s="1037"/>
      <c r="Q607" s="1102"/>
      <c r="R607" s="1022"/>
      <c r="S607" s="1130"/>
      <c r="T607" s="1156"/>
    </row>
    <row r="608" spans="1:20" s="1110" customFormat="1" ht="125" x14ac:dyDescent="0.35">
      <c r="A608" s="1013">
        <v>2022602</v>
      </c>
      <c r="B608" s="1096">
        <v>7637</v>
      </c>
      <c r="C608" s="1013" t="s">
        <v>643</v>
      </c>
      <c r="D608" s="1014" t="s">
        <v>671</v>
      </c>
      <c r="E608" s="1096">
        <v>80111600</v>
      </c>
      <c r="F608" s="1074" t="s">
        <v>1235</v>
      </c>
      <c r="G608" s="1096" t="s">
        <v>1414</v>
      </c>
      <c r="H608" s="1096" t="s">
        <v>1414</v>
      </c>
      <c r="I608" s="1096" t="s">
        <v>1589</v>
      </c>
      <c r="J608" s="1096" t="s">
        <v>1455</v>
      </c>
      <c r="K608" s="1017" t="s">
        <v>674</v>
      </c>
      <c r="L608" s="1109" t="s">
        <v>675</v>
      </c>
      <c r="M608" s="1105">
        <v>3500000</v>
      </c>
      <c r="N608" s="1037" t="s">
        <v>732</v>
      </c>
      <c r="O608" s="1037" t="s">
        <v>1416</v>
      </c>
      <c r="P608" s="1037"/>
      <c r="Q608" s="977"/>
      <c r="R608" s="1022"/>
      <c r="S608" s="1130"/>
      <c r="T608" s="1156"/>
    </row>
    <row r="609" spans="1:20" ht="100" x14ac:dyDescent="0.25">
      <c r="A609" s="1111">
        <v>2022603</v>
      </c>
      <c r="B609" s="1111">
        <v>7655</v>
      </c>
      <c r="C609" s="1111" t="s">
        <v>668</v>
      </c>
      <c r="D609" s="1112" t="s">
        <v>671</v>
      </c>
      <c r="E609" s="1111">
        <v>80111600</v>
      </c>
      <c r="F609" s="1068" t="s">
        <v>1236</v>
      </c>
      <c r="G609" s="1078" t="s">
        <v>1414</v>
      </c>
      <c r="H609" s="1054" t="s">
        <v>1414</v>
      </c>
      <c r="I609" s="1113" t="s">
        <v>1457</v>
      </c>
      <c r="J609" s="1114" t="s">
        <v>1455</v>
      </c>
      <c r="K609" s="1098" t="s">
        <v>674</v>
      </c>
      <c r="L609" s="1098" t="s">
        <v>675</v>
      </c>
      <c r="M609" s="1115">
        <v>42000000</v>
      </c>
      <c r="N609" s="1116" t="s">
        <v>726</v>
      </c>
      <c r="O609" s="1056" t="s">
        <v>1456</v>
      </c>
      <c r="P609" s="1056"/>
      <c r="Q609" s="1117"/>
      <c r="R609" s="1022"/>
      <c r="S609" s="1130">
        <v>453</v>
      </c>
      <c r="T609" s="1156">
        <v>42000000</v>
      </c>
    </row>
    <row r="610" spans="1:20" ht="60.65" customHeight="1" x14ac:dyDescent="0.25">
      <c r="A610" s="1111">
        <v>2022604</v>
      </c>
      <c r="B610" s="1111">
        <v>7655</v>
      </c>
      <c r="C610" s="1111" t="s">
        <v>668</v>
      </c>
      <c r="D610" s="1112" t="s">
        <v>682</v>
      </c>
      <c r="E610" s="1111">
        <v>80111600</v>
      </c>
      <c r="F610" s="1068" t="s">
        <v>1237</v>
      </c>
      <c r="G610" s="1078">
        <v>44578</v>
      </c>
      <c r="H610" s="1078">
        <v>44578</v>
      </c>
      <c r="I610" s="1118" t="s">
        <v>1590</v>
      </c>
      <c r="J610" s="1114" t="s">
        <v>1455</v>
      </c>
      <c r="K610" s="1098" t="s">
        <v>674</v>
      </c>
      <c r="L610" s="1098" t="s">
        <v>675</v>
      </c>
      <c r="M610" s="1115">
        <v>28175000</v>
      </c>
      <c r="N610" s="1044" t="s">
        <v>730</v>
      </c>
      <c r="O610" s="1044" t="s">
        <v>1456</v>
      </c>
      <c r="P610" s="1044"/>
      <c r="Q610" s="1117"/>
      <c r="R610" s="1022"/>
      <c r="S610" s="1130">
        <v>407</v>
      </c>
      <c r="T610" s="1156">
        <v>28175000</v>
      </c>
    </row>
    <row r="611" spans="1:20" ht="62.5" x14ac:dyDescent="0.25">
      <c r="A611" s="1023">
        <v>2022605</v>
      </c>
      <c r="B611" s="1023">
        <v>7655</v>
      </c>
      <c r="C611" s="1023" t="s">
        <v>668</v>
      </c>
      <c r="D611" s="1039" t="s">
        <v>671</v>
      </c>
      <c r="E611" s="1023">
        <v>80111600</v>
      </c>
      <c r="F611" s="1026" t="s">
        <v>1238</v>
      </c>
      <c r="G611" s="1041" t="s">
        <v>1414</v>
      </c>
      <c r="H611" s="1028" t="s">
        <v>1414</v>
      </c>
      <c r="I611" s="1119" t="s">
        <v>1459</v>
      </c>
      <c r="J611" s="1043" t="s">
        <v>1455</v>
      </c>
      <c r="K611" s="1027" t="s">
        <v>674</v>
      </c>
      <c r="L611" s="1027" t="s">
        <v>675</v>
      </c>
      <c r="M611" s="1030">
        <f>10*4500000</f>
        <v>45000000</v>
      </c>
      <c r="N611" s="1044" t="s">
        <v>730</v>
      </c>
      <c r="O611" s="1056" t="s">
        <v>1456</v>
      </c>
      <c r="P611" s="1056"/>
      <c r="Q611" s="1117"/>
      <c r="R611" s="1022"/>
      <c r="S611" s="1130">
        <v>464</v>
      </c>
      <c r="T611" s="1156">
        <v>36000000</v>
      </c>
    </row>
    <row r="612" spans="1:20" ht="62.5" x14ac:dyDescent="0.25">
      <c r="A612" s="1111">
        <v>2022606</v>
      </c>
      <c r="B612" s="1111">
        <v>7655</v>
      </c>
      <c r="C612" s="1111" t="s">
        <v>668</v>
      </c>
      <c r="D612" s="1112" t="s">
        <v>682</v>
      </c>
      <c r="E612" s="1111">
        <v>80111600</v>
      </c>
      <c r="F612" s="1068" t="s">
        <v>1239</v>
      </c>
      <c r="G612" s="1120">
        <v>44582</v>
      </c>
      <c r="H612" s="1120">
        <v>44582</v>
      </c>
      <c r="I612" s="1098" t="s">
        <v>1563</v>
      </c>
      <c r="J612" s="1114" t="s">
        <v>1455</v>
      </c>
      <c r="K612" s="1098" t="s">
        <v>674</v>
      </c>
      <c r="L612" s="1098" t="s">
        <v>675</v>
      </c>
      <c r="M612" s="1115">
        <v>19200000</v>
      </c>
      <c r="N612" s="1044" t="s">
        <v>730</v>
      </c>
      <c r="O612" s="1056" t="s">
        <v>1456</v>
      </c>
      <c r="P612" s="1056"/>
      <c r="Q612" s="1117"/>
      <c r="R612" s="1022"/>
      <c r="S612" s="1130">
        <v>444</v>
      </c>
      <c r="T612" s="1156">
        <v>19200000</v>
      </c>
    </row>
    <row r="613" spans="1:20" s="1106" customFormat="1" ht="125" x14ac:dyDescent="0.25">
      <c r="A613" s="1013">
        <v>2022607</v>
      </c>
      <c r="B613" s="1096" t="s">
        <v>97</v>
      </c>
      <c r="C613" s="1096" t="s">
        <v>97</v>
      </c>
      <c r="D613" s="1045" t="s">
        <v>689</v>
      </c>
      <c r="E613" s="1099" t="s">
        <v>1240</v>
      </c>
      <c r="F613" s="1074" t="s">
        <v>1241</v>
      </c>
      <c r="G613" s="1081">
        <v>44606</v>
      </c>
      <c r="H613" s="1096"/>
      <c r="I613" s="1096" t="s">
        <v>1591</v>
      </c>
      <c r="J613" s="1096" t="s">
        <v>1592</v>
      </c>
      <c r="K613" s="1017" t="s">
        <v>97</v>
      </c>
      <c r="L613" s="1104" t="s">
        <v>97</v>
      </c>
      <c r="M613" s="1105">
        <v>0</v>
      </c>
      <c r="N613" s="1037" t="s">
        <v>97</v>
      </c>
      <c r="O613" s="1037" t="s">
        <v>97</v>
      </c>
      <c r="P613" s="1037"/>
      <c r="Q613" s="1102"/>
      <c r="R613" s="1022"/>
      <c r="S613" s="1130"/>
      <c r="T613" s="1156"/>
    </row>
    <row r="614" spans="1:20" ht="87.5" x14ac:dyDescent="0.25">
      <c r="A614" s="1023">
        <v>2022608</v>
      </c>
      <c r="B614" s="1023">
        <v>7637</v>
      </c>
      <c r="C614" s="1023" t="s">
        <v>643</v>
      </c>
      <c r="D614" s="1024" t="s">
        <v>671</v>
      </c>
      <c r="E614" s="1031">
        <v>80111600</v>
      </c>
      <c r="F614" s="1024" t="s">
        <v>1242</v>
      </c>
      <c r="G614" s="1027" t="s">
        <v>1414</v>
      </c>
      <c r="H614" s="1027" t="s">
        <v>1414</v>
      </c>
      <c r="I614" s="1027">
        <v>10</v>
      </c>
      <c r="J614" s="1027" t="s">
        <v>1415</v>
      </c>
      <c r="K614" s="1027" t="s">
        <v>674</v>
      </c>
      <c r="L614" s="1029" t="s">
        <v>675</v>
      </c>
      <c r="M614" s="1030">
        <v>23400000</v>
      </c>
      <c r="N614" s="1044" t="s">
        <v>732</v>
      </c>
      <c r="O614" s="1044" t="s">
        <v>1416</v>
      </c>
      <c r="P614" s="1044"/>
      <c r="Q614" s="1117"/>
      <c r="R614" s="1022"/>
      <c r="S614" s="1130">
        <v>437</v>
      </c>
      <c r="T614" s="1156">
        <v>23400000</v>
      </c>
    </row>
    <row r="615" spans="1:20" s="1124" customFormat="1" ht="87.5" x14ac:dyDescent="0.35">
      <c r="A615" s="1121">
        <v>2022609</v>
      </c>
      <c r="B615" s="1121">
        <v>7658</v>
      </c>
      <c r="C615" s="1121" t="s">
        <v>679</v>
      </c>
      <c r="D615" s="1121" t="s">
        <v>692</v>
      </c>
      <c r="E615" s="1122" t="s">
        <v>1448</v>
      </c>
      <c r="F615" s="1121" t="s">
        <v>763</v>
      </c>
      <c r="G615" s="1121" t="s">
        <v>1414</v>
      </c>
      <c r="H615" s="1121" t="s">
        <v>1414</v>
      </c>
      <c r="I615" s="1121" t="s">
        <v>1593</v>
      </c>
      <c r="J615" s="1121" t="s">
        <v>1438</v>
      </c>
      <c r="K615" s="1121" t="s">
        <v>674</v>
      </c>
      <c r="L615" s="1121" t="s">
        <v>675</v>
      </c>
      <c r="M615" s="1123">
        <f>181080376-104794000</f>
        <v>76286376</v>
      </c>
      <c r="N615" s="1121" t="s">
        <v>741</v>
      </c>
      <c r="O615" s="1121" t="s">
        <v>1524</v>
      </c>
      <c r="P615" s="1121"/>
      <c r="Q615" s="1081">
        <v>44600</v>
      </c>
      <c r="R615" s="1022"/>
      <c r="S615" s="1130"/>
      <c r="T615" s="1156"/>
    </row>
    <row r="616" spans="1:20" ht="125" x14ac:dyDescent="0.25">
      <c r="A616" s="1013">
        <v>2022610</v>
      </c>
      <c r="B616" s="1075" t="s">
        <v>459</v>
      </c>
      <c r="C616" s="1075"/>
      <c r="D616" s="1014" t="s">
        <v>671</v>
      </c>
      <c r="E616" s="1013" t="s">
        <v>1227</v>
      </c>
      <c r="F616" s="1074" t="s">
        <v>1245</v>
      </c>
      <c r="G616" s="1096" t="s">
        <v>1526</v>
      </c>
      <c r="H616" s="1096" t="s">
        <v>1526</v>
      </c>
      <c r="I616" s="1125" t="s">
        <v>1594</v>
      </c>
      <c r="J616" s="1096" t="s">
        <v>1475</v>
      </c>
      <c r="K616" s="1017" t="s">
        <v>43</v>
      </c>
      <c r="L616" s="1104"/>
      <c r="M616" s="1105">
        <v>81890487</v>
      </c>
      <c r="N616" s="1037"/>
      <c r="O616" s="1037"/>
      <c r="P616" s="1037"/>
      <c r="Q616" s="1047">
        <v>44600</v>
      </c>
      <c r="R616" s="1022"/>
      <c r="S616" s="1130"/>
      <c r="T616" s="1156"/>
    </row>
    <row r="619" spans="1:20" x14ac:dyDescent="0.25">
      <c r="M619" s="1128">
        <f>SUBTOTAL(9,M7:M618)</f>
        <v>67248064999.699997</v>
      </c>
      <c r="T619" s="1128">
        <f>SUBTOTAL(9,T7:T618)</f>
        <v>20624701535</v>
      </c>
    </row>
    <row r="621" spans="1:20" x14ac:dyDescent="0.25">
      <c r="M621" s="1129"/>
    </row>
    <row r="623" spans="1:20" x14ac:dyDescent="0.25">
      <c r="M623" s="112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xr:uid="{00000000-0002-0000-0800-000000000000}">
      <formula1>tec</formula1>
    </dataValidation>
  </dataValidation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6" ma:contentTypeDescription="Crear nuevo documento." ma:contentTypeScope="" ma:versionID="b11025218fa34ab61a620cc225f70040">
  <xsd:schema xmlns:xsd="http://www.w3.org/2001/XMLSchema" xmlns:xs="http://www.w3.org/2001/XMLSchema" xmlns:p="http://schemas.microsoft.com/office/2006/metadata/properties" xmlns:ns1="http://schemas.microsoft.com/sharepoint/v3" xmlns:ns3="09d6c875-bcbc-458c-a626-c910af1d48c9" xmlns:ns4="357bdbef-269f-4dc7-9a12-0770e15f24ee" targetNamespace="http://schemas.microsoft.com/office/2006/metadata/properties" ma:root="true" ma:fieldsID="5f17086afd6571a317a89df83be7d49e" ns1:_="" ns3:_="" ns4:_="">
    <xsd:import namespace="http://schemas.microsoft.com/sharepoint/v3"/>
    <xsd:import namespace="09d6c875-bcbc-458c-a626-c910af1d48c9"/>
    <xsd:import namespace="357bdbef-269f-4dc7-9a12-0770e15f24e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CCA7AF63-610A-4ACA-AC7C-A319E55C8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d6c875-bcbc-458c-a626-c910af1d48c9"/>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7AFD5D-F000-4BAE-BE0C-AB98017F49D9}">
  <ds:schemaRefs>
    <ds:schemaRef ds:uri="http://schemas.microsoft.com/sharepoint/v3/contenttype/forms"/>
  </ds:schemaRefs>
</ds:datastoreItem>
</file>

<file path=customXml/itemProps3.xml><?xml version="1.0" encoding="utf-8"?>
<ds:datastoreItem xmlns:ds="http://schemas.openxmlformats.org/officeDocument/2006/customXml" ds:itemID="{2E289DFB-B309-452E-A882-026C7499B430}">
  <ds:schemaRefs>
    <ds:schemaRef ds:uri="http://purl.org/dc/terms/"/>
    <ds:schemaRef ds:uri="http://schemas.microsoft.com/sharepoint/v3"/>
    <ds:schemaRef ds:uri="http://www.w3.org/XML/1998/namespace"/>
    <ds:schemaRef ds:uri="http://schemas.microsoft.com/office/2006/documentManagement/types"/>
    <ds:schemaRef ds:uri="09d6c875-bcbc-458c-a626-c910af1d48c9"/>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 ds:uri="357bdbef-269f-4dc7-9a12-0770e15f24e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SEGUIMIENTO CON PAA </vt:lpstr>
      <vt:lpstr>EN PLATAFORMA</vt:lpstr>
      <vt:lpstr>Tras 1</vt:lpstr>
      <vt:lpstr>Tras 3</vt:lpstr>
      <vt:lpstr>Tras 5</vt:lpstr>
      <vt:lpstr>PPTO 2021 REPROGRAMACION (2)</vt:lpstr>
      <vt:lpstr>PPTO 2021 REPROGRAMACION</vt:lpstr>
      <vt:lpstr>PAA V20</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Isabel Cristina Ruiz Cordoba</cp:lastModifiedBy>
  <cp:revision/>
  <dcterms:created xsi:type="dcterms:W3CDTF">2020-09-23T17:41:29Z</dcterms:created>
  <dcterms:modified xsi:type="dcterms:W3CDTF">2022-09-05T15:57:22Z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