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62484DAD-AEE5-41D4-86EC-D607503E8637}" xr6:coauthVersionLast="47" xr6:coauthVersionMax="47" xr10:uidLastSave="{00000000-0000-0000-0000-000000000000}"/>
  <bookViews>
    <workbookView xWindow="-120" yWindow="-120" windowWidth="29040" windowHeight="15720" activeTab="1"/>
  </bookViews>
  <sheets>
    <sheet name="Hoja1" sheetId="9" r:id="rId1"/>
    <sheet name="PAA Vr 23 - 2023 " sheetId="1" r:id="rId2"/>
    <sheet name="Resumen inversión 2022-2023" sheetId="5" state="hidden" r:id="rId3"/>
    <sheet name="VR" sheetId="7" state="hidden" r:id="rId4"/>
    <sheet name="ppto 2023 por área y proyecto" sheetId="3" state="hidden" r:id="rId5"/>
    <sheet name="ppto 2023 por CG" sheetId="8" state="hidden" r:id="rId6"/>
    <sheet name="Metas inversión pp" sheetId="6" state="hidden" r:id="rId7"/>
    <sheet name="Metas inversión" sheetId="4" state="hidden" r:id="rId8"/>
  </sheets>
  <externalReferences>
    <externalReference r:id="rId9"/>
    <externalReference r:id="rId10"/>
  </externalReferences>
  <definedNames>
    <definedName name="_xlnm._FilterDatabase" localSheetId="1" hidden="1">#N/A</definedName>
    <definedName name="INSU" localSheetId="7">#N/A</definedName>
    <definedName name="INSU" localSheetId="6">#N/A</definedName>
    <definedName name="INSU" localSheetId="2">#N/A</definedName>
    <definedName name="INSU">#N/A</definedName>
    <definedName name="INSUMOS" localSheetId="7">#N/A</definedName>
    <definedName name="INSUMOS">#N/A</definedName>
    <definedName name="MZ_COMPROMISOS">'[1]TD CRPS'!$A$5:$C$573</definedName>
    <definedName name="MZ_GIROS">'[2]T.D. GIROS Reservas'!$A$1:$D$167</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M7" i="1"/>
  <c r="M203" i="1"/>
  <c r="M313" i="1"/>
  <c r="M241" i="1"/>
  <c r="M334" i="1"/>
  <c r="M290" i="1"/>
  <c r="M287" i="1"/>
  <c r="M278" i="1"/>
  <c r="M178" i="1"/>
  <c r="M107" i="1"/>
  <c r="M547" i="1"/>
  <c r="M239" i="1"/>
  <c r="M27" i="1"/>
  <c r="M194" i="1"/>
  <c r="M520" i="1"/>
  <c r="M482" i="1"/>
  <c r="M481" i="1"/>
  <c r="M552" i="1"/>
  <c r="M375" i="1"/>
  <c r="M374" i="1"/>
  <c r="M647" i="1"/>
  <c r="M630" i="1"/>
  <c r="M12" i="1"/>
  <c r="M10" i="1"/>
  <c r="M79" i="1"/>
  <c r="M78" i="1"/>
  <c r="M76" i="1"/>
  <c r="M75" i="1"/>
  <c r="M71" i="1"/>
  <c r="M70" i="1"/>
  <c r="M50" i="1"/>
  <c r="M788" i="1"/>
  <c r="M749" i="1"/>
  <c r="M738" i="1"/>
  <c r="M373" i="1"/>
  <c r="M368" i="1"/>
  <c r="M364" i="1"/>
  <c r="M363" i="1"/>
  <c r="M362" i="1"/>
  <c r="M361" i="1"/>
  <c r="M350" i="1"/>
  <c r="M347" i="1"/>
  <c r="M668" i="1"/>
  <c r="M537" i="1"/>
  <c r="M532" i="1"/>
  <c r="M40" i="1"/>
  <c r="M42" i="1"/>
  <c r="M38" i="1"/>
  <c r="M36" i="1"/>
  <c r="M35" i="1"/>
  <c r="M34" i="1"/>
  <c r="M33" i="1"/>
  <c r="M32" i="1"/>
  <c r="M31" i="1"/>
  <c r="M30" i="1"/>
  <c r="M29" i="1"/>
  <c r="M25" i="1"/>
  <c r="M24" i="1"/>
  <c r="M23" i="1"/>
  <c r="M316" i="1"/>
  <c r="M751" i="1"/>
  <c r="M465" i="1"/>
  <c r="M461" i="1"/>
  <c r="M581" i="1"/>
  <c r="M455" i="1"/>
  <c r="M168" i="1"/>
  <c r="M385" i="1"/>
  <c r="M519" i="1"/>
  <c r="M412" i="1"/>
  <c r="M399" i="1"/>
  <c r="M398" i="1"/>
  <c r="M396" i="1"/>
  <c r="M395" i="1"/>
  <c r="M394" i="1"/>
  <c r="M390" i="1"/>
  <c r="M389" i="1"/>
  <c r="M411" i="1"/>
  <c r="M585" i="1"/>
  <c r="M466" i="1"/>
  <c r="M467" i="1"/>
  <c r="M706" i="1"/>
  <c r="M714" i="1"/>
  <c r="M725" i="1"/>
  <c r="M493" i="1"/>
  <c r="M244" i="1"/>
  <c r="M46" i="1"/>
  <c r="M180" i="1"/>
  <c r="M167" i="1"/>
  <c r="M156" i="1"/>
  <c r="M154" i="1"/>
  <c r="M708" i="1"/>
  <c r="M707" i="1"/>
  <c r="M109" i="1"/>
  <c r="M633" i="1"/>
  <c r="M43" i="1"/>
  <c r="M66" i="1"/>
  <c r="M67" i="1"/>
  <c r="M718" i="1"/>
  <c r="M230" i="1"/>
  <c r="M616" i="1"/>
  <c r="M225" i="1"/>
  <c r="M620" i="1"/>
  <c r="M609" i="1"/>
  <c r="M608" i="1"/>
  <c r="M697" i="1"/>
  <c r="M621" i="1"/>
  <c r="M614" i="1"/>
  <c r="M611" i="1"/>
  <c r="M610" i="1"/>
  <c r="M600" i="1"/>
  <c r="M211" i="1"/>
  <c r="M383" i="1"/>
  <c r="M699" i="1"/>
  <c r="M106" i="1"/>
  <c r="M189" i="1"/>
  <c r="M200" i="1"/>
  <c r="M709" i="1"/>
  <c r="F3" i="4"/>
  <c r="G3" i="4"/>
  <c r="I3" i="4"/>
  <c r="G4" i="4"/>
  <c r="I4" i="4"/>
  <c r="G5" i="4"/>
  <c r="I5" i="4"/>
  <c r="F6" i="4"/>
  <c r="G6" i="4" s="1"/>
  <c r="G12" i="4" s="1"/>
  <c r="G7" i="4"/>
  <c r="I7" i="4"/>
  <c r="F8" i="4"/>
  <c r="F12" i="4"/>
  <c r="G9" i="4"/>
  <c r="I9" i="4"/>
  <c r="G10" i="4"/>
  <c r="I10" i="4"/>
  <c r="G11" i="4"/>
  <c r="I11" i="4"/>
  <c r="D12" i="4"/>
  <c r="E12" i="4"/>
  <c r="H12" i="4"/>
  <c r="G16" i="4"/>
  <c r="G17" i="4"/>
  <c r="G19" i="4" s="1"/>
  <c r="G18" i="4"/>
  <c r="D19" i="4"/>
  <c r="E19" i="4"/>
  <c r="F19" i="4"/>
  <c r="D25" i="4"/>
  <c r="E25" i="4"/>
  <c r="F25" i="4"/>
  <c r="G25" i="4"/>
  <c r="D28" i="4"/>
  <c r="F3" i="6"/>
  <c r="H3" i="6"/>
  <c r="H4" i="6"/>
  <c r="H5" i="6"/>
  <c r="F6" i="6"/>
  <c r="H6" i="6"/>
  <c r="H7" i="6"/>
  <c r="F8" i="6"/>
  <c r="F12" i="6" s="1"/>
  <c r="H9" i="6"/>
  <c r="H10" i="6"/>
  <c r="H11" i="6"/>
  <c r="D12" i="6"/>
  <c r="D28" i="6" s="1"/>
  <c r="E12" i="6"/>
  <c r="G12" i="6"/>
  <c r="G16" i="6"/>
  <c r="G19" i="6" s="1"/>
  <c r="G17" i="6"/>
  <c r="G18" i="6"/>
  <c r="D19" i="6"/>
  <c r="E19" i="6"/>
  <c r="F19" i="6"/>
  <c r="D25" i="6"/>
  <c r="E25" i="6"/>
  <c r="F25" i="6"/>
  <c r="G25" i="6"/>
  <c r="C20" i="8"/>
  <c r="D20" i="8"/>
  <c r="E20" i="8"/>
  <c r="F20" i="8"/>
  <c r="G20" i="8"/>
  <c r="C56" i="8"/>
  <c r="D56" i="8"/>
  <c r="E56" i="8"/>
  <c r="F56" i="8"/>
  <c r="G56" i="8"/>
  <c r="C73" i="8"/>
  <c r="D73" i="8"/>
  <c r="E73" i="8"/>
  <c r="F73" i="8"/>
  <c r="G73" i="8"/>
  <c r="C17" i="3"/>
  <c r="D17" i="3"/>
  <c r="D53" i="3"/>
  <c r="E17" i="3"/>
  <c r="F17" i="3"/>
  <c r="G17" i="3"/>
  <c r="C34" i="3"/>
  <c r="C53" i="3" s="1"/>
  <c r="D34" i="3"/>
  <c r="E34" i="3"/>
  <c r="F34" i="3"/>
  <c r="F53" i="3" s="1"/>
  <c r="G34" i="3"/>
  <c r="C51" i="3"/>
  <c r="D51" i="3"/>
  <c r="E51" i="3"/>
  <c r="F51" i="3"/>
  <c r="G51" i="3"/>
  <c r="G53" i="3" s="1"/>
  <c r="E53" i="3"/>
  <c r="J5" i="5"/>
  <c r="K5" i="5"/>
  <c r="J6" i="5"/>
  <c r="K6" i="5" s="1"/>
  <c r="J7" i="5"/>
  <c r="K7" i="5"/>
  <c r="H8" i="5"/>
  <c r="I8" i="5"/>
  <c r="J8" i="5" s="1"/>
  <c r="K8" i="5" s="1"/>
  <c r="M11" i="1"/>
  <c r="M5" i="1" s="1"/>
  <c r="L3" i="1" s="1"/>
  <c r="M13" i="1"/>
  <c r="M14" i="1"/>
  <c r="M15" i="1"/>
  <c r="M16" i="1"/>
  <c r="M17" i="1"/>
  <c r="M18" i="1"/>
  <c r="M19" i="1"/>
  <c r="M20" i="1"/>
  <c r="M21" i="1"/>
  <c r="M22" i="1"/>
  <c r="M41" i="1"/>
  <c r="M44" i="1"/>
  <c r="M47" i="1"/>
  <c r="M51" i="1"/>
  <c r="M52" i="1"/>
  <c r="M53" i="1"/>
  <c r="M54" i="1"/>
  <c r="M55" i="1"/>
  <c r="M58" i="1"/>
  <c r="M60" i="1"/>
  <c r="M61" i="1"/>
  <c r="M62" i="1"/>
  <c r="M63" i="1"/>
  <c r="M64" i="1"/>
  <c r="M65" i="1"/>
  <c r="M68" i="1"/>
  <c r="M69" i="1"/>
  <c r="M73" i="1"/>
  <c r="M74" i="1"/>
  <c r="M80" i="1"/>
  <c r="M81" i="1"/>
  <c r="M82" i="1"/>
  <c r="M83" i="1"/>
  <c r="M85" i="1"/>
  <c r="M86" i="1"/>
  <c r="M87" i="1"/>
  <c r="M88" i="1"/>
  <c r="M89" i="1"/>
  <c r="M90" i="1"/>
  <c r="M91" i="1"/>
  <c r="M92" i="1"/>
  <c r="M93" i="1"/>
  <c r="M94" i="1"/>
  <c r="M95" i="1"/>
  <c r="M96" i="1"/>
  <c r="M97" i="1"/>
  <c r="M98" i="1"/>
  <c r="M99" i="1"/>
  <c r="M100" i="1"/>
  <c r="M102" i="1"/>
  <c r="M103" i="1"/>
  <c r="M104" i="1"/>
  <c r="M105" i="1"/>
  <c r="M108" i="1"/>
  <c r="M110" i="1"/>
  <c r="M111" i="1"/>
  <c r="M112" i="1"/>
  <c r="M113" i="1"/>
  <c r="M114" i="1"/>
  <c r="M115" i="1"/>
  <c r="M116" i="1"/>
  <c r="M117" i="1"/>
  <c r="M118" i="1"/>
  <c r="M119" i="1"/>
  <c r="M122" i="1"/>
  <c r="M124" i="1"/>
  <c r="M127" i="1"/>
  <c r="M128" i="1"/>
  <c r="M129" i="1"/>
  <c r="M130" i="1"/>
  <c r="M131" i="1"/>
  <c r="M132" i="1"/>
  <c r="M133" i="1"/>
  <c r="M134" i="1"/>
  <c r="M136" i="1"/>
  <c r="M137" i="1"/>
  <c r="M138" i="1"/>
  <c r="M139" i="1"/>
  <c r="M140" i="1"/>
  <c r="M141" i="1"/>
  <c r="M142" i="1"/>
  <c r="M143" i="1"/>
  <c r="M144" i="1"/>
  <c r="M148" i="1"/>
  <c r="M149" i="1"/>
  <c r="M150" i="1"/>
  <c r="M151" i="1"/>
  <c r="M152" i="1"/>
  <c r="M153" i="1"/>
  <c r="M155" i="1"/>
  <c r="M157" i="1"/>
  <c r="M158" i="1"/>
  <c r="M159" i="1"/>
  <c r="M161" i="1"/>
  <c r="M162" i="1"/>
  <c r="M166" i="1"/>
  <c r="M169" i="1"/>
  <c r="M171" i="1"/>
  <c r="M176" i="1"/>
  <c r="M179" i="1"/>
  <c r="M183" i="1"/>
  <c r="M184" i="1"/>
  <c r="M190" i="1"/>
  <c r="M191" i="1"/>
  <c r="M192" i="1"/>
  <c r="M195" i="1"/>
  <c r="M196" i="1"/>
  <c r="M197" i="1"/>
  <c r="M198" i="1"/>
  <c r="M199" i="1"/>
  <c r="M201" i="1"/>
  <c r="M202" i="1"/>
  <c r="M204" i="1"/>
  <c r="M206" i="1"/>
  <c r="M207" i="1"/>
  <c r="M208" i="1"/>
  <c r="M209" i="1"/>
  <c r="M210" i="1"/>
  <c r="M212" i="1"/>
  <c r="M213" i="1"/>
  <c r="M214" i="1"/>
  <c r="M215" i="1"/>
  <c r="M216" i="1"/>
  <c r="M217" i="1"/>
  <c r="M218" i="1"/>
  <c r="M219" i="1"/>
  <c r="M220" i="1"/>
  <c r="M221" i="1"/>
  <c r="M222" i="1"/>
  <c r="M223" i="1"/>
  <c r="M224" i="1"/>
  <c r="M226" i="1"/>
  <c r="M227" i="1"/>
  <c r="M228" i="1"/>
  <c r="M229" i="1"/>
  <c r="M231" i="1"/>
  <c r="M232" i="1"/>
  <c r="M233" i="1"/>
  <c r="M234" i="1"/>
  <c r="M235" i="1"/>
  <c r="M236" i="1"/>
  <c r="M237" i="1"/>
  <c r="M238" i="1"/>
  <c r="M240" i="1"/>
  <c r="M242" i="1"/>
  <c r="M243" i="1"/>
  <c r="M245" i="1"/>
  <c r="M246" i="1"/>
  <c r="M248" i="1"/>
  <c r="M249" i="1"/>
  <c r="M250" i="1"/>
  <c r="M252" i="1"/>
  <c r="M253" i="1"/>
  <c r="M255" i="1"/>
  <c r="M256" i="1"/>
  <c r="M257" i="1"/>
  <c r="M258" i="1"/>
  <c r="M259" i="1"/>
  <c r="M260" i="1"/>
  <c r="M261" i="1"/>
  <c r="M262" i="1"/>
  <c r="M263" i="1"/>
  <c r="M268" i="1"/>
  <c r="M269" i="1"/>
  <c r="M274" i="1"/>
  <c r="M275" i="1"/>
  <c r="M276" i="1"/>
  <c r="M277" i="1"/>
  <c r="M279" i="1"/>
  <c r="M280" i="1"/>
  <c r="M281" i="1"/>
  <c r="M282" i="1"/>
  <c r="M286" i="1"/>
  <c r="M284" i="1"/>
  <c r="M285" i="1"/>
  <c r="M283" i="1"/>
  <c r="M288" i="1"/>
  <c r="M289" i="1"/>
  <c r="M293" i="1"/>
  <c r="M294" i="1"/>
  <c r="M296" i="1"/>
  <c r="M297" i="1"/>
  <c r="M298" i="1"/>
  <c r="M299" i="1"/>
  <c r="M300" i="1"/>
  <c r="M301" i="1"/>
  <c r="M302" i="1"/>
  <c r="M303" i="1"/>
  <c r="M304" i="1"/>
  <c r="M305" i="1"/>
  <c r="M306" i="1"/>
  <c r="M307" i="1"/>
  <c r="M308" i="1"/>
  <c r="M309" i="1"/>
  <c r="M310" i="1"/>
  <c r="M311" i="1"/>
  <c r="M312" i="1"/>
  <c r="M314" i="1"/>
  <c r="M315" i="1"/>
  <c r="M317" i="1"/>
  <c r="M318" i="1"/>
  <c r="M319" i="1"/>
  <c r="M322" i="1"/>
  <c r="M323" i="1"/>
  <c r="M324" i="1"/>
  <c r="M325" i="1"/>
  <c r="M326" i="1"/>
  <c r="M327" i="1"/>
  <c r="M328" i="1"/>
  <c r="M329" i="1"/>
  <c r="M330" i="1"/>
  <c r="M331" i="1"/>
  <c r="M332" i="1"/>
  <c r="M333" i="1"/>
  <c r="M335" i="1"/>
  <c r="M336" i="1"/>
  <c r="M337" i="1"/>
  <c r="M338" i="1"/>
  <c r="M339" i="1"/>
  <c r="M341" i="1"/>
  <c r="M342" i="1"/>
  <c r="M343" i="1"/>
  <c r="M344" i="1"/>
  <c r="M345" i="1"/>
  <c r="M346" i="1"/>
  <c r="M349" i="1"/>
  <c r="M351" i="1"/>
  <c r="M353" i="1"/>
  <c r="M354" i="1"/>
  <c r="M357" i="1"/>
  <c r="M358" i="1"/>
  <c r="M359" i="1"/>
  <c r="M360" i="1"/>
  <c r="M365" i="1"/>
  <c r="M366" i="1"/>
  <c r="M367" i="1"/>
  <c r="M369" i="1"/>
  <c r="M370" i="1"/>
  <c r="M371" i="1"/>
  <c r="M372" i="1"/>
  <c r="M376" i="1"/>
  <c r="M377" i="1"/>
  <c r="M380" i="1"/>
  <c r="M381" i="1"/>
  <c r="M387" i="1"/>
  <c r="M388" i="1"/>
  <c r="M392" i="1"/>
  <c r="M409" i="1"/>
  <c r="M414" i="1"/>
  <c r="M415" i="1"/>
  <c r="M416" i="1"/>
  <c r="M417" i="1"/>
  <c r="M418" i="1"/>
  <c r="M421" i="1"/>
  <c r="M422" i="1"/>
  <c r="M423" i="1"/>
  <c r="M424" i="1"/>
  <c r="M425" i="1"/>
  <c r="M430" i="1"/>
  <c r="M432" i="1"/>
  <c r="M435" i="1"/>
  <c r="M439" i="1"/>
  <c r="M442" i="1"/>
  <c r="M449" i="1"/>
  <c r="M450" i="1"/>
  <c r="M451" i="1"/>
  <c r="M456" i="1"/>
  <c r="M457" i="1"/>
  <c r="M458" i="1"/>
  <c r="M460" i="1"/>
  <c r="M464" i="1"/>
  <c r="M468" i="1"/>
  <c r="M469" i="1"/>
  <c r="M470" i="1"/>
  <c r="M474" i="1"/>
  <c r="M476" i="1"/>
  <c r="M477" i="1"/>
  <c r="M479" i="1"/>
  <c r="M480" i="1"/>
  <c r="M483" i="1"/>
  <c r="M484" i="1"/>
  <c r="M486" i="1"/>
  <c r="M487" i="1"/>
  <c r="M491" i="1"/>
  <c r="M492" i="1"/>
  <c r="M494" i="1"/>
  <c r="M495" i="1"/>
  <c r="M496" i="1"/>
  <c r="M497" i="1"/>
  <c r="M498" i="1"/>
  <c r="M499" i="1"/>
  <c r="M502" i="1"/>
  <c r="M503" i="1"/>
  <c r="M506" i="1"/>
  <c r="M507" i="1"/>
  <c r="M508" i="1"/>
  <c r="M509" i="1"/>
  <c r="M510" i="1"/>
  <c r="M511" i="1"/>
  <c r="M512" i="1"/>
  <c r="M513" i="1"/>
  <c r="M514" i="1"/>
  <c r="M515" i="1"/>
  <c r="M517" i="1"/>
  <c r="M518" i="1"/>
  <c r="M521" i="1"/>
  <c r="M522" i="1"/>
  <c r="M523" i="1"/>
  <c r="M524" i="1"/>
  <c r="M525" i="1"/>
  <c r="M527" i="1"/>
  <c r="M528" i="1"/>
  <c r="M529" i="1"/>
  <c r="M530" i="1"/>
  <c r="M531" i="1"/>
  <c r="M533" i="1"/>
  <c r="M534" i="1"/>
  <c r="M535" i="1"/>
  <c r="M536" i="1"/>
  <c r="M538" i="1"/>
  <c r="M539" i="1"/>
  <c r="M544" i="1"/>
  <c r="M545" i="1"/>
  <c r="M546" i="1"/>
  <c r="M548" i="1"/>
  <c r="M549" i="1"/>
  <c r="M553" i="1"/>
  <c r="M554" i="1"/>
  <c r="M555" i="1"/>
  <c r="M556" i="1"/>
  <c r="M557" i="1"/>
  <c r="M558" i="1"/>
  <c r="M563" i="1"/>
  <c r="M567" i="1"/>
  <c r="M571" i="1"/>
  <c r="M572" i="1"/>
  <c r="M573" i="1"/>
  <c r="M588" i="1"/>
  <c r="M589" i="1"/>
  <c r="M590" i="1"/>
  <c r="M591" i="1"/>
  <c r="M592" i="1"/>
  <c r="M593" i="1"/>
  <c r="M594" i="1"/>
  <c r="M595" i="1"/>
  <c r="M596" i="1"/>
  <c r="M597" i="1"/>
  <c r="M598" i="1"/>
  <c r="M599" i="1"/>
  <c r="M601" i="1"/>
  <c r="M602" i="1"/>
  <c r="M603" i="1"/>
  <c r="M604" i="1"/>
  <c r="M606" i="1"/>
  <c r="M612" i="1"/>
  <c r="M613" i="1"/>
  <c r="M615" i="1"/>
  <c r="M617" i="1"/>
  <c r="M618" i="1"/>
  <c r="M619" i="1"/>
  <c r="M622" i="1"/>
  <c r="M623" i="1"/>
  <c r="M628" i="1"/>
  <c r="M629" i="1"/>
  <c r="M632" i="1"/>
  <c r="M639" i="1"/>
  <c r="M642" i="1"/>
  <c r="M645" i="1"/>
  <c r="M646" i="1"/>
  <c r="M649" i="1"/>
  <c r="M650" i="1"/>
  <c r="M654" i="1"/>
  <c r="M659" i="1"/>
  <c r="M684" i="1"/>
  <c r="M688" i="1"/>
  <c r="M689" i="1"/>
  <c r="M692" i="1"/>
  <c r="M695" i="1"/>
  <c r="M696" i="1"/>
  <c r="M698" i="1"/>
  <c r="M700" i="1"/>
  <c r="I8" i="4"/>
  <c r="G8" i="4"/>
  <c r="I6" i="4"/>
  <c r="I12" i="4"/>
  <c r="H8" i="6" l="1"/>
  <c r="H12" i="6" s="1"/>
</calcChain>
</file>

<file path=xl/sharedStrings.xml><?xml version="1.0" encoding="utf-8"?>
<sst xmlns="http://schemas.openxmlformats.org/spreadsheetml/2006/main" count="7887" uniqueCount="840">
  <si>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</si>
  <si>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</si>
  <si>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</si>
  <si>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</si>
  <si>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</si>
  <si>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</si>
  <si>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</si>
  <si>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</si>
  <si>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</si>
  <si>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</si>
  <si>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</si>
  <si>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</si>
  <si>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</si>
  <si>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</si>
  <si>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</si>
  <si>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</si>
  <si>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</si>
  <si>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</si>
  <si>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</si>
  <si>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</si>
  <si>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</si>
  <si>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</si>
  <si>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</si>
  <si>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</si>
  <si>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</si>
  <si>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</si>
  <si>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</si>
  <si>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</si>
  <si>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</si>
  <si>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</si>
  <si>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</si>
  <si>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</si>
  <si>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</si>
  <si>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</si>
  <si>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</si>
  <si>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</si>
  <si>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</si>
  <si>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</si>
  <si>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</si>
  <si>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</si>
  <si>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</si>
  <si>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</si>
  <si>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</si>
  <si>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</si>
  <si>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</si>
  <si>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</si>
  <si>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Contratar la elaboración de la segunda fase de la estratégia institucional de preparativos del Cuerpo Oficial de Bomberos de Bogotá, mediante un modelo para la implementación ante un evento de gran magnitud.</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</si>
  <si>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</si>
  <si>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</si>
  <si>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</si>
  <si>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</si>
  <si>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</si>
  <si>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</si>
  <si>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</si>
  <si>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</si>
  <si>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</si>
  <si>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</si>
  <si>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</si>
  <si>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</si>
  <si>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</si>
  <si>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</si>
  <si>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</si>
  <si>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</si>
  <si>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</si>
  <si>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</si>
  <si>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</si>
  <si>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</si>
  <si>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</si>
  <si>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</si>
  <si>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</si>
  <si>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</si>
  <si>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</si>
  <si>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</si>
  <si>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</si>
  <si>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</si>
  <si>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</si>
  <si>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</si>
  <si>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</si>
  <si>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</si>
  <si>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</si>
  <si>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</si>
  <si>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</si>
  <si>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</si>
  <si>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</si>
  <si>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</si>
  <si>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</si>
  <si>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</si>
  <si>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</si>
  <si>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</si>
  <si>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</si>
  <si>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</si>
  <si>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</si>
  <si>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</si>
  <si>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</si>
  <si>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</si>
  <si>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</si>
  <si>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</si>
  <si>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</si>
  <si>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</si>
  <si>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</si>
  <si>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</si>
  <si>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</si>
  <si>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</si>
  <si>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</si>
  <si>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</si>
  <si>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</si>
  <si>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</si>
  <si>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</si>
  <si>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</si>
  <si>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</si>
  <si>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</si>
  <si>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</si>
  <si>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</si>
  <si>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</si>
  <si>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</si>
  <si>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</si>
  <si>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</si>
  <si>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</si>
  <si>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</si>
  <si>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</si>
  <si>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</si>
  <si>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</si>
  <si>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</si>
  <si>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</si>
  <si>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</si>
  <si>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</si>
  <si>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</si>
  <si>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</si>
  <si>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</si>
  <si>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</si>
  <si>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</si>
  <si>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</si>
  <si>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</si>
  <si>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</si>
  <si>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</si>
  <si>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</si>
  <si>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</si>
  <si>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</si>
  <si>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</si>
  <si>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</si>
  <si>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</si>
  <si>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</si>
  <si>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</si>
  <si>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</si>
  <si>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</si>
  <si>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</si>
  <si>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</si>
  <si>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</si>
  <si>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</si>
  <si>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</si>
  <si>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</si>
  <si>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</si>
  <si>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</si>
  <si>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</si>
  <si>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</si>
  <si>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</si>
  <si>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</si>
  <si>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</si>
  <si>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</si>
  <si>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</si>
  <si>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</si>
  <si>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</si>
  <si>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</si>
  <si>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</si>
  <si>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</si>
  <si>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</si>
  <si>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</si>
  <si>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</si>
  <si>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</si>
  <si>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</si>
  <si>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</si>
  <si>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</si>
  <si>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</si>
  <si>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</si>
  <si>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</si>
  <si>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</si>
  <si>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</si>
  <si>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</si>
  <si>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</si>
  <si>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</si>
  <si>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</si>
  <si>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</si>
  <si>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</si>
  <si>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</si>
  <si>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</si>
  <si>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</si>
  <si>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</si>
  <si>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</si>
  <si>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</si>
  <si>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</si>
  <si>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</si>
  <si>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</si>
  <si>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</si>
  <si>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</si>
  <si>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</si>
  <si>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</si>
  <si>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</si>
  <si>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</si>
  <si>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</si>
  <si>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</si>
  <si>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</si>
  <si>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</si>
  <si>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</si>
  <si>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</si>
  <si>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</si>
  <si>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</si>
  <si>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</si>
  <si>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</si>
  <si>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</si>
  <si>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</si>
  <si>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</si>
  <si>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</si>
  <si>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</si>
  <si>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</si>
  <si>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</si>
  <si>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</si>
  <si>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</si>
  <si>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</si>
  <si>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</si>
  <si>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</si>
  <si>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</si>
  <si>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</si>
  <si>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</si>
  <si>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</si>
  <si>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</si>
  <si>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</si>
  <si>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</si>
  <si>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</si>
  <si>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</si>
  <si>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</si>
  <si>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</si>
  <si>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</si>
  <si>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</si>
  <si>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</si>
  <si>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</si>
  <si>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</si>
  <si>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</si>
  <si>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</si>
  <si>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</si>
  <si>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</si>
  <si>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</si>
  <si>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</si>
  <si>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</si>
  <si>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</si>
  <si>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</si>
  <si>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</si>
  <si>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</si>
  <si>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</si>
  <si>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</si>
  <si>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</si>
  <si>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</si>
  <si>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</si>
  <si>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</si>
  <si>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</si>
  <si>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</si>
  <si>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</si>
  <si>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</si>
  <si>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</si>
  <si>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</si>
  <si>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</si>
  <si>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</si>
  <si>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</si>
  <si>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</si>
  <si>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</si>
  <si>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</si>
  <si>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</si>
  <si>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</si>
  <si>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</si>
  <si>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</si>
  <si>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</si>
  <si>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</si>
  <si>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</si>
  <si>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</si>
  <si>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</si>
  <si>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</si>
  <si>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</si>
  <si>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</si>
  <si>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</si>
  <si>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</si>
  <si>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</si>
  <si>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</si>
  <si>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</si>
  <si>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</si>
  <si>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</si>
  <si>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</si>
  <si>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</si>
  <si>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</si>
  <si>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</si>
  <si>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</si>
  <si>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</si>
  <si>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</si>
  <si>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</si>
  <si>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</si>
  <si>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</si>
  <si>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</si>
  <si>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</si>
  <si>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</si>
  <si>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</si>
  <si>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</si>
  <si>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</si>
  <si>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</si>
  <si>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</si>
  <si>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</si>
  <si>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</si>
  <si>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</si>
  <si>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</si>
  <si>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</si>
  <si>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</si>
  <si>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</si>
  <si>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</si>
  <si>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</si>
  <si>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</si>
  <si>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</si>
  <si>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</si>
  <si>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</si>
  <si>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</si>
  <si>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</si>
  <si>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</si>
  <si>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</si>
  <si>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</si>
  <si>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</si>
  <si>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</si>
  <si>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</si>
  <si>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</si>
  <si>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</si>
  <si>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</si>
  <si>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</si>
  <si>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</si>
  <si>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</si>
  <si>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</si>
  <si>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</si>
  <si>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</si>
  <si>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</si>
  <si>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</si>
  <si>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</si>
  <si>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</si>
  <si>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</si>
  <si>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</si>
  <si>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</si>
  <si>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</si>
  <si>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</si>
  <si>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</si>
  <si>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</si>
  <si>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</si>
  <si>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</si>
  <si>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</si>
  <si>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</si>
  <si>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</si>
  <si>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</si>
  <si>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</si>
  <si>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</si>
  <si>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</si>
  <si>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</si>
  <si>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</si>
  <si>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</si>
  <si>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</si>
  <si>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</si>
  <si>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80101600;
81101500;
72101500;
72121400;</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</si>
  <si>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</si>
  <si>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</si>
  <si>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</si>
  <si>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</si>
  <si>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</si>
  <si>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</si>
  <si>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</si>
  <si>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</si>
  <si>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</si>
  <si>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</si>
  <si>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</si>
  <si>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</si>
  <si>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</si>
  <si>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</si>
  <si>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</si>
  <si>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</si>
  <si>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</si>
  <si>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</si>
  <si>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</si>
  <si>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</si>
  <si>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</si>
  <si>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</si>
  <si>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</si>
  <si>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</si>
  <si>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</si>
  <si>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</si>
  <si>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</si>
  <si>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</si>
  <si>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</si>
  <si>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</si>
  <si>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</si>
  <si>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</si>
  <si>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</si>
  <si>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</si>
  <si>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</si>
  <si>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</si>
  <si>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</si>
  <si>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</si>
  <si>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</si>
  <si>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</si>
  <si>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</si>
  <si>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</si>
  <si>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</si>
  <si>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</si>
  <si>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</si>
  <si>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</si>
  <si>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</si>
  <si>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</si>
  <si>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</si>
  <si>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</si>
  <si>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</si>
  <si>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</si>
  <si>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</si>
  <si>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</si>
  <si>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</si>
  <si>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</si>
  <si>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</si>
  <si>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</si>
  <si>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</si>
  <si>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</si>
  <si>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</si>
  <si>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</si>
  <si>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</si>
  <si>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</si>
  <si>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</si>
  <si>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</si>
  <si>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</si>
  <si>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</si>
  <si>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</si>
  <si>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</si>
  <si>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</si>
  <si>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</si>
  <si>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</si>
  <si>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</si>
  <si>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</si>
  <si>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</si>
  <si>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</si>
  <si>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</si>
  <si>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</si>
  <si>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</si>
  <si>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</si>
  <si>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</si>
  <si>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</si>
  <si>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</si>
  <si>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</si>
  <si>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</si>
  <si>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</si>
  <si>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</si>
  <si>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</si>
  <si>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</si>
  <si>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</si>
  <si>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</si>
  <si>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</si>
  <si>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</si>
  <si>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</si>
  <si>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</si>
  <si>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</si>
  <si>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</si>
  <si>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</si>
  <si>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</si>
  <si>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</si>
  <si>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</si>
  <si>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</si>
  <si>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</si>
  <si>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</si>
  <si>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</si>
  <si>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</si>
  <si>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</si>
  <si>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</si>
  <si>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</si>
  <si>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</si>
  <si>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</si>
  <si>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</si>
  <si>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</si>
  <si>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</si>
  <si>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</si>
  <si>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</si>
  <si>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</si>
  <si>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</si>
  <si>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</si>
  <si>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</si>
  <si>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</si>
  <si>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</si>
  <si>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</si>
  <si>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</si>
  <si>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</si>
  <si>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</si>
  <si>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</si>
  <si>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</si>
  <si>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</si>
  <si>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</si>
  <si>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</si>
  <si>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</si>
  <si>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</si>
  <si>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</si>
  <si>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</si>
  <si>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</si>
  <si>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</si>
  <si>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</si>
  <si>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</si>
  <si>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</si>
  <si>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</si>
  <si>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</si>
  <si>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</si>
  <si>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</si>
  <si>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</si>
  <si>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Prestar los servicios profesionales para implementar tableros de control que permitan el  seguimiento al y control con un enfoque estratégico en la Subdirección de Gestión Corporativa. –SGC.</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</si>
  <si>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</si>
  <si>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</si>
  <si>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</si>
  <si>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</si>
  <si>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</si>
  <si>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</si>
  <si>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</si>
  <si>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</si>
  <si>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</si>
  <si>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</si>
  <si>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</si>
  <si>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</si>
  <si>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</si>
  <si>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</si>
  <si>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</si>
  <si>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</si>
  <si>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</si>
  <si>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</si>
  <si>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</si>
  <si>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</si>
  <si>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</si>
  <si>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</si>
  <si>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</si>
  <si>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</si>
  <si>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</si>
  <si>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</si>
  <si>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</si>
  <si>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</si>
  <si>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</si>
  <si>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</si>
  <si>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</si>
  <si>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</si>
  <si>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</si>
  <si>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</si>
  <si>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</si>
  <si>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</si>
  <si>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</si>
  <si>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</si>
  <si>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</si>
  <si>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</si>
  <si>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</si>
  <si>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</si>
  <si>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</si>
  <si>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</si>
  <si>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</si>
  <si>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</si>
  <si>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</si>
  <si>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</si>
  <si>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</si>
  <si>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</si>
  <si>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</si>
  <si>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</si>
  <si>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</si>
  <si>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</si>
  <si>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</si>
  <si>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</si>
  <si>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</si>
  <si>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</si>
  <si>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</si>
  <si>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</si>
  <si>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</si>
  <si>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</si>
  <si>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</si>
  <si>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</si>
  <si>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</si>
  <si>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</si>
  <si>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</si>
  <si>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</si>
  <si>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</si>
  <si>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</si>
  <si>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</si>
  <si>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</si>
  <si>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</si>
  <si>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</si>
  <si>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</si>
  <si>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</si>
  <si>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</si>
  <si>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</si>
  <si>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</si>
  <si>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</si>
  <si>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Adición No.1 al contrato 353 de 2023 que tiene como objeto "Prestar los servicios profesionales para la gestión administrativa y operativa de la Subdirección de Gestión Corporativa en el proceso de adquisición de bienes y servicios-SGC</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</si>
  <si>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</si>
  <si>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</si>
  <si>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</si>
  <si>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</si>
  <si>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</si>
  <si>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</si>
  <si>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</si>
  <si>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</si>
  <si>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</si>
  <si>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</si>
  <si>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</si>
  <si>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</si>
  <si>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</si>
  <si>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</si>
  <si>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</si>
  <si>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</si>
  <si>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</si>
  <si>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</si>
  <si>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</si>
  <si>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</si>
  <si>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</si>
  <si>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</si>
  <si>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</si>
  <si>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</si>
  <si>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</si>
  <si>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</si>
  <si>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</si>
  <si>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</si>
  <si>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</si>
  <si>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</si>
  <si>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</si>
  <si>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</si>
  <si>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</si>
  <si>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</si>
  <si>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</si>
  <si>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</si>
  <si>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</si>
  <si>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</si>
  <si>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</si>
  <si>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</si>
  <si>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</si>
  <si>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</si>
  <si>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</si>
  <si>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</si>
  <si>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</si>
  <si>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</si>
  <si>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</si>
  <si>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</si>
  <si>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</si>
  <si>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</si>
  <si>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</si>
  <si>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</si>
  <si>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</si>
  <si>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</si>
  <si>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</si>
  <si>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</si>
  <si>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</si>
  <si>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</si>
  <si>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</si>
  <si>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</si>
  <si>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</si>
  <si>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</si>
  <si>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</si>
  <si>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</si>
  <si>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</si>
  <si>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</si>
  <si>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</si>
  <si>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</si>
  <si>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</si>
  <si>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</si>
  <si>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</si>
  <si>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</si>
  <si>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</si>
  <si>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</si>
  <si>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</si>
  <si>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</si>
  <si>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</si>
  <si>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</si>
  <si>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</si>
  <si>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</si>
  <si>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</si>
  <si>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</si>
  <si>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</si>
  <si>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</si>
  <si>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</si>
  <si>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</si>
  <si>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</si>
  <si>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</si>
  <si>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</si>
  <si>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</si>
  <si>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</si>
  <si>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</si>
  <si>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</si>
  <si>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</si>
  <si>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</si>
  <si>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</si>
  <si>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</si>
  <si>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</si>
  <si>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</si>
  <si>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</si>
  <si>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</si>
  <si>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</si>
  <si>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39121321;
31162800;
39121700;
211024</t>
  </si>
  <si>
    <t>Adquisición de herramientas básicas para atención de incidentes - SBLG</t>
  </si>
  <si>
    <t>Adquisición de elementos de apicultura para atención de incidentes - SBLG</t>
  </si>
  <si>
    <t>Suministro de herramientas especializadas, equipos, accesorios y otros elementos de ferretería para garantizar la preparación y atención de emergencias de la U.A.E. Cuerpo Oficial de Bomberos de Bogotá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</si>
  <si>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</si>
  <si>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</si>
  <si>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</si>
  <si>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para uso y apropiación relacionados con la gestión administrativa de las herramientas tecnológicas de la Subdirección Logística - SBLG</t>
  </si>
  <si>
    <t xml:space="preserve">30/07/2023	</t>
  </si>
  <si>
    <t>Adición al CTO 433 de 2022, cuyo objeto es "Proveer el suministro de elementos de bioseguridad, trauma kit e insumos medicos basicos para la atencion de emergencias."</t>
  </si>
  <si>
    <t xml:space="preserve">30/08/2023	</t>
  </si>
  <si>
    <t>Prestar servicios Profesionales en la Subdirección Logística, en actividades relacionadas con la gestión y sostenimiento del parque automotor de la UAE Cuerpo Oficial de Bomberos de Bogotá. SBLG</t>
  </si>
  <si>
    <t>Pago de recursos Subdirección Logística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</si>
  <si>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</si>
  <si>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</si>
  <si>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</si>
  <si>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</si>
  <si>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</si>
  <si>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</si>
  <si>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</si>
  <si>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</si>
  <si>
    <t>ADICIÓN Y PRORROGA CTO 540-2022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</si>
  <si>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Adición y prórroga No.1 al contrato 082 de 2023 con objeto "Prestación de servicios de apoyo a la gestión del proceso de inventarios de la Subdirección de Gestión Corporativa.-SGC</t>
  </si>
  <si>
    <t>Adición y prórroga No.1 al contrato 101 de 2023 con objeto "Prestación de servicios de apoyo a la gestión del proceso de inventariosde la Subdirección de Gestión Corporativa.-SGC</t>
  </si>
  <si>
    <t>72101509, 
49191600</t>
  </si>
  <si>
    <t>Suministro de concentrado de espuma y extintores y el mantenimiento, recarga de extintores, cilindros y tanques de las maquinas extintoras - SBLG</t>
  </si>
  <si>
    <t>Adquirir un motor fuera de borda para el equipo especializado UARBO de la UAE Cuerpo Oficial de Bomberos Bogotá - SO</t>
  </si>
  <si>
    <t>25131600, 25131700, 25131800</t>
  </si>
  <si>
    <t>Adquisición de UAS para el grupo especializado SART de la UAECOB - SO</t>
  </si>
  <si>
    <t>O23201010030208 Otra máquinaria para usos especiales y sus partes</t>
  </si>
  <si>
    <t>Adicionar y prorrogar el contrato No. 620 de 2022  cuyo objeto es "Prestar los servicios de mantenimiento, soporte técnico, mejoras y
actualizaciones de Aranda utilizado por la UEACOB"</t>
  </si>
  <si>
    <t>O2120202008078715303 _Servicio de mantenimiento de cámaras de televisión</t>
  </si>
  <si>
    <t>Adición y prórroga  al contrato No. 557 de 2023 cuyo objeto es "Contratar el alquiler de equipos tecnológicos, periféricos y servicios 
complementarios para la U.A.E. Cuerpo Oficial de Bomberos de 
Bogotá. – TI"</t>
  </si>
  <si>
    <t>Adición y prórroga  al contrato No. 558 de 2023 cuyo objeto es "Contratar el alquiler de equipos tecnológicos, periféricos y servicios 
complementarios para la U.A.E. Cuerpo Oficial de Bomberos de 
Bogotá. – TI"</t>
  </si>
  <si>
    <t>Contratar el alquiler de Tablets y portátil especializado para la UAE Cuerpo Oficial de Bomberos Bogotá - TIC</t>
  </si>
  <si>
    <t>Reconocimiento y pago Pasivo Exigible contrato de prestación servicios No 469 de 2020 cuyo objeto es: "prestación de servicios profesionales en la Oficina Asesora de Planeación, en el marco de los procesos y procedimientos a cargo de la dependencia".</t>
  </si>
  <si>
    <t>SGH - Prestar sus servicios profesionales en la Subdirección de Gestión Humana en el proceso de liquidación de demandas y conciliaciones administrativas.</t>
  </si>
  <si>
    <t>Prestación de servicios de apoyo a la gestión administrativa, documental y actualización de bases de datos a cargo del equipo menor de la Subdirección Logística - SBLG</t>
  </si>
  <si>
    <t>Pago pasivo exigible del contrato 002 de 2021 cuyo objeto es "Prestar sus servicios profesionales brindando acompañamiento legal en la Subdirección de Gestión Humana de la UAE Cuerpo Oficial de Bomberos"</t>
  </si>
  <si>
    <t>“Adición y prórroga del contrato 136 de 2023, cuyo objeto es: "Prestar servicios profesionales a la Dirección General en actividades de articulación interinstitucional entre las diferentes dependencias, entidades del sector, y demás que estén relacionadas con la misionalidad de la UAECOB”</t>
  </si>
  <si>
    <t>O21202020080282130 Servicios de documentación y certificación jurídica</t>
  </si>
  <si>
    <t>Adición y prórroga del contrato 314 de 2023, cuyo objeto es: "Prestar servicios profesionales en la Dirección General para el diseño gráfico y apoyo periodístico requerido en el marco de la estrategia de comunicaciones y prensa de la UEACOB</t>
  </si>
  <si>
    <t>81112400; 81112300;81112500;81112200</t>
  </si>
  <si>
    <t>Contratar el servicio de nube publica para la U.A.E Cuerpo Oficial de Bomberos de Bogotá - TIC</t>
  </si>
  <si>
    <t xml:space="preserve"> (Pago de Pasivos) - CTO 348 DE 2019, Suministro de alimentación e hidratación</t>
  </si>
  <si>
    <t>Adición y prórroga al contrato 001 de 2023 cuyo objeto es: "Prestar los servicios profesionales jurídicos especializados para la verificación de la legalidad contractual en el desarrollo de las funciones de la Oficina Jurídica"</t>
  </si>
  <si>
    <t>80111600;</t>
  </si>
  <si>
    <t>Adición y prórroga No. 1 al contrato 303 de 2023 que tiene como objeto "Prestar servicios profesionales para acompañar jurídicamente los procesos y procedimientos del área de infraestructura de la Subdirección de Gestión Corporativa.SGC</t>
  </si>
  <si>
    <t>Adición y prórroga No. 1 al contrato 110 de 2023 que tiene como objeto " 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</si>
  <si>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</si>
  <si>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Adición y prórroga No. 1 al contrato 182 DE 2023 que tiene como objeto " Prestación de servicios profesionales especializados para articular y revisar los procesos y procedimientos del área de infraestructura, así como en el apoyo a la supervisión de los contratos que le sean asignados</t>
  </si>
  <si>
    <t>Adición y prórroga No. 1 al contrato 155 DE 2023 que tiene como objeto "Prestación de Servicios Profesionales en temas financieros, administrativas y misionales para apoyar los proyectos de infraestructura de la Subdirección de Gestión Corporativa.-SGC</t>
  </si>
  <si>
    <t>Adición y prórroga No. 1 al contrato 270 de 2023 que tiene como objeto " Prestación de Servicios Profesionales para la formulación, seguimiento y ejecución de procesos presupuestales y financieros a cargo de la Subdirección de Gestión Corporativa -SGC</t>
  </si>
  <si>
    <t>Adición y prórroga No. 1 al contrato 324 de 2023 que tiene como objeto "Prestación de servicios profesionales especializados para apoyar las actividades técnicas del Área de Infraestructura de la Subdirección de Gestión Corporativa-SGC</t>
  </si>
  <si>
    <t>Adición y prórroga No. 1 al contrato 173 de 2023 que tiene como objeto"Prestar servicios profesionales con el fin de atender los trámites ambientales y los demás que requiera el área de Infraestructura de la Subdirección de Gestión Corporativa. SGC</t>
  </si>
  <si>
    <t xml:space="preserve">Adición No. 1 al contrato 134 de 2023 que tiene como objeto mantenimiento preventivo y correctivo, que incluye el suministro de insumos y repuestos de las lavadoras y secadoras industriales ubicadas en las estaciones de bomberos de la UAE Cuerpo Oficial de Bomberos de Bogotá-SGC, </t>
  </si>
  <si>
    <t>Reconocimiento y pago Pasivo Exigible contrato de suministros No 540 de 2021 suscrito con CENTRO FERRETERO MAFER SAS, para el suministro de materiales, equipos y herramientas para el mejoramiento integral de as instalaciones de la UAE Cuerpo Oficial de Bomberos de Bogotá. Reconoce el valor de $7´959.086 según factura No. DOC CS 26105 del 09 de agosto de 2022.SGC.</t>
  </si>
  <si>
    <t>Reconocimiento y pago Pasivo Exigible contrato No 683 de 2021 suscrito con CONSORCIO RYC</t>
  </si>
  <si>
    <t>O2320202005040554590_Otros servicios especializados de la construcción</t>
  </si>
  <si>
    <t>Reconocimiento y pago Pasivo Exigible contrato No 690 de 2021 suscrito con GAVINCO INGENIEROS CONSULTORES S.A.S</t>
  </si>
  <si>
    <t>Reconocimiento y pago Pasivo Exigible contrato No 401 de 2018  suscrito con CONSORCIO CP001-UAE</t>
  </si>
  <si>
    <t xml:space="preserve">Reconocimiento y pago Pasivo Exigible contrato No 714 de 2021  suscrito con OSCAR HERNANDO DUQUE DUQUE </t>
  </si>
  <si>
    <t>Reconocimiento y pago Pasivo Exigible contrato No 331 de 2019  suscrito con PROMCIVILES SAS</t>
  </si>
  <si>
    <t>Reconocimiento y pago Pasivo Exigible contrato No 620 DE 2020  suscrito con MAURICIO RAFAEL PABA PINZON</t>
  </si>
  <si>
    <t>Realizar el mantenimiento predictivo, preventivo, correctivo, mejoras y dotación a las instalaciones de las dependencias de la Unidad Administrativa Especial Cuerpo Oficial de Bomberos de Bogotá D.C. - SGC</t>
  </si>
  <si>
    <t>56101500
;561217</t>
  </si>
  <si>
    <t>Adición No. 1 al contrato 634 de 2022 que tiene como objeto "  Suministro de muebles, enseres, maquinaria, equipo y demás elementos quesean requeridos por las diferentes estaciones y edificio comando de la UAE Cuerpo Oficial de Bomberos Bogotá- SGC</t>
  </si>
  <si>
    <t>Adición y prórroga al contrato 201 de 2023 cuyo objeto es: "Prestación de servicios profesionales jurídicos para orientar y apoyar el trámite y la gestión de los procesos disciplinarios que se adelanten en la Oficina Jurídica de la Unidad Administrativa Especial Cuerpo Oficial de Bomberos Bogotá"</t>
  </si>
  <si>
    <t xml:space="preserve"> CCE-10 Mínima cuantía - Grandes Superficies</t>
  </si>
  <si>
    <t>Prestar servicios profesionales para la gestión, trámites administrativos y financieros para los procesos que adelanta la Subdirección Logística- SBLG</t>
  </si>
  <si>
    <t>Adición  y prórroga al Contrato No. 237 de 2023, cuyo objeto es "Contratar soporte técnico en sitio y mantenimiento correctivo con
suministro de repuestos para la infraestructura tecnológica de la
UAE Cuerpo Oficial de Bomberos de Bogotá y SUPERCADES de
Bogotá-TIC"</t>
  </si>
  <si>
    <t>SGH - Prestar los servicios de capacitación, formación y entrenamiento en cursos especializados, para el personal de la Unidad Administrativa Especial Cuerpo Oficial de Bomberos</t>
  </si>
  <si>
    <t>SGH - Prestar servicios profesionales y de apoyo para soportar las actividades administrativas de la dependencia.</t>
  </si>
  <si>
    <t xml:space="preserve">25101700;
25101900;
92101601;
92101603;
92101604;
26101515 </t>
  </si>
  <si>
    <t>Adicion y prorroga contrato No 112 -2023 -Prestar servicios de apoyo a la gestion en las actividades de monitoreo del riesgo para la Subdirección de Gestión del Riesgo._SGR Auxiliar</t>
  </si>
  <si>
    <t>Adición y prórroga al contrato 283 de 2023 cuyo objeto es: "Prestar los servicios profesionales  jurídicos para apoyar las actividades propias de la gestión contractual que adelanta la Oficina Jurídica"</t>
  </si>
  <si>
    <t>Adición y prórroga al contrato 421 de 2023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</si>
  <si>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294 de 2023 cuyo objeto es: "Prestar los servicios profesionales  jurídicos para apoyar las actividades propias de la gestión contractual que adelanta la Oficina Jurídica"</t>
  </si>
  <si>
    <t>Adición y prórroga al contrato 282 de 2023 cuyo objeto es: "Prestar los servicios de apoyo para las gestiones administrativas requeridas en la Oficina Jurídica".</t>
  </si>
  <si>
    <t>Adición y prórroga al contrato 381 de 2023 cuyo objeto es: "Prestar los servicios de apoyo para las gestiones documentales y administrativas requerida por la Oficina Jurídica"</t>
  </si>
  <si>
    <t>Adición y prórroga al contrato 298 de 2023 cuyo objeto es: "Prestar los servicios de apoyo para las gestiones documentales y administrativas requerida por la Oficina Jurídica"</t>
  </si>
  <si>
    <t>Adición y prórroga al contrato 378 de 2023 cuyo objeto es: "Prestar los servicios de apoyo para las gestiones documentales y administrativas requerida por la Oficina Jurídica"</t>
  </si>
  <si>
    <t>Adición y prórroga al contrato 286 de 2023 cuyo objeto es: "Prestar los servicios profesionales  jurídicos para apoyar las actividades propias de la gestión contractual que adelanta la Oficina Jurídica"</t>
  </si>
  <si>
    <t>Adición y prórroga al contrato 384 de 2023 cuyo objeto es: "Prestar servicios profesionales  para apoyar en las acciones de control y manejo de la información y la presentación de los informes reglamentarios a los entes de control por parte de la Oficina Jurídica"</t>
  </si>
  <si>
    <t>Adición y prórroga al contrato 308 de 2023 cuyo objeto es: "Prestar los servicios de apoyo para los tramites, gestiones y actividades propias que se requieran en los diferentes procesos disciplinarios propios de la etapa de juzgamiento de la Oficina Jurídica en la UAECOB"</t>
  </si>
  <si>
    <t>Adición y prórroga al contrato 349 de 2023 cuyo objeto es: "Prestar servicios profesionales para apoyar las diferentes actuaciones jurídicas que adelanta la UACOB"</t>
  </si>
  <si>
    <t>Adición y prórroga al contrato 350 de 2023 cuyo objeto es: "Prestar los servicios profesionales para apoyar la depuración de la cartera de cobro coactivo, así como actividades propias de la defensa judicial de la Entidad y demas actiuaciones relacionadas que requiera la Oficina Jurídica"</t>
  </si>
  <si>
    <t>Fecha: 14/09/2023</t>
  </si>
  <si>
    <t xml:space="preserve"> Adición y prórroga del Contrato 200 de 2023 cuyo objeto es "Prestar los servicios profesionales jurídicos en la Oficina de Control Disciplinario Interno de la entidad relacionados con los procesos disciplinarios"</t>
  </si>
  <si>
    <t>Adición y prórroga del Contrato 250 de 2023 cuyo objeto es "Prestación de servicios profesionales jurídicos para apoyar la gestión de las actuaciones disciplinarias que se encuentren a cargo y adelante la Oficina de Control Disciplinario Interno en el rol de instrucción"</t>
  </si>
  <si>
    <t>85121600, 85122000, 85121500</t>
  </si>
  <si>
    <t>"Adición y prorroga al contrato 364-2023 cuyo objeto es "Prestación de servicios profesionales en asuntos de comunicaciones y prensa para apoyar la divulgación y socialización de la información relacionada con la misionalidad de la UAECOB de manera interna y externa".</t>
  </si>
  <si>
    <t>Contratar el suministro de raciones de campaña para el cuerpo oficial de Bomberos de Bogotá - SBLG</t>
  </si>
  <si>
    <t xml:space="preserve">Adición y Prorroga del Cto No. 527 de 2023 cuyo objeto es “Prestar servicios de apoyo a la gestión en los aspectos jurídicos de la Subdirección Logística -SBLG” </t>
  </si>
  <si>
    <t xml:space="preserve">Adición y Prorroga del Cto No. 474 de 2023 cuyo objeto es “Prestación de servicios de apoyo a la gestión como conductor de acuerdo a las necesidades de desplazamiento que requiera la Subdirección Logística - SBLG” </t>
  </si>
  <si>
    <t xml:space="preserve">Adición y Prorroga del Cto No. 396 de 2023 cuyo objeto es “Prestar servicios de apoyo a la gestión en temas administrativos para el seguimiento y control de suministros y consumibles derivados de los contratos de la Subdirección Logística -SBLG. </t>
  </si>
  <si>
    <t xml:space="preserve">Adición y Prorroga del Cto No. 428 de 2023 cuyo objeto es “Prestación de servicios de apoyo a la gestión administrativa y documental en el trámite y atención de requerimientos del personal operativo logístico de la Subdirección Logística, - SBLG” </t>
  </si>
  <si>
    <t xml:space="preserve">Adición y prórroga  del Cto No. 450 de 2023 cuyo objeto es “Prestación de servicios profesionales para realizar el seguimiento y monitoreo a los diferentes procesos y procedimientos del equipo menor a cargo de la Subdirección Logística - SBLG” </t>
  </si>
  <si>
    <t xml:space="preserve">Adición y prórroga  del Cto No. 478 de 2023 cuyo objeto es “Prestación de servicios profesionales en la gestión integral del equipo menor a cargo de la Subdirección Logística garantizando su operatividad y funcionamiento. SBLG” </t>
  </si>
  <si>
    <t xml:space="preserve">Adición y prórroga  del Cto No. 094 de 2023 cuyo objeto es “Prestación de servicios profesionales en la formulación e implementación de estrategias de comunicación que promueva el uso y apropiación de los programas desarrollados por la Subdirección Logística - SBLG” </t>
  </si>
  <si>
    <t xml:space="preserve">Adición y prórroga  del Cto No. 534 de 2023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</si>
  <si>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prorroga del Cto no. 517 de 2023 cuyo objeto es “prestación de servicios de apoyo a la gestión del correcto funcionamiento de los equipos menores pertenecientes a la UAECOB, en la Subdirección logística SBLG”</t>
  </si>
  <si>
    <t xml:space="preserve">Prestar servicios profesionales para realizar el seguimiento y control de las solicitudes que se reciban a través de las herramientas de tecnológicas de la mesa de logística a cargo Subdirección Logística – SBLG </t>
  </si>
  <si>
    <t>Adición No.1 al contrato 632 de 2022 que tiene como objeto "Contratar los seguros de casco aviación aeronaves no tripuladas (drones)de propiedad y de aquellos por los cuales es legalmente responsable a Unidad Administrativa Especial del Cuerpo Oficial de Bomberos de Bogotá-SGC</t>
  </si>
  <si>
    <t>47131800;</t>
  </si>
  <si>
    <t>Suministro de insumos de lavadoras para la UAE Cuerpo Oficial de Bomberos-SGC</t>
  </si>
  <si>
    <t>Adición No.1 al contrato 122 de 2023 que tiene como objeto"Suministro de insumos para computador e impresoras para las dependencias de la UAE Cuerpo Oficial de Bomberos.-SGC"</t>
  </si>
  <si>
    <t>Reconocimiento y pago Pasivo Exigible contrato de Interventorìa No 690 de 2021 suscrito con GAVINCO INGENIEROS CONSULTORES S.A.S</t>
  </si>
  <si>
    <t>Prestación de servicios profesionales especializados en temas financieros, administrativos y precontractuales, contractuales y poscontractuales de los procesos del área de infraestructura de la Subdirección de Gestión Corporativa.-SGC</t>
  </si>
  <si>
    <t>Adición y Prorroga del contrato No. 13 de 2023, cuyo objeto es "Prestar  servicios  profesionales  para administrar y gestionar la  seguridad  y privacidad de la información dentro de la infraestructura tecnológica y de comunicaciones  utilizada por UAE Cuerpo Oficial de Bomberos de Bogotá - TIC"</t>
  </si>
  <si>
    <t>Adicion y prorroga del contrato No. 58 de 2023, cuyo objeto es: "Prestar los servicios profesionales administrativos y financieros en la gestión contractual relacionados con los proyectos y funciones de la Oficina Asesora de Planeación-TIC"</t>
  </si>
  <si>
    <t>Adición y prorroga del contrato No. 494 de 2023, cuyo objeto es "Prestar servicios profesionales con plena autonomía técnica y administrativa, en la administración y gestión de la infraestructura tecnológica de servidores y componentes relacionados con los que cuenta la UAE Cuerpo Oficial de Bomberos de Bogotá - TIC"</t>
  </si>
  <si>
    <t>Adición y Prorroga del contrato No. 532 de 2023, cuyo objeto es: "Prestar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t>
  </si>
  <si>
    <t>Adicion y prorroga del contrato No. 447 Prestar Servicios Profesionales  con autonomía técnica y administrativa, en la administración, y gestión de  los sistemas de información y aplicativos con los que cuenta la UAE Cuerpo Oficial de Bomberos Bogotá. -TIC</t>
  </si>
  <si>
    <t>Prestar servicios profesionales en la administración de los sistemas misionales, asi como, gestionar la apropiación del conocimiento, sus mantenimientos, actualizaciones e implementaciones de los mismos</t>
  </si>
  <si>
    <t>Prestar servicios profesionales especializados a la Jefatura de la Oficina Asesora de Planeación en el fortalecimiento, articulación, seguimiento y gestión de los proyectos de inversión y la implementación del modelo integrado de planeación y gestión en el marco del proceso de gestión estratégica.</t>
  </si>
  <si>
    <t>Adición y prórroga No.1 al contrato 078 de 2023 con objeto "Prestación de servicios de apoyo a la gestión para desarrollar actividades de tipo administrativo relacionadas con las funciones propias de la Subdirección de Gestión Corporativa-SGC</t>
  </si>
  <si>
    <t>Adición y prórroga No. 1 al contrato 034 de 2023 con objeto "Prestar los servicios como conductor de la Subdirección de Gestión Corporativa -SGC</t>
  </si>
  <si>
    <t>3.5</t>
  </si>
  <si>
    <t>Adición y prórroga No.1 al contrato 395 de 2023 con objeto "Prestación de servicios de apoyo a la gestión en la ejecución de los planes y programas de servicio al ciudadano a cargo de la Subdirección de Gestión Corporativa-SGC</t>
  </si>
  <si>
    <t>Adición y prórroga No.1 al contrato 356 de 2023 con objeto "Prestación de servicios de apoyo a la gestión documental de la Subdirección de Gestión Corporativa de la Unidad-SGC</t>
  </si>
  <si>
    <t>Adición y prórroga No.1 al contrato 351 de 2023 con objeto "Prestar servicios profesionales en la Subdirección de Gestión Corporativa en lo relacionado con los procesos de inventarios.-SGC</t>
  </si>
  <si>
    <t>2.5</t>
  </si>
  <si>
    <t>Adición y prórroga No.1 al contrato 293 de 2023 con objeto "Prestación de servicios de apoyo a la gestión documental de la Subdirección de Gestión Corporativa de la Unidad-SGC</t>
  </si>
  <si>
    <t>Adición y prórroga No.1 al contrato 388 de 2023 con objeto "Prestación de servicios de apoyo a la gestión en la ejecución de los planes y programas de servicio al ciudadano a cargo de la Subdirección de Gestión Corporativa-SGC</t>
  </si>
  <si>
    <t>Adición y prórroga No.1 al contrato 424 de 2023 con objeto "Prestación de servicios de apoyo a la gestión en la ejecución de los planes y programas de servicio al ciudadano a cargo de la Subdirección de Gestión Corporativa-SGC</t>
  </si>
  <si>
    <t xml:space="preserve">Adición y prórroga No.1 al contrato 365 de 2023 con objeto "Prestación de servicios de apoyo a la gestión en la ejecución de los planes y programas de servicio al ciudadano a cargo de la Subdirección de Gestión Corporativa-SGC </t>
  </si>
  <si>
    <t>Adición y prórroga No.1 al contrato 387 de 2023 con objeto "Prestación de servicios de apoyo a la gestión en la ejecución de los planes y programas de servicio al ciudadano a cargo de la Subdirección de Gestión Corporativa-SGC</t>
  </si>
  <si>
    <t>Adición y prórroga No.1 al contrato 403 de 2023 con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Corporativa.-SGC</t>
  </si>
  <si>
    <t>Adición y prórroga No.1 al contrato 102 de 2023 con objeto "Prestación de servicios de apoyo a la gestión del proceso de inventarios de la Subdirección de Gestión Corporativa.-SGC</t>
  </si>
  <si>
    <t>Adición y prórroga No.1 al contrato 206 de 2023 con objeto "Prestación de servicios profesionales en la implementación, consolidación, seguimiento y reporte de los lineamientos ambientales en cada una de las sedes de la UAE CUERPO OFICIAL DE BOMBEROS BOGOTÁ-SGC</t>
  </si>
  <si>
    <t>Adición y prórroga No.1 al contrato 095 de 2023 con objeto "Prestación de servicios de apoyo a la gestión del proceso de inventarios de la Subdirección de Gestión Corporativa.-SGC</t>
  </si>
  <si>
    <t>Adición y prórroga No.1 al contrato 067 de 2023 con objeto "Prestación de servicios profesionales para la ejecución de los procesos contables que se desarrollan en el Área Financiera de la UAE Cuerpo Oficial de Bomberos asignados. -SGC</t>
  </si>
  <si>
    <t>Prestación de servicios de apoyo a la gestión del proceso de inventariosde la Subdirección de Gestión Corporativa.-SGC</t>
  </si>
  <si>
    <t>Prestación de servicios profesionales en el acompañamiento y asistencia al proceso de la gestión administrativa a cargo de la Subdirección de Gestión Corporativa.- SGC</t>
  </si>
  <si>
    <t>21102400;
21102401;
31211903</t>
  </si>
  <si>
    <t>Contratar el servicio de mantenimiento y/o adecuación para los trajes de protección personal para la atención de incidentes con abejas- SBLG</t>
  </si>
  <si>
    <t>Adquisición de Parches para los Desfibriladores Externos Automáticos (D.E.A.) para la Atención de Emergencia - SBLG</t>
  </si>
  <si>
    <t>40151510; 40151531; 40151721; 72121402; 72151800; 72154103; 72154108; 72154109; 73152108</t>
  </si>
  <si>
    <t>Adición y prorroga al contrato 020 de 2023 cuyo objeto es "Prestar los servicios profesionales  en la Oficina de Control Interno para el desarrollo del Plan Anual de Auditorías."</t>
  </si>
  <si>
    <t>Adición y prorroga al contrato 022 de 2023  cuyo objeto es “Prestar servicios de apoyo a la gestión como técnico en la Oficina de Control Interno para ejecutar procesos y procedimientos administrativos y asistenciales teniendo en cuenta el Plan Anual de Auditorías."</t>
  </si>
  <si>
    <t>Adición y prórroga al contrato 002 de 2023 cuyo objeto es: "Prestar los servicios profesionales especializados para la representación judicial  de la Entidad y la prevención del daño antijurídico".</t>
  </si>
  <si>
    <t xml:space="preserve">“Adición y prorroga al contrato No. 379 de 2023 que tiene como objeto "Prestar servicios profesionales para apoyar en el seguimiento y gestión de las diferentes políticas propias de la misionalidad y funcionamiento de la UAECOB, en cumplimiento de la Gestión Estratégica y la mejora continua de la entidad”. </t>
  </si>
  <si>
    <t>Prestar servicios profesionales para apoyar en los diferentes tramites administrativos, documental e inventario de  subdirección logística - SBLG</t>
  </si>
  <si>
    <t>Adición y prórroga del Cto 516-2023, cuyo objeto es "Prestación de servicios de apoyo a la gestión de los procesos a cargo de la Subdirección Logística" - SBLG</t>
  </si>
  <si>
    <t>Total general</t>
  </si>
  <si>
    <t>Suma de Valor total estimado</t>
  </si>
  <si>
    <t>Total</t>
  </si>
  <si>
    <t>Dios123*</t>
  </si>
  <si>
    <t>Bogota123?</t>
  </si>
  <si>
    <t>Sep8812*</t>
  </si>
  <si>
    <t>Versión No.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</si>
</sst>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 numFmtId="170" formatCode="_-* #,##0.0_-;\-* #,##0.0_-;_-* &quot;-&quot;??_-;_-@_-"/>
    <numFmt numFmtId="171" formatCode="_-[$$-240A]\ * #,##0_-;\-[$$-240A]\ * #,##0_-;_-[$$-240A]\ * &quot;-&quot;??_-;_-@_-"/>
  </numFmts>
  <fonts count="29"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theme="1"/>
      <name val="Tahoma"/>
      <family val="2"/>
    </font>
    <font>
      <sz val="12"/>
      <color theme="1"/>
      <name val="Calibri"/>
      <family val="2"/>
      <scheme val="minor"/>
    </font>
    <font>
      <sz val="12"/>
      <color rgb="FFFF0000"/>
      <name val="Tahoma"/>
      <family val="2"/>
    </font>
  </fonts>
  <fills count="10">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s>
  <cellStyleXfs count="9">
    <xf numFmtId="0" fontId="0" fillId="0" borderId="0"/>
    <xf numFmtId="44"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3" fillId="0" borderId="0"/>
    <xf numFmtId="0" fontId="3" fillId="0" borderId="0"/>
    <xf numFmtId="9" fontId="6" fillId="0" borderId="0" applyFont="0" applyFill="0" applyBorder="0" applyAlignment="0" applyProtection="0"/>
  </cellStyleXfs>
  <cellXfs count="264">
    <xf numFmtId="0" fontId="0" fillId="0" borderId="0" xfId="0"/>
    <xf numFmtId="167" fontId="1" fillId="0" borderId="0"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0" fontId="2" fillId="0" borderId="2" xfId="2" applyNumberFormat="1" applyFont="1" applyFill="1" applyBorder="1" applyAlignment="1">
      <alignment horizontal="center" vertic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14" fontId="1" fillId="0" borderId="3" xfId="2" applyNumberFormat="1" applyFont="1" applyFill="1" applyBorder="1" applyAlignment="1">
      <alignment horizontal="center" vertical="center" wrapText="1"/>
    </xf>
    <xf numFmtId="0" fontId="9" fillId="0" borderId="5" xfId="0" applyFont="1" applyBorder="1"/>
    <xf numFmtId="0" fontId="10" fillId="0" borderId="0" xfId="0" applyFont="1"/>
    <xf numFmtId="0" fontId="10" fillId="0" borderId="0" xfId="0" applyFont="1" applyAlignment="1">
      <alignment vertical="center"/>
    </xf>
    <xf numFmtId="44" fontId="10" fillId="0" borderId="0" xfId="5" applyFont="1"/>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6" xfId="0" applyFont="1" applyBorder="1"/>
    <xf numFmtId="0" fontId="10" fillId="0" borderId="10" xfId="0" applyFont="1" applyBorder="1" applyAlignment="1">
      <alignment horizontal="center" vertical="center" wrapText="1"/>
    </xf>
    <xf numFmtId="3" fontId="10" fillId="0" borderId="1" xfId="0" applyNumberFormat="1" applyFont="1" applyBorder="1" applyAlignment="1">
      <alignment horizontal="center" vertical="center"/>
    </xf>
    <xf numFmtId="44" fontId="10" fillId="0" borderId="1" xfId="5" applyFont="1" applyBorder="1" applyAlignment="1">
      <alignment horizontal="center" vertical="center"/>
    </xf>
    <xf numFmtId="44" fontId="10" fillId="0" borderId="6" xfId="0" applyNumberFormat="1" applyFont="1" applyBorder="1" applyAlignment="1">
      <alignment horizontal="center" vertical="center"/>
    </xf>
    <xf numFmtId="44" fontId="10" fillId="0" borderId="1" xfId="5" applyFont="1" applyBorder="1"/>
    <xf numFmtId="44" fontId="10" fillId="0" borderId="1" xfId="0" applyNumberFormat="1" applyFont="1" applyBorder="1"/>
    <xf numFmtId="44" fontId="12" fillId="0" borderId="6" xfId="0" applyNumberFormat="1" applyFont="1" applyBorder="1" applyAlignment="1">
      <alignment horizontal="center" vertical="center"/>
    </xf>
    <xf numFmtId="44" fontId="12" fillId="0" borderId="1" xfId="0" applyNumberFormat="1" applyFont="1" applyBorder="1"/>
    <xf numFmtId="44" fontId="13" fillId="0" borderId="6" xfId="0" applyNumberFormat="1" applyFont="1" applyBorder="1" applyAlignment="1">
      <alignment horizontal="center" vertical="center"/>
    </xf>
    <xf numFmtId="44" fontId="10" fillId="0" borderId="1" xfId="5" applyFont="1" applyFill="1" applyBorder="1" applyAlignment="1">
      <alignment horizontal="center" vertical="center"/>
    </xf>
    <xf numFmtId="0" fontId="11" fillId="2" borderId="5" xfId="0" applyFont="1" applyFill="1" applyBorder="1" applyAlignment="1">
      <alignment horizontal="center" vertical="center"/>
    </xf>
    <xf numFmtId="3" fontId="11" fillId="2" borderId="11" xfId="0" applyNumberFormat="1" applyFont="1" applyFill="1" applyBorder="1" applyAlignment="1">
      <alignment horizontal="right" vertical="center"/>
    </xf>
    <xf numFmtId="3" fontId="10" fillId="0" borderId="0" xfId="0" applyNumberFormat="1" applyFont="1"/>
    <xf numFmtId="0" fontId="10" fillId="0" borderId="1" xfId="0" applyFont="1" applyBorder="1"/>
    <xf numFmtId="0" fontId="14"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4" fillId="3" borderId="1" xfId="0" applyFont="1" applyFill="1" applyBorder="1" applyAlignment="1">
      <alignment vertical="center" wrapText="1"/>
    </xf>
    <xf numFmtId="168" fontId="14" fillId="4" borderId="1" xfId="0" applyNumberFormat="1" applyFont="1" applyFill="1" applyBorder="1" applyAlignment="1">
      <alignment horizontal="right" vertical="center" wrapText="1"/>
    </xf>
    <xf numFmtId="3" fontId="11" fillId="2" borderId="1" xfId="0" applyNumberFormat="1" applyFont="1" applyFill="1" applyBorder="1" applyAlignment="1">
      <alignment horizontal="right" vertical="center" wrapText="1"/>
    </xf>
    <xf numFmtId="3" fontId="11" fillId="2" borderId="1" xfId="0" applyNumberFormat="1" applyFont="1" applyFill="1" applyBorder="1" applyAlignment="1">
      <alignment horizontal="center" vertical="center" wrapText="1"/>
    </xf>
    <xf numFmtId="6" fontId="10" fillId="0" borderId="0" xfId="0" applyNumberFormat="1" applyFont="1"/>
    <xf numFmtId="3" fontId="10" fillId="3" borderId="1" xfId="0" applyNumberFormat="1" applyFont="1" applyFill="1" applyBorder="1" applyAlignment="1">
      <alignment vertical="center"/>
    </xf>
    <xf numFmtId="3" fontId="10" fillId="0" borderId="1" xfId="0" applyNumberFormat="1" applyFont="1" applyBorder="1"/>
    <xf numFmtId="3" fontId="14" fillId="3" borderId="1" xfId="0" applyNumberFormat="1" applyFont="1" applyFill="1" applyBorder="1" applyAlignment="1">
      <alignment horizontal="right" vertical="center" wrapText="1"/>
    </xf>
    <xf numFmtId="44" fontId="14" fillId="3" borderId="1" xfId="5" applyFont="1" applyFill="1" applyBorder="1" applyAlignment="1">
      <alignment horizontal="right" vertical="center" wrapText="1"/>
    </xf>
    <xf numFmtId="44" fontId="12" fillId="0" borderId="1" xfId="5" applyFont="1" applyBorder="1"/>
    <xf numFmtId="0" fontId="11" fillId="2" borderId="1" xfId="0" applyFont="1" applyFill="1" applyBorder="1" applyAlignment="1">
      <alignment horizontal="center" vertical="center"/>
    </xf>
    <xf numFmtId="3" fontId="11" fillId="2" borderId="1" xfId="0" applyNumberFormat="1" applyFont="1" applyFill="1" applyBorder="1" applyAlignment="1">
      <alignment horizontal="right" vertical="center"/>
    </xf>
    <xf numFmtId="3" fontId="15" fillId="0" borderId="0" xfId="0" applyNumberFormat="1" applyFont="1"/>
    <xf numFmtId="168" fontId="14" fillId="0" borderId="1" xfId="0" applyNumberFormat="1" applyFont="1" applyBorder="1" applyAlignment="1">
      <alignment horizontal="right" vertical="center" wrapText="1"/>
    </xf>
    <xf numFmtId="0" fontId="0" fillId="0" borderId="0" xfId="0" applyAlignment="1">
      <alignment vertical="center"/>
    </xf>
    <xf numFmtId="44" fontId="6" fillId="0" borderId="0" xfId="5" applyFont="1"/>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16" fillId="2" borderId="5" xfId="0" applyFont="1" applyFill="1" applyBorder="1" applyAlignment="1">
      <alignment horizontal="center" vertical="center"/>
    </xf>
    <xf numFmtId="3" fontId="0" fillId="0" borderId="0" xfId="0" applyNumberFormat="1"/>
    <xf numFmtId="0" fontId="16" fillId="5" borderId="1" xfId="0" applyFont="1" applyFill="1" applyBorder="1" applyAlignment="1">
      <alignment horizontal="center" vertical="center" wrapText="1"/>
    </xf>
    <xf numFmtId="0" fontId="0" fillId="0" borderId="1" xfId="0" applyBorder="1"/>
    <xf numFmtId="0" fontId="17" fillId="0" borderId="1" xfId="0" applyFont="1" applyBorder="1" applyAlignment="1">
      <alignment vertical="center" wrapText="1"/>
    </xf>
    <xf numFmtId="168" fontId="18" fillId="0" borderId="1" xfId="0" applyNumberFormat="1" applyFont="1" applyBorder="1" applyAlignment="1">
      <alignment horizontal="right" vertical="center" wrapText="1"/>
    </xf>
    <xf numFmtId="168" fontId="18" fillId="5" borderId="1" xfId="0" applyNumberFormat="1" applyFont="1" applyFill="1" applyBorder="1" applyAlignment="1">
      <alignment horizontal="right" vertical="center" wrapText="1"/>
    </xf>
    <xf numFmtId="0" fontId="17" fillId="3" borderId="1" xfId="0" applyFont="1" applyFill="1" applyBorder="1" applyAlignment="1">
      <alignment vertical="center" wrapText="1"/>
    </xf>
    <xf numFmtId="168" fontId="17" fillId="0" borderId="1" xfId="0" applyNumberFormat="1" applyFont="1" applyBorder="1" applyAlignment="1">
      <alignment horizontal="right" vertical="center" wrapText="1"/>
    </xf>
    <xf numFmtId="168" fontId="17" fillId="5" borderId="1" xfId="0" applyNumberFormat="1" applyFont="1" applyFill="1" applyBorder="1" applyAlignment="1">
      <alignment horizontal="right" vertical="center" wrapText="1"/>
    </xf>
    <xf numFmtId="3" fontId="16" fillId="2" borderId="1" xfId="0" applyNumberFormat="1" applyFont="1" applyFill="1" applyBorder="1" applyAlignment="1">
      <alignment horizontal="right" vertical="center" wrapText="1"/>
    </xf>
    <xf numFmtId="3" fontId="16"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17" fillId="3" borderId="1" xfId="0" applyNumberFormat="1" applyFont="1" applyFill="1" applyBorder="1" applyAlignment="1">
      <alignment horizontal="right" vertical="center" wrapText="1"/>
    </xf>
    <xf numFmtId="44" fontId="17" fillId="5" borderId="1" xfId="5" applyFont="1" applyFill="1" applyBorder="1" applyAlignment="1">
      <alignment horizontal="right" vertical="center" wrapText="1"/>
    </xf>
    <xf numFmtId="0" fontId="16" fillId="2" borderId="1" xfId="0" applyFont="1" applyFill="1" applyBorder="1" applyAlignment="1">
      <alignment horizontal="center" vertical="center"/>
    </xf>
    <xf numFmtId="3" fontId="16" fillId="2" borderId="1" xfId="0" applyNumberFormat="1" applyFont="1" applyFill="1" applyBorder="1" applyAlignment="1">
      <alignment horizontal="right" vertical="center"/>
    </xf>
    <xf numFmtId="3" fontId="16" fillId="5" borderId="1" xfId="0" applyNumberFormat="1" applyFont="1" applyFill="1" applyBorder="1" applyAlignment="1">
      <alignment horizontal="right" vertical="center"/>
    </xf>
    <xf numFmtId="3" fontId="9" fillId="0" borderId="0" xfId="0" applyNumberFormat="1" applyFont="1"/>
    <xf numFmtId="0" fontId="0" fillId="0" borderId="1" xfId="0" applyBorder="1" applyAlignment="1">
      <alignment vertical="center"/>
    </xf>
    <xf numFmtId="44" fontId="6" fillId="0" borderId="1" xfId="5" applyFont="1" applyBorder="1" applyAlignment="1">
      <alignment vertical="center"/>
    </xf>
    <xf numFmtId="3" fontId="0" fillId="0" borderId="1" xfId="0" applyNumberFormat="1" applyBorder="1" applyAlignment="1">
      <alignment vertical="center"/>
    </xf>
    <xf numFmtId="44" fontId="6" fillId="0" borderId="0" xfId="5" applyFont="1" applyAlignment="1">
      <alignment vertical="center"/>
    </xf>
    <xf numFmtId="3" fontId="0" fillId="0" borderId="0" xfId="0" applyNumberFormat="1" applyAlignment="1">
      <alignment vertical="center"/>
    </xf>
    <xf numFmtId="44" fontId="8" fillId="0" borderId="1" xfId="5" applyFont="1" applyBorder="1" applyAlignment="1">
      <alignment vertical="center"/>
    </xf>
    <xf numFmtId="0" fontId="17"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0" fillId="0" borderId="1" xfId="0" applyBorder="1" applyAlignment="1">
      <alignment horizontal="center" vertical="center"/>
    </xf>
    <xf numFmtId="44" fontId="6" fillId="0" borderId="0" xfId="5" applyFont="1" applyAlignment="1">
      <alignment horizontal="center" vertical="center"/>
    </xf>
    <xf numFmtId="0" fontId="0" fillId="0" borderId="0" xfId="0" applyAlignment="1">
      <alignment horizontal="center" vertical="center"/>
    </xf>
    <xf numFmtId="44" fontId="6" fillId="0" borderId="1" xfId="5" applyFont="1" applyBorder="1" applyAlignment="1">
      <alignment horizontal="right" vertical="center"/>
    </xf>
    <xf numFmtId="44" fontId="0" fillId="0" borderId="1" xfId="0" applyNumberFormat="1" applyBorder="1" applyAlignment="1">
      <alignment horizontal="right" vertical="center"/>
    </xf>
    <xf numFmtId="44" fontId="6" fillId="0" borderId="1" xfId="5" applyFont="1" applyFill="1" applyBorder="1" applyAlignment="1">
      <alignment horizontal="right" vertical="center"/>
    </xf>
    <xf numFmtId="167" fontId="6" fillId="0" borderId="1" xfId="2" applyNumberFormat="1" applyFont="1" applyBorder="1" applyAlignment="1">
      <alignment horizontal="center" vertical="center"/>
    </xf>
    <xf numFmtId="167" fontId="6" fillId="5" borderId="1" xfId="2" applyNumberFormat="1" applyFont="1" applyFill="1" applyBorder="1" applyAlignment="1">
      <alignment horizontal="center" vertical="center"/>
    </xf>
    <xf numFmtId="167" fontId="6" fillId="0" borderId="1" xfId="2" applyNumberFormat="1" applyFont="1" applyFill="1" applyBorder="1" applyAlignment="1">
      <alignment horizontal="center" vertical="center"/>
    </xf>
    <xf numFmtId="167" fontId="16" fillId="2" borderId="11" xfId="2" applyNumberFormat="1" applyFont="1" applyFill="1" applyBorder="1" applyAlignment="1">
      <alignment horizontal="right" vertical="center"/>
    </xf>
    <xf numFmtId="167" fontId="16" fillId="5" borderId="11" xfId="2" applyNumberFormat="1" applyFont="1" applyFill="1" applyBorder="1" applyAlignment="1">
      <alignment horizontal="right" vertical="center"/>
    </xf>
    <xf numFmtId="167" fontId="6" fillId="0" borderId="1" xfId="2" applyNumberFormat="1" applyFont="1" applyBorder="1" applyAlignment="1">
      <alignment vertical="center"/>
    </xf>
    <xf numFmtId="167" fontId="8" fillId="0" borderId="1" xfId="2" applyNumberFormat="1" applyFont="1" applyBorder="1" applyAlignment="1">
      <alignment vertical="center"/>
    </xf>
    <xf numFmtId="167" fontId="0" fillId="0" borderId="0" xfId="0" applyNumberFormat="1"/>
    <xf numFmtId="0" fontId="19" fillId="0" borderId="0" xfId="0" applyFont="1"/>
    <xf numFmtId="0" fontId="20" fillId="6" borderId="1" xfId="0" applyFont="1" applyFill="1" applyBorder="1" applyAlignment="1">
      <alignment horizontal="center" vertical="center" wrapText="1" readingOrder="1"/>
    </xf>
    <xf numFmtId="0" fontId="20" fillId="6" borderId="1" xfId="0" applyFont="1" applyFill="1" applyBorder="1" applyAlignment="1">
      <alignment horizontal="center" vertical="center" readingOrder="1"/>
    </xf>
    <xf numFmtId="0" fontId="20" fillId="0" borderId="1" xfId="0" applyFont="1" applyBorder="1" applyAlignment="1">
      <alignment horizontal="center" vertical="center" wrapText="1" readingOrder="1"/>
    </xf>
    <xf numFmtId="0" fontId="21" fillId="0" borderId="1" xfId="0" applyFont="1" applyBorder="1" applyAlignment="1">
      <alignment horizontal="center" vertical="center" wrapText="1" readingOrder="1"/>
    </xf>
    <xf numFmtId="169" fontId="21" fillId="0" borderId="1" xfId="0" applyNumberFormat="1" applyFont="1" applyBorder="1" applyAlignment="1">
      <alignment horizontal="right" vertical="center" wrapText="1" readingOrder="1"/>
    </xf>
    <xf numFmtId="169" fontId="19" fillId="0" borderId="1" xfId="0" applyNumberFormat="1" applyFont="1" applyBorder="1" applyAlignment="1">
      <alignment horizontal="right" vertical="center"/>
    </xf>
    <xf numFmtId="10" fontId="19" fillId="0" borderId="1" xfId="0" applyNumberFormat="1" applyFont="1" applyBorder="1" applyAlignment="1">
      <alignment horizontal="right" vertical="center"/>
    </xf>
    <xf numFmtId="169" fontId="22" fillId="0" borderId="1" xfId="0" applyNumberFormat="1" applyFont="1" applyBorder="1" applyAlignment="1">
      <alignment horizontal="right" vertical="center"/>
    </xf>
    <xf numFmtId="10" fontId="22" fillId="0" borderId="1" xfId="0" applyNumberFormat="1" applyFont="1" applyBorder="1" applyAlignment="1">
      <alignment horizontal="right" vertical="center"/>
    </xf>
    <xf numFmtId="9" fontId="19" fillId="0" borderId="0" xfId="8" applyFont="1"/>
    <xf numFmtId="9" fontId="19" fillId="0" borderId="0" xfId="0" applyNumberFormat="1" applyFont="1"/>
    <xf numFmtId="0" fontId="8" fillId="0" borderId="0" xfId="0" applyFont="1"/>
    <xf numFmtId="0" fontId="23" fillId="0" borderId="0" xfId="0" applyFont="1"/>
    <xf numFmtId="0" fontId="24" fillId="0" borderId="0" xfId="0" applyFont="1"/>
    <xf numFmtId="43" fontId="6" fillId="0" borderId="0" xfId="2" applyFont="1"/>
    <xf numFmtId="43" fontId="24" fillId="0" borderId="0" xfId="2" applyFont="1"/>
    <xf numFmtId="0" fontId="18" fillId="0" borderId="0" xfId="0" applyFont="1"/>
    <xf numFmtId="44" fontId="2" fillId="0" borderId="1" xfId="5" applyFont="1" applyFill="1" applyBorder="1" applyAlignment="1">
      <alignment horizontal="center" vertical="center" wrapText="1"/>
    </xf>
    <xf numFmtId="167" fontId="6" fillId="0" borderId="0" xfId="2" applyNumberFormat="1" applyFont="1"/>
    <xf numFmtId="0" fontId="2" fillId="0" borderId="3" xfId="2" applyNumberFormat="1" applyFont="1" applyFill="1" applyBorder="1" applyAlignment="1">
      <alignment horizontal="center" vertical="center" wrapText="1"/>
    </xf>
    <xf numFmtId="0" fontId="9" fillId="0" borderId="0" xfId="0" applyFont="1"/>
    <xf numFmtId="0" fontId="0" fillId="0" borderId="10" xfId="0" applyBorder="1"/>
    <xf numFmtId="167" fontId="6" fillId="0" borderId="1" xfId="2" applyNumberFormat="1" applyFont="1" applyBorder="1"/>
    <xf numFmtId="167" fontId="9" fillId="0" borderId="11" xfId="2" applyNumberFormat="1" applyFont="1" applyBorder="1"/>
    <xf numFmtId="3" fontId="0" fillId="0" borderId="1" xfId="0" applyNumberFormat="1" applyBorder="1"/>
    <xf numFmtId="3" fontId="0" fillId="0" borderId="12" xfId="0" applyNumberFormat="1" applyBorder="1"/>
    <xf numFmtId="167" fontId="9" fillId="0" borderId="13" xfId="2" applyNumberFormat="1" applyFont="1" applyBorder="1"/>
    <xf numFmtId="167" fontId="6" fillId="0" borderId="12" xfId="2" applyNumberFormat="1" applyFont="1" applyBorder="1"/>
    <xf numFmtId="0" fontId="7" fillId="7" borderId="7" xfId="0" applyFont="1" applyFill="1" applyBorder="1" applyAlignment="1">
      <alignment horizontal="center" vertical="center" wrapText="1"/>
    </xf>
    <xf numFmtId="0" fontId="7" fillId="7" borderId="10" xfId="0" applyFont="1" applyFill="1" applyBorder="1" applyAlignment="1">
      <alignment horizontal="center" vertical="center"/>
    </xf>
    <xf numFmtId="0" fontId="25" fillId="8" borderId="7" xfId="0" applyFont="1" applyFill="1" applyBorder="1" applyAlignment="1">
      <alignment horizontal="center" vertical="center" wrapText="1"/>
    </xf>
    <xf numFmtId="0" fontId="25" fillId="8" borderId="10" xfId="0" applyFont="1" applyFill="1" applyBorder="1" applyAlignment="1">
      <alignment horizontal="center" vertical="center"/>
    </xf>
    <xf numFmtId="0" fontId="9" fillId="9" borderId="7" xfId="0" applyFont="1" applyFill="1" applyBorder="1" applyAlignment="1">
      <alignment horizontal="center" vertical="center" wrapText="1"/>
    </xf>
    <xf numFmtId="0" fontId="9" fillId="9" borderId="10" xfId="0" applyFont="1" applyFill="1" applyBorder="1" applyAlignment="1">
      <alignment horizontal="center" vertical="center"/>
    </xf>
    <xf numFmtId="0" fontId="7" fillId="7" borderId="10" xfId="0" applyFont="1" applyFill="1" applyBorder="1" applyAlignment="1">
      <alignment horizontal="center" vertical="center" wrapText="1"/>
    </xf>
    <xf numFmtId="167" fontId="6" fillId="0" borderId="3" xfId="2" applyNumberFormat="1" applyFont="1" applyBorder="1"/>
    <xf numFmtId="167" fontId="6" fillId="0" borderId="14" xfId="2" applyNumberFormat="1" applyFont="1" applyBorder="1"/>
    <xf numFmtId="0" fontId="7" fillId="7" borderId="15" xfId="0" applyFont="1" applyFill="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0" fillId="0" borderId="10" xfId="0" applyBorder="1" applyAlignment="1">
      <alignment horizontal="center"/>
    </xf>
    <xf numFmtId="0" fontId="25" fillId="8" borderId="10"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12" xfId="0" applyFont="1" applyFill="1" applyBorder="1" applyAlignment="1">
      <alignment horizontal="center" vertical="center" wrapText="1"/>
    </xf>
    <xf numFmtId="43" fontId="26" fillId="0" borderId="0" xfId="2" applyFont="1" applyFill="1"/>
    <xf numFmtId="44" fontId="2" fillId="0" borderId="3" xfId="5" applyFont="1" applyFill="1" applyBorder="1" applyAlignment="1">
      <alignment horizontal="center" vertical="center" wrapText="1"/>
    </xf>
    <xf numFmtId="0" fontId="2" fillId="0" borderId="0" xfId="0" applyFont="1" applyAlignment="1">
      <alignment vertical="center" wrapText="1"/>
    </xf>
    <xf numFmtId="0" fontId="26" fillId="0" borderId="0" xfId="0" applyFont="1"/>
    <xf numFmtId="0" fontId="26" fillId="0" borderId="0" xfId="0" applyFont="1" applyAlignment="1">
      <alignment horizontal="center" vertical="center"/>
    </xf>
    <xf numFmtId="0" fontId="26" fillId="0" borderId="0" xfId="0" applyFont="1" applyAlignment="1">
      <alignment vertical="center"/>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37" fontId="1" fillId="0" borderId="0" xfId="0" applyNumberFormat="1" applyFont="1" applyAlignment="1">
      <alignment horizontal="center" vertical="center" wrapText="1"/>
    </xf>
    <xf numFmtId="37" fontId="1" fillId="0" borderId="0" xfId="0" applyNumberFormat="1"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4" fontId="2" fillId="0" borderId="0" xfId="0" applyNumberFormat="1" applyFont="1" applyAlignment="1">
      <alignment vertical="center" wrapText="1"/>
    </xf>
    <xf numFmtId="165" fontId="2" fillId="0" borderId="0" xfId="0" applyNumberFormat="1" applyFont="1" applyAlignment="1">
      <alignment horizontal="center" vertical="center" wrapText="1"/>
    </xf>
    <xf numFmtId="15" fontId="2" fillId="0" borderId="0" xfId="0" applyNumberFormat="1" applyFont="1" applyAlignment="1">
      <alignment horizontal="center" vertical="center" wrapText="1"/>
    </xf>
    <xf numFmtId="15" fontId="1" fillId="0" borderId="0" xfId="0" applyNumberFormat="1"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41" fontId="2" fillId="0" borderId="0" xfId="3" applyFont="1" applyFill="1" applyAlignment="1">
      <alignment horizontal="right" vertical="center" wrapText="1"/>
    </xf>
    <xf numFmtId="165" fontId="2" fillId="0" borderId="0" xfId="0" applyNumberFormat="1" applyFont="1" applyAlignment="1">
      <alignment vertical="center" wrapText="1"/>
    </xf>
    <xf numFmtId="0" fontId="2" fillId="0" borderId="0" xfId="0" applyFont="1" applyAlignment="1">
      <alignment horizontal="left" vertical="center"/>
    </xf>
    <xf numFmtId="166" fontId="26" fillId="0" borderId="0" xfId="0" applyNumberFormat="1" applyFont="1"/>
    <xf numFmtId="14" fontId="26" fillId="0" borderId="0" xfId="0" applyNumberFormat="1" applyFont="1"/>
    <xf numFmtId="0" fontId="26" fillId="0" borderId="0" xfId="0" applyFont="1" applyAlignment="1">
      <alignment horizontal="center" wrapText="1"/>
    </xf>
    <xf numFmtId="43" fontId="1" fillId="0" borderId="0" xfId="2" applyFont="1" applyFill="1" applyAlignment="1">
      <alignment horizontal="center" vertical="center" wrapText="1"/>
    </xf>
    <xf numFmtId="43" fontId="2" fillId="0" borderId="0" xfId="2" applyFont="1" applyFill="1" applyAlignment="1">
      <alignment vertical="center" wrapText="1"/>
    </xf>
    <xf numFmtId="170" fontId="1" fillId="0" borderId="0" xfId="2" applyNumberFormat="1" applyFont="1" applyFill="1" applyAlignment="1">
      <alignment horizontal="center" vertical="center" wrapText="1"/>
    </xf>
    <xf numFmtId="170" fontId="2" fillId="0" borderId="0" xfId="2" applyNumberFormat="1" applyFont="1" applyFill="1" applyAlignment="1">
      <alignment vertical="center" wrapText="1"/>
    </xf>
    <xf numFmtId="171" fontId="1" fillId="0" borderId="0" xfId="4" applyNumberFormat="1" applyFont="1" applyFill="1" applyAlignment="1">
      <alignment vertical="center" wrapText="1"/>
    </xf>
    <xf numFmtId="171" fontId="1" fillId="0" borderId="0" xfId="4" applyNumberFormat="1" applyFont="1" applyFill="1" applyAlignment="1">
      <alignment horizontal="center" vertical="center" wrapText="1"/>
    </xf>
    <xf numFmtId="171" fontId="2" fillId="0" borderId="1" xfId="4" applyNumberFormat="1" applyFont="1" applyFill="1" applyBorder="1" applyAlignment="1">
      <alignment horizontal="center" vertical="center" wrapText="1"/>
    </xf>
    <xf numFmtId="171" fontId="2" fillId="0" borderId="3" xfId="4" applyNumberFormat="1" applyFont="1" applyFill="1" applyBorder="1" applyAlignment="1">
      <alignment horizontal="center" vertical="center" wrapText="1"/>
    </xf>
    <xf numFmtId="171" fontId="26" fillId="0" borderId="0" xfId="4" applyNumberFormat="1" applyFont="1" applyFill="1"/>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26" fillId="0" borderId="1" xfId="0" applyFont="1" applyFill="1" applyBorder="1" applyAlignment="1">
      <alignment horizontal="center" vertical="center" wrapText="1"/>
    </xf>
    <xf numFmtId="0" fontId="26" fillId="0" borderId="0" xfId="0" applyFont="1" applyFill="1"/>
    <xf numFmtId="1" fontId="2" fillId="0" borderId="1" xfId="0" applyNumberFormat="1" applyFont="1" applyFill="1" applyBorder="1" applyAlignment="1">
      <alignment horizontal="center" vertical="center" wrapText="1"/>
    </xf>
    <xf numFmtId="0" fontId="2" fillId="0" borderId="1" xfId="7"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2" fillId="0" borderId="3" xfId="7"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6"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71" fontId="6" fillId="0" borderId="0" xfId="4" applyNumberFormat="1" applyFont="1" applyFill="1" applyBorder="1" applyAlignment="1">
      <alignment horizontal="center" vertical="center" wrapText="1"/>
    </xf>
    <xf numFmtId="0" fontId="27" fillId="0" borderId="1" xfId="4" applyNumberFormat="1" applyFont="1" applyFill="1" applyBorder="1" applyAlignment="1">
      <alignment horizontal="center" vertical="center"/>
    </xf>
    <xf numFmtId="0" fontId="27" fillId="0" borderId="1" xfId="5" applyNumberFormat="1" applyFont="1" applyFill="1" applyBorder="1" applyAlignment="1">
      <alignment horizontal="center" vertical="center"/>
    </xf>
    <xf numFmtId="0" fontId="28" fillId="0" borderId="0" xfId="0" applyFont="1" applyFill="1"/>
    <xf numFmtId="0" fontId="26" fillId="0" borderId="1" xfId="7" applyFont="1" applyFill="1" applyBorder="1" applyAlignment="1">
      <alignment horizontal="center" vertical="center" wrapText="1"/>
    </xf>
    <xf numFmtId="0" fontId="26" fillId="0" borderId="0" xfId="0" applyFont="1" applyFill="1" applyAlignment="1">
      <alignment horizontal="center" vertical="center"/>
    </xf>
    <xf numFmtId="14" fontId="26" fillId="0" borderId="1" xfId="0" applyNumberFormat="1" applyFont="1" applyFill="1" applyBorder="1" applyAlignment="1">
      <alignment horizontal="center" vertical="center"/>
    </xf>
    <xf numFmtId="0" fontId="2" fillId="0" borderId="3"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6" fillId="0" borderId="0" xfId="0" applyFont="1" applyFill="1" applyAlignment="1">
      <alignment vertical="center"/>
    </xf>
    <xf numFmtId="0" fontId="26" fillId="0" borderId="0" xfId="0" applyFont="1" applyFill="1" applyAlignment="1">
      <alignment horizontal="center"/>
    </xf>
    <xf numFmtId="14" fontId="2" fillId="0" borderId="1" xfId="0" applyNumberFormat="1" applyFont="1" applyFill="1" applyBorder="1" applyAlignment="1">
      <alignment horizontal="center" vertical="center"/>
    </xf>
    <xf numFmtId="0" fontId="0" fillId="0" borderId="19" xfId="0" applyBorder="1"/>
    <xf numFmtId="0" fontId="0" fillId="0" borderId="20" xfId="0" pivotButton="1" applyBorder="1"/>
    <xf numFmtId="0" fontId="0" fillId="0" borderId="19" xfId="0" pivotButton="1" applyBorder="1"/>
    <xf numFmtId="0" fontId="0" fillId="0" borderId="21" xfId="0" applyBorder="1"/>
    <xf numFmtId="0" fontId="0" fillId="0" borderId="22" xfId="0" applyBorder="1"/>
    <xf numFmtId="43" fontId="6" fillId="0" borderId="20" xfId="2" applyFont="1" applyBorder="1"/>
    <xf numFmtId="43" fontId="6" fillId="0" borderId="23" xfId="2" applyFont="1" applyBorder="1"/>
    <xf numFmtId="43" fontId="6" fillId="0" borderId="24" xfId="2" applyFont="1" applyBorder="1"/>
    <xf numFmtId="43" fontId="6" fillId="0" borderId="0" xfId="2" applyFont="1"/>
    <xf numFmtId="43" fontId="6" fillId="0" borderId="20" xfId="2" applyFont="1" applyBorder="1" applyAlignment="1">
      <alignment horizontal="left"/>
    </xf>
    <xf numFmtId="43" fontId="1" fillId="0" borderId="3" xfId="2" applyFont="1" applyFill="1" applyBorder="1" applyAlignment="1">
      <alignment horizontal="center" vertical="center" wrapText="1"/>
    </xf>
    <xf numFmtId="43" fontId="2" fillId="0" borderId="1" xfId="2" applyFont="1" applyFill="1" applyBorder="1" applyAlignment="1">
      <alignment horizontal="center" vertical="center" wrapText="1"/>
    </xf>
    <xf numFmtId="43" fontId="2" fillId="0" borderId="3" xfId="2" applyFont="1" applyFill="1" applyBorder="1" applyAlignment="1">
      <alignment horizontal="center" vertical="center" wrapText="1"/>
    </xf>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6"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71" fontId="2" fillId="8" borderId="1" xfId="4" applyNumberFormat="1" applyFont="1" applyFill="1" applyBorder="1" applyAlignment="1">
      <alignment horizontal="center" vertical="center" wrapText="1"/>
    </xf>
    <xf numFmtId="43" fontId="2" fillId="8" borderId="1" xfId="2" applyFont="1" applyFill="1" applyBorder="1" applyAlignment="1">
      <alignment horizontal="center" vertical="center" wrapText="1"/>
    </xf>
    <xf numFmtId="0" fontId="27" fillId="0" borderId="1" xfId="0" applyFont="1" applyFill="1" applyBorder="1" applyAlignment="1">
      <alignment horizontal="center" vertical="center"/>
    </xf>
    <xf numFmtId="0" fontId="2" fillId="0" borderId="0" xfId="7"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0" fontId="26" fillId="0" borderId="3" xfId="7" applyFont="1" applyFill="1" applyBorder="1" applyAlignment="1">
      <alignment horizontal="center" vertical="center" wrapText="1"/>
    </xf>
    <xf numFmtId="0" fontId="26" fillId="0" borderId="11" xfId="0" applyFont="1" applyFill="1" applyBorder="1" applyAlignment="1">
      <alignment horizontal="center" vertical="center" wrapText="1"/>
    </xf>
    <xf numFmtId="37" fontId="1" fillId="0" borderId="0" xfId="0" applyNumberFormat="1" applyFont="1" applyAlignment="1">
      <alignment horizontal="center" vertical="center" wrapText="1"/>
    </xf>
    <xf numFmtId="0" fontId="20" fillId="6" borderId="1" xfId="0" applyFont="1" applyFill="1" applyBorder="1" applyAlignment="1">
      <alignment horizontal="center" vertical="center" wrapText="1" readingOrder="1"/>
    </xf>
    <xf numFmtId="0" fontId="20" fillId="6" borderId="6" xfId="0" applyFont="1" applyFill="1" applyBorder="1" applyAlignment="1">
      <alignment horizontal="center" vertical="center" wrapText="1" readingOrder="1"/>
    </xf>
    <xf numFmtId="0" fontId="19" fillId="0" borderId="2" xfId="0" applyFont="1" applyBorder="1" applyAlignment="1">
      <alignment horizontal="center" vertical="center" wrapText="1" readingOrder="1"/>
    </xf>
    <xf numFmtId="0" fontId="20" fillId="0" borderId="1" xfId="0" applyFont="1" applyBorder="1" applyAlignment="1">
      <alignment horizontal="center" vertical="center" wrapText="1" readingOrder="1"/>
    </xf>
    <xf numFmtId="0" fontId="21" fillId="0" borderId="1" xfId="0" applyFont="1" applyBorder="1" applyAlignment="1">
      <alignment horizontal="center" vertical="center" wrapText="1" readingOrder="1"/>
    </xf>
    <xf numFmtId="0" fontId="9" fillId="9" borderId="8"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2" xfId="0" applyFont="1" applyFill="1" applyBorder="1" applyAlignment="1">
      <alignment horizontal="center" vertical="center" wrapText="1"/>
    </xf>
    <xf numFmtId="164" fontId="2" fillId="0" borderId="1" xfId="4" applyFont="1" applyFill="1" applyBorder="1" applyAlignment="1">
      <alignment horizontal="center" vertical="center" wrapText="1"/>
    </xf>
  </cellXfs>
  <cellStyles count="9">
    <cellStyle name="Currency" xfId="1"/>
    <cellStyle name="Millares" xfId="2" builtinId="3"/>
    <cellStyle name="Millares [0]" xfId="3" builtinId="6"/>
    <cellStyle name="Moneda" xfId="4" builtinId="4"/>
    <cellStyle name="Moneda 2" xfId="5"/>
    <cellStyle name="Normal" xfId="0" builtinId="0"/>
    <cellStyle name="Normal 2" xfId="6"/>
    <cellStyle name="Normal 2 10" xfId="7"/>
    <cellStyle name="Porcentaje" xfId="8" builtinId="5"/>
  </cellStyles>
  <dxfs count="66">
    <dxf>
      <fill>
        <patternFill patternType="solid">
          <fgColor rgb="FFF4B084"/>
          <bgColor rgb="FF000000"/>
        </patternFill>
      </fill>
    </dxf>
    <dxf>
      <border outline="0">
        <left style="thin">
          <color rgb="FF000000"/>
        </left>
      </border>
    </dxf>
    <dxf>
      <font>
        <strike val="0"/>
        <outline val="0"/>
        <shadow val="0"/>
        <u val="none"/>
        <vertAlign val="baseline"/>
        <sz val="12"/>
      </font>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71" formatCode="_-[$$-240A]\ * #,##0_-;\-[$$-240A]\ * #,##0_-;_-[$$-240A]\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5199.891668171294" createdVersion="1" refreshedVersion="4" recordCount="809" upgradeOnRefresh="1">
  <cacheSource type="worksheet">
    <worksheetSource name="Tabla16"/>
  </cacheSource>
  <cacheFields count="16">
    <cacheField name="ID" numFmtId="0">
      <sharedItems containsSemiMixedTypes="0" containsString="0" containsNumber="1" containsInteger="1" minValue="2023002" maxValue="2023869"/>
    </cacheField>
    <cacheField name="Rubro" numFmtId="0">
      <sharedItems containsMixedTypes="1" containsNumber="1" containsInteger="1" minValue="7637" maxValue="7658" count="4">
        <n v="7655"/>
        <s v="Funcionamiento"/>
        <n v="7637"/>
        <n v="7658"/>
      </sharedItems>
    </cacheField>
    <cacheField name="Código y Nombre del Rubro" numFmtId="0">
      <sharedItems/>
    </cacheField>
    <cacheField name="Dependencia" numFmtId="0">
      <sharedItems/>
    </cacheField>
    <cacheField name="Código UNSPSC (cada código separado por ;)" numFmtId="0">
      <sharedItems containsMixedTypes="1" containsNumber="1" containsInteger="1" minValue="15101500" maxValue="90121800"/>
    </cacheField>
    <cacheField name="Descripción- Objeto" numFmtId="0">
      <sharedItems/>
    </cacheField>
    <cacheField name="Fecha estimada de inicio de proceso de selección (día/mes/año)" numFmtId="0">
      <sharedItems containsDate="1" containsMixedTypes="1" minDate="2023-01-01T00:00:00" maxDate="2023-12-22T00:00:00"/>
    </cacheField>
    <cacheField name="Fecha estimada de presentación de ofertas (día/mes/año)" numFmtId="0">
      <sharedItems containsDate="1" containsMixedTypes="1" minDate="2023-01-09T00:00:00" maxDate="2023-12-24T00:00:00"/>
    </cacheField>
    <cacheField name="Duración estimada del contrato  (Meses)" numFmtId="0">
      <sharedItems containsMixedTypes="1" containsNumber="1" minValue="0.3" maxValue="24"/>
    </cacheField>
    <cacheField name="Modalidad de selección " numFmtId="0">
      <sharedItems/>
    </cacheField>
    <cacheField name="Fuente de los recursos" numFmtId="0">
      <sharedItems count="4">
        <s v="1-100-F001 VA-Recursos distrito"/>
        <s v="1-100-F039 VA-Crédito"/>
        <s v="N/A funcionamiento"/>
        <s v="1-601-F001  PAS-Otros distrito"/>
      </sharedItems>
    </cacheField>
    <cacheField name="Concepto del Gasto -POSPRE(SDH)" numFmtId="0">
      <sharedItems/>
    </cacheField>
    <cacheField name="Valor total estimado" numFmtId="0">
      <sharedItems containsSemiMixedTypes="0" containsString="0" containsNumber="1" containsInteger="1" minValue="0" maxValue="6503138098"/>
    </cacheField>
    <cacheField name="Meta Proyecto de Inversión" numFmtId="0">
      <sharedItems/>
    </cacheField>
    <cacheField name="Meta Producto/Meta producto " numFmtId="0">
      <sharedItems/>
    </cacheField>
    <cacheField name="SI SECOP/NO SECOP "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09">
  <r>
    <n v="2023002"/>
    <x v="0"/>
    <s v="O23011605560000007655 - Fortalecimiento de la Planeación y Gestión de la UAECOB Bogotá"/>
    <s v="Oficina Asesora de Planeación"/>
    <n v="80111600"/>
    <s v="Prestar los servicios profesionales para apoyar las actividades administrativas y presupuestales que se desarrollan en la oficina asesora de planeación, en el marco del ciclo de gestión presupuestal-OAP"/>
    <d v="2023-01-01T00:00:00"/>
    <d v="2023-01-15T00:00:00"/>
    <n v="8"/>
    <s v="CCE-16 Contratación directa "/>
    <x v="0"/>
    <s v="O232020200883990_Otros servicios profesionales, técnicos y empresariales n.c.p."/>
    <n v="34840960"/>
    <s v="1-Implementar 1 plan de ajuste y sostenibilidad del MIPG en la UAECOB"/>
    <s v="516-Gestionar el 100% de un (1) plan de adecuación y sostenibilidad de los sistemas de gestión de la Unidad Administrativa Especial Cuerpo Oficial de Bomberos"/>
    <s v="SI SECOP"/>
  </r>
  <r>
    <n v="2023004"/>
    <x v="0"/>
    <s v="O23011605560000007655 - Fortalecimiento de la Planeación y Gestión de la UAECOB Bogotá"/>
    <s v="Oficina Asesora de Planeación"/>
    <n v="80111600"/>
    <s v="Prestar servicios profesionales para apoyar en el desarrollo en la formulación de planes y programas de la OAP, incluidas las actividades de cooperación Internacional."/>
    <d v="2023-01-01T00:00:00"/>
    <d v="2023-01-15T00:00:00"/>
    <n v="4"/>
    <s v="CCE-16 Contratación directa "/>
    <x v="0"/>
    <s v="O232020200883990_Otros servicios profesionales, técnicos y empresariales n.c.p."/>
    <n v="24000000"/>
    <s v="1-Implementar 1 plan de ajuste y sostenibilidad del MIPG en la UAECOB"/>
    <s v="516-Gestionar el 100% de un (1) plan de adecuación y sostenibilidad de los sistemas de gestión de la Unidad Administrativa Especial Cuerpo Oficial de Bomberos"/>
    <s v="SI SECOP"/>
  </r>
  <r>
    <n v="2023005"/>
    <x v="0"/>
    <s v="O23011605560000007655 - Fortalecimiento de la Planeación y Gestión de la UAECOB Bogotá"/>
    <s v="Oficina Asesora de Planeación"/>
    <n v="80111600"/>
    <s v="Prestar servicios profesionales para apoyar a la Oficina Asesora de Planeación en las actividades relacionadas con el proceso de gestión estratégica, politicas de participacion ciudadana y transparencia."/>
    <d v="2023-06-26T00:00:00"/>
    <d v="2023-06-26T00:00:00"/>
    <n v="5"/>
    <s v="CCE-16 Contratación directa "/>
    <x v="0"/>
    <s v="O232020200883990_Otros servicios profesionales, técnicos y empresariales n.c.p."/>
    <n v="21775600"/>
    <s v="1-Implementar 1 plan de ajuste y sostenibilidad del MIPG en la UAECOB"/>
    <s v="516-Gestionar el 100% de un (1) plan de adecuación y sostenibilidad de los sistemas de gestión de la Unidad Administrativa Especial Cuerpo Oficial de Bomberos"/>
    <s v="SI SECOP"/>
  </r>
  <r>
    <n v="2023006"/>
    <x v="0"/>
    <s v="O23011605560000007655 - Fortalecimiento de la Planeación y Gestión de la UAECOB Bogotá"/>
    <s v="Oficina Asesora de Planeación"/>
    <n v="80111600"/>
    <s v="Prestar servicios profesionales para apoyar a la Oficina Asesora de Planeación en la estructuración, seguimiento, reporte y gestión de los proyectos, planes y programas de la entidad, en el marco del ciclo presupuestal distrital-OAP"/>
    <d v="2023-01-01T00:00:00"/>
    <d v="2023-01-15T00:00:00"/>
    <n v="11"/>
    <s v="CCE-16 Contratación directa "/>
    <x v="0"/>
    <s v="O232020200883990_Otros servicios profesionales, técnicos y empresariales n.c.p."/>
    <n v="88000000"/>
    <s v="1-Implementar 1 plan de ajuste y sostenibilidad del MIPG en la UAECOB"/>
    <s v="516-Gestionar el 100% de un (1) plan de adecuación y sostenibilidad de los sistemas de gestión de la Unidad Administrativa Especial Cuerpo Oficial de Bomberos"/>
    <s v="SI SECOP"/>
  </r>
  <r>
    <n v="2023007"/>
    <x v="0"/>
    <s v="O23011605560000007655 - Fortalecimiento de la Planeación y Gestión de la UAECOB Bogotá"/>
    <s v="Oficina Asesora de Planeación"/>
    <n v="80111600"/>
    <s v="Prestar servicios profesionales para apoyar la articulación de las dependencias con la planeación institucional y la gestión estratégica definida por la alta dirección-OAP"/>
    <d v="2023-01-01T00:00:00"/>
    <d v="2023-01-15T00:00:00"/>
    <n v="10"/>
    <s v="CCE-16 Contratación directa "/>
    <x v="0"/>
    <s v="O232020200883990_Otros servicios profesionales, técnicos y empresariales n.c.p."/>
    <n v="57000000"/>
    <s v="1-Implementar 1 plan de ajuste y sostenibilidad del MIPG en la UAECOB"/>
    <s v="516-Gestionar el 100% de un (1) plan de adecuación y sostenibilidad de los sistemas de gestión de la Unidad Administrativa Especial Cuerpo Oficial de Bomberos"/>
    <s v="SI SECOP"/>
  </r>
  <r>
    <n v="2023008"/>
    <x v="0"/>
    <s v="O23011605560000007655 - Fortalecimiento de la Planeación y Gestión de la UAECOB Bogotá"/>
    <s v="Oficina Asesora de Planeación"/>
    <n v="80111600"/>
    <s v="Prestar servicios profesionales en la Oficina Asesora de Planeación de la UAE Cuerpo Oficial de Bomberos de Bogotá en el control y seguimiento del cumplimiento al Modelo Integrado de Planeación y Gestión - MIPG-OAP"/>
    <d v="2023-01-01T00:00:00"/>
    <d v="2023-01-15T00:00:00"/>
    <n v="10"/>
    <s v="CCE-16 Contratación directa "/>
    <x v="0"/>
    <s v="O232020200883990_Otros servicios profesionales, técnicos y empresariales n.c.p."/>
    <n v="60000000"/>
    <s v="1-Implementar 1 plan de ajuste y sostenibilidad del MIPG en la UAECOB"/>
    <s v="516-Gestionar el 100% de un (1) plan de adecuación y sostenibilidad de los sistemas de gestión de la Unidad Administrativa Especial Cuerpo Oficial de Bomberos"/>
    <s v="SI SECOP"/>
  </r>
  <r>
    <n v="2023009"/>
    <x v="0"/>
    <s v="O23011605560000007655 - Fortalecimiento de la Planeación y Gestión de la UAECOB Bogotá"/>
    <s v="Oficina Asesora de Planeación"/>
    <n v="80111600"/>
    <s v="Prestar servicios profesionales a la Oficina Asesora de Planeación en el mejoramiento y fortalecimiento de la sostenibilidad del Sistema de Gestión y Desempeño, alineado con la estandarización de la información documentada y el seguimiento al Sistema de C"/>
    <d v="2023-01-01T00:00:00"/>
    <d v="2023-01-15T00:00:00"/>
    <n v="10"/>
    <s v="CCE-16 Contratación directa "/>
    <x v="0"/>
    <s v="O232020200883990_Otros servicios profesionales, técnicos y empresariales n.c.p."/>
    <n v="57000000"/>
    <s v="1-Implementar 1 plan de ajuste y sostenibilidad del MIPG en la UAECOB"/>
    <s v="516-Gestionar el 100% de un (1) plan de adecuación y sostenibilidad de los sistemas de gestión de la Unidad Administrativa Especial Cuerpo Oficial de Bomberos"/>
    <s v="SI SECOP"/>
  </r>
  <r>
    <n v="2023011"/>
    <x v="0"/>
    <s v="O23011605560000007655 - Fortalecimiento de la Planeación y Gestión de la UAECOB Bogotá"/>
    <s v="Oficina Asesora de Planeación"/>
    <n v="80111600"/>
    <s v="Prestar de apoyo a la gestión en la Oficina Asesora de Planeación de la UAECOB, en el diseño de campañas publicitarias que apoyen el uso y apropiación en los programas desarrollados para la implementación del MIPG"/>
    <d v="2023-01-01T00:00:00"/>
    <d v="2023-01-15T00:00:00"/>
    <n v="4"/>
    <s v="CCE-16 Contratación directa "/>
    <x v="0"/>
    <s v="O232020200883990_Otros servicios profesionales, técnicos y empresariales n.c.p."/>
    <n v="12000000"/>
    <s v="1-Implementar 1 plan de ajuste y sostenibilidad del MIPG en la UAECOB"/>
    <s v="516-Gestionar el 100% de un (1) plan de adecuación y sostenibilidad de los sistemas de gestión de la Unidad Administrativa Especial Cuerpo Oficial de Bomberos"/>
    <s v="SI SECOP"/>
  </r>
  <r>
    <n v="2023012"/>
    <x v="0"/>
    <s v="O23011605560000007655 - Fortalecimiento de la Planeación y Gestión de la UAECOB Bogotá"/>
    <s v="Oficina Asesora de Planeación"/>
    <n v="80111600"/>
    <s v="Prestar servicios profesionales para gestionar las actividades de cooperación técnica interinstitucional con las Entidades del sector a nivel nacional e internacional-OAP"/>
    <d v="2023-01-01T00:00:00"/>
    <d v="2023-01-15T00:00:00"/>
    <n v="7"/>
    <s v="CCE-16 Contratación directa "/>
    <x v="0"/>
    <s v="O232020200883990_Otros servicios profesionales, técnicos y empresariales n.c.p."/>
    <n v="56700000"/>
    <s v="1-Implementar 1 plan de ajuste y sostenibilidad del MIPG en la UAECOB"/>
    <s v="516-Gestionar el 100% de un (1) plan de adecuación y sostenibilidad de los sistemas de gestión de la Unidad Administrativa Especial Cuerpo Oficial de Bomberos"/>
    <s v="SI SECOP"/>
  </r>
  <r>
    <n v="2023013"/>
    <x v="0"/>
    <s v="O23011605560000007655 - Fortalecimiento de la Planeación y Gestión de la UAECOB Bogotá"/>
    <s v="Oficina Asesora de Planeación"/>
    <n v="80111600"/>
    <s v="Prestar servicios profesionales para apoyar la gestión de las actividades de cooperación técnica interinstitucional con las Entidades del sector a nivel nacional e internacional-OAP"/>
    <d v="2023-01-01T00:00:00"/>
    <d v="2023-01-15T00:00:00"/>
    <n v="4"/>
    <s v="CCE-16 Contratación directa "/>
    <x v="0"/>
    <s v="O232020200883990_Otros servicios profesionales, técnicos y empresariales n.c.p."/>
    <n v="20800000"/>
    <s v="1-Implementar 1 plan de ajuste y sostenibilidad del MIPG en la UAECOB"/>
    <s v="516-Gestionar el 100% de un (1) plan de adecuación y sostenibilidad de los sistemas de gestión de la Unidad Administrativa Especial Cuerpo Oficial de Bomberos"/>
    <s v="SI SECOP"/>
  </r>
  <r>
    <n v="2023014"/>
    <x v="0"/>
    <s v="O23011605560000007655 - Fortalecimiento de la Planeación y Gestión de la UAECOB Bogotá"/>
    <s v="Oficina Asesora de Planeación"/>
    <n v="80111600"/>
    <s v="Prestar servicios profesionales para apoyar a la Oficina Asesora de Planeación en el seguimiento, control presupuestal y estratégico de los proyectos de inversión de la Entidad-OAP"/>
    <d v="2023-01-01T00:00:00"/>
    <d v="2023-01-15T00:00:00"/>
    <n v="11"/>
    <s v="CCE-16 Contratación directa "/>
    <x v="0"/>
    <s v="O232020200883990_Otros servicios profesionales, técnicos y empresariales n.c.p."/>
    <n v="60500000"/>
    <s v="1-Implementar 1 plan de ajuste y sostenibilidad del MIPG en la UAECOB"/>
    <s v="516-Gestionar el 100% de un (1) plan de adecuación y sostenibilidad de los sistemas de gestión de la Unidad Administrativa Especial Cuerpo Oficial de Bomberos"/>
    <s v="SI SECOP"/>
  </r>
  <r>
    <n v="2023015"/>
    <x v="0"/>
    <s v="O23011605560000007655 - Fortalecimiento de la Planeación y Gestión de la UAECOB Bogotá"/>
    <s v="Oficina Asesora de Planeación"/>
    <n v="80111600"/>
    <s v="Prestación de servicios de apoyo a la gestión para el desarrollo de actividades relacionadas con el proceso de gestión estratégica, el sistema de control interno y actividades del MIPG"/>
    <d v="2023-06-26T00:00:00"/>
    <d v="2023-06-26T00:00:00"/>
    <n v="6"/>
    <s v="CCE-16 Contratación directa "/>
    <x v="0"/>
    <s v="O232020200883990_Otros servicios profesionales, técnicos y empresariales n.c.p."/>
    <n v="31200000"/>
    <s v="1-Implementar 1 plan de ajuste y sostenibilidad del MIPG en la UAECOB"/>
    <s v="516-Gestionar el 100% de un (1) plan de adecuación y sostenibilidad de los sistemas de gestión de la Unidad Administrativa Especial Cuerpo Oficial de Bomberos"/>
    <s v="SI SECOP"/>
  </r>
  <r>
    <n v="2023016"/>
    <x v="0"/>
    <s v="O23011605560000007655 - Fortalecimiento de la Planeación y Gestión de la UAECOB Bogotá"/>
    <s v="Subdirección Operativa"/>
    <n v="80111600"/>
    <s v="Contratar la elaboración de la segunda fase de la estratégia institucional de preparativos del Cuerpo Oficial de Bomberos de Bogotá, mediante un modelo para la implementación ante un evento de gran magnitud."/>
    <d v="2023-01-01T00:00:00"/>
    <d v="2023-01-15T00:00:00"/>
    <n v="5"/>
    <s v="CCE-16 Contratación directa "/>
    <x v="0"/>
    <s v="O232020200883990_Otros servicios profesionales, técnicos y empresariales n.c.p."/>
    <n v="0"/>
    <s v="2-Elaborar 1 plan de preparativos y continuidad del servicio para la UAECOB ante la eventual ocurrencia de un desastre en el Distrito Capital"/>
    <s v="516-Gestionar el 100% de un (1) plan de adecuación y sostenibilidad de los sistemas de gestión de la Unidad Administrativa Especial Cuerpo Oficial de Bomberos"/>
    <s v="SI SECOP"/>
  </r>
  <r>
    <n v="2023017"/>
    <x v="0"/>
    <s v="O23011605560000007655 - Fortalecimiento de la Planeación y Gestión de la UAECOB Bogotá"/>
    <s v="Oficina Jurídica"/>
    <n v="80111600"/>
    <s v="Prestar servicios profesionales  para apoyar en la estructuración de las acciones de mejora, seguimiento  a la gestión contractual de la Entidad y demás procedimientos, en el marco de las funciones  de la Oficina Jurídica "/>
    <d v="2023-04-05T00:00:00"/>
    <d v="2023-04-05T00:00:00"/>
    <n v="9"/>
    <s v="CCE-16 Contratación directa "/>
    <x v="0"/>
    <s v="O232020200883990_Otros servicios profesionales, técnicos y empresariales n.c.p."/>
    <n v="56000000"/>
    <s v="1-Implementar 1 plan de ajuste y sostenibilidad del MIPG en la UAECOB"/>
    <s v="516-Gestionar el 100% de un (1) plan de adecuación y sostenibilidad de los sistemas de gestión de la Unidad Administrativa Especial Cuerpo Oficial de Bomberos"/>
    <s v="SI SECOP"/>
  </r>
  <r>
    <n v="2023018"/>
    <x v="0"/>
    <s v="O23011605560000007655 - Fortalecimiento de la Planeación y Gestión de la UAECOB Bogotá"/>
    <s v="Oficina Jurídica"/>
    <n v="80111600"/>
    <s v="Prestar los servicios profesionales  jurídicos para apoyar las actividades propias de la gestión contractual que adelanta la Oficina Jurídica"/>
    <d v="2023-04-01T00:00:00"/>
    <d v="2023-04-01T00:00:00"/>
    <n v="7"/>
    <s v="CCE-16 Contratación directa "/>
    <x v="0"/>
    <s v="O232020200882199_Otros servicios jurídicos n.c.p."/>
    <n v="38250000"/>
    <s v="1-Implementar 1 plan de ajuste y sostenibilidad del MIPG en la UAECOB"/>
    <s v="516-Gestionar el 100% de un (1) plan de adecuación y sostenibilidad de los sistemas de gestión de la Unidad Administrativa Especial Cuerpo Oficial de Bomberos"/>
    <s v="SI SECOP"/>
  </r>
  <r>
    <n v="2023019"/>
    <x v="0"/>
    <s v="O23011605560000007655 - Fortalecimiento de la Planeación y Gestión de la UAECOB Bogotá"/>
    <s v="Oficina Jurídica"/>
    <n v="80111600"/>
    <s v="Prestar los servicios profesionales  jurídicos para apoyar las actividades propias de la gestión contractual que adelanta la Oficina Jurídica "/>
    <d v="2023-04-10T00:00:00"/>
    <d v="2023-04-10T00:00:00"/>
    <n v="7"/>
    <s v="CCE-16 Contratación directa "/>
    <x v="0"/>
    <s v="O232020200882199_Otros servicios jurídicos n.c.p."/>
    <n v="45900000"/>
    <s v="1-Implementar 1 plan de ajuste y sostenibilidad del MIPG en la UAECOB"/>
    <s v="516-Gestionar el 100% de un (1) plan de adecuación y sostenibilidad de los sistemas de gestión de la Unidad Administrativa Especial Cuerpo Oficial de Bomberos"/>
    <s v="SI SECOP"/>
  </r>
  <r>
    <n v="2023020"/>
    <x v="0"/>
    <s v="O23011605560000007655 - Fortalecimiento de la Planeación y Gestión de la UAECOB Bogotá"/>
    <s v="Oficina Jurídica"/>
    <n v="80111600"/>
    <s v="Prestar los servicios profesionales  jurídicos para apoyar las actividades propias de la gestión contractual que adelanta la Oficina Jurídica"/>
    <d v="2023-04-05T00:00:00"/>
    <d v="2023-04-05T00:00:00"/>
    <n v="7"/>
    <s v="CCE-16 Contratación directa "/>
    <x v="0"/>
    <s v="O232020200882199_Otros servicios jurídicos n.c.p."/>
    <n v="53550000"/>
    <s v="1-Implementar 1 plan de ajuste y sostenibilidad del MIPG en la UAECOB"/>
    <s v="516-Gestionar el 100% de un (1) plan de adecuación y sostenibilidad de los sistemas de gestión de la Unidad Administrativa Especial Cuerpo Oficial de Bomberos"/>
    <s v="SI SECOP"/>
  </r>
  <r>
    <n v="2023021"/>
    <x v="0"/>
    <s v="O23011605560000007655 - Fortalecimiento de la Planeación y Gestión de la UAECOB Bogotá"/>
    <s v="Oficina Jurídica"/>
    <n v="80111600"/>
    <s v="Prestar los servicios profesionales  jurídicos para apoyar las actividades propias de la gestión contractual que adelanta la Oficina Jurídica"/>
    <d v="2023-04-05T00:00:00"/>
    <d v="2023-04-05T00:00:00"/>
    <n v="6"/>
    <s v="CCE-16 Contratación directa "/>
    <x v="0"/>
    <s v="O232020200882199_Otros servicios jurídicos n.c.p."/>
    <n v="15300000"/>
    <s v="1-Implementar 1 plan de ajuste y sostenibilidad del MIPG en la UAECOB"/>
    <s v="516-Gestionar el 100% de un (1) plan de adecuación y sostenibilidad de los sistemas de gestión de la Unidad Administrativa Especial Cuerpo Oficial de Bomberos"/>
    <s v="SI SECOP"/>
  </r>
  <r>
    <n v="2023022"/>
    <x v="0"/>
    <s v="O23011605560000007655 - Fortalecimiento de la Planeación y Gestión de la UAECOB Bogotá"/>
    <s v="Oficina Jurídica"/>
    <n v="80111600"/>
    <s v="Prestar los servicios profesionales para realizar el acompañamiento administrativo y financiero en temas de liquidación y cierre de expedientes, como demás actuaciones administrativas requeridas de los procesos contractuales"/>
    <d v="2023-04-05T00:00:00"/>
    <d v="2023-04-05T00:00:00"/>
    <n v="6"/>
    <s v="CCE-16 Contratación directa "/>
    <x v="0"/>
    <s v="O232020200882199_Otros servicios jurídicos n.c.p."/>
    <n v="45900000"/>
    <s v="1-Implementar 1 plan de ajuste y sostenibilidad del MIPG en la UAECOB"/>
    <s v="516-Gestionar el 100% de un (1) plan de adecuación y sostenibilidad de los sistemas de gestión de la Unidad Administrativa Especial Cuerpo Oficial de Bomberos"/>
    <s v="SI SECOP"/>
  </r>
  <r>
    <n v="2023023"/>
    <x v="0"/>
    <s v="O23011605560000007655 - Fortalecimiento de la Planeación y Gestión de la UAECOB Bogotá"/>
    <s v="Oficina Jurídica"/>
    <n v="80111600"/>
    <s v="Prestar los servicios profesionales  jurídicos para apoyar las actividades propias de la gestión contractual que adelanta la Oficina Jurídica"/>
    <d v="2023-04-05T00:00:00"/>
    <d v="2023-04-05T00:00:00"/>
    <n v="8.5"/>
    <s v="CCE-16 Contratación directa "/>
    <x v="0"/>
    <s v="O232020200882199_Otros servicios jurídicos n.c.p."/>
    <n v="24600000"/>
    <s v="1-Implementar 1 plan de ajuste y sostenibilidad del MIPG en la UAECOB"/>
    <s v="516-Gestionar el 100% de un (1) plan de adecuación y sostenibilidad de los sistemas de gestión de la Unidad Administrativa Especial Cuerpo Oficial de Bomberos"/>
    <s v="SI SECOP"/>
  </r>
  <r>
    <n v="2023024"/>
    <x v="0"/>
    <s v="O23011605560000007655 - Fortalecimiento de la Planeación y Gestión de la UAECOB Bogotá"/>
    <s v="Oficina Jurídica"/>
    <n v="80111600"/>
    <s v="Prestar los servicios profesionales  jurídicos para apoyar las actividades propias de la gestión contractual que adelanta la Oficina Jurídica"/>
    <d v="2023-04-05T00:00:00"/>
    <d v="2023-04-05T00:00:00"/>
    <n v="8.5"/>
    <s v="CCE-16 Contratación directa "/>
    <x v="0"/>
    <s v="O232020200882199_Otros servicios jurídicos n.c.p."/>
    <n v="36000000"/>
    <s v="1-Implementar 1 plan de ajuste y sostenibilidad del MIPG en la UAECOB"/>
    <s v="516-Gestionar el 100% de un (1) plan de adecuación y sostenibilidad de los sistemas de gestión de la Unidad Administrativa Especial Cuerpo Oficial de Bomberos"/>
    <s v="SI SECOP"/>
  </r>
  <r>
    <n v="2023026"/>
    <x v="0"/>
    <s v="O23011605560000007655 - Fortalecimiento de la Planeación y Gestión de la UAECOB Bogotá"/>
    <s v="Oficina Jurídica"/>
    <n v="80111600"/>
    <s v="Prestar los servicios profesionales especializados para la representación judicial  de la Entidad y la prevención del daño antijurídico."/>
    <d v="2023-02-08T00:00:00"/>
    <d v="2023-02-08T00:00:00"/>
    <n v="9"/>
    <s v="CCE-16 Contratación directa "/>
    <x v="0"/>
    <s v="O232020200882199_Otros servicios jurídicos n.c.p."/>
    <n v="251685000"/>
    <s v="1-Implementar 1 plan de ajuste y sostenibilidad del MIPG en la UAECOB"/>
    <s v="516-Gestionar el 100% de un (1) plan de adecuación y sostenibilidad de los sistemas de gestión de la Unidad Administrativa Especial Cuerpo Oficial de Bomberos"/>
    <s v="SI SECOP"/>
  </r>
  <r>
    <n v="2023027"/>
    <x v="0"/>
    <s v="O23011605560000007655 - Fortalecimiento de la Planeación y Gestión de la UAECOB Bogotá"/>
    <s v="Oficina Jurídica"/>
    <n v="80111600"/>
    <s v="Prestar los servicios de apoyo para las gestiones administrativas requeridas en la Oficina Jurídica."/>
    <d v="2023-04-05T00:00:00"/>
    <d v="2023-04-05T00:00:00"/>
    <n v="9"/>
    <s v="CCE-16 Contratación directa "/>
    <x v="0"/>
    <s v="O232020200882199_Otros servicios jurídicos n.c.p."/>
    <n v="24850000"/>
    <s v="1-Implementar 1 plan de ajuste y sostenibilidad del MIPG en la UAECOB"/>
    <s v="516-Gestionar el 100% de un (1) plan de adecuación y sostenibilidad de los sistemas de gestión de la Unidad Administrativa Especial Cuerpo Oficial de Bomberos"/>
    <s v="SI SECOP"/>
  </r>
  <r>
    <n v="2023028"/>
    <x v="0"/>
    <s v="O23011605560000007655 - Fortalecimiento de la Planeación y Gestión de la UAECOB Bogotá"/>
    <s v="Oficina Jurídica"/>
    <n v="80111600"/>
    <s v="Prestar los servicios de apoyo para las gestiones documentales y administrativas requerida por la Oficina Jurídica."/>
    <d v="2023-04-05T00:00:00"/>
    <d v="2023-04-05T00:00:00"/>
    <n v="7"/>
    <s v="CCE-16 Contratación directa "/>
    <x v="0"/>
    <s v="O232020200883990_Otros servicios profesionales, técnicos y empresariales n.c.p."/>
    <n v="18850000"/>
    <s v="1-Implementar 1 plan de ajuste y sostenibilidad del MIPG en la UAECOB"/>
    <s v="516-Gestionar el 100% de un (1) plan de adecuación y sostenibilidad de los sistemas de gestión de la Unidad Administrativa Especial Cuerpo Oficial de Bomberos"/>
    <s v="SI SECOP"/>
  </r>
  <r>
    <n v="2023029"/>
    <x v="0"/>
    <s v="O23011605560000007655 - Fortalecimiento de la Planeación y Gestión de la UAECOB Bogotá"/>
    <s v="Oficina Jurídica"/>
    <n v="80111600"/>
    <s v="Prestar los servicios de apoyo para las gestiones documentales y administrativas requerida por la Oficina Jurídica."/>
    <d v="2023-04-05T00:00:00"/>
    <d v="2023-04-05T00:00:00"/>
    <n v="8"/>
    <s v="CCE-16 Contratación directa "/>
    <x v="0"/>
    <s v="O232020200883990_Otros servicios profesionales, técnicos y empresariales n.c.p."/>
    <n v="17400000"/>
    <s v="1-Implementar 1 plan de ajuste y sostenibilidad del MIPG en la UAECOB"/>
    <s v="516-Gestionar el 100% de un (1) plan de adecuación y sostenibilidad de los sistemas de gestión de la Unidad Administrativa Especial Cuerpo Oficial de Bomberos"/>
    <s v="SI SECOP"/>
  </r>
  <r>
    <n v="2023030"/>
    <x v="0"/>
    <s v="O23011605560000007655 - Fortalecimiento de la Planeación y Gestión de la UAECOB Bogotá"/>
    <s v="Oficina Jurídica"/>
    <n v="80111600"/>
    <s v="Prestar los servicios de apoyo para las gestiones documentales y administrativas requerida por la Oficina Jurídica."/>
    <d v="2023-04-05T00:00:00"/>
    <d v="2023-04-05T00:00:00"/>
    <n v="8"/>
    <s v="CCE-16 Contratación directa "/>
    <x v="0"/>
    <s v="O232020200883990_Otros servicios profesionales, técnicos y empresariales n.c.p."/>
    <n v="18850000"/>
    <s v="1-Implementar 1 plan de ajuste y sostenibilidad del MIPG en la UAECOB"/>
    <s v="516-Gestionar el 100% de un (1) plan de adecuación y sostenibilidad de los sistemas de gestión de la Unidad Administrativa Especial Cuerpo Oficial de Bomberos"/>
    <s v="SI SECOP"/>
  </r>
  <r>
    <n v="2023031"/>
    <x v="0"/>
    <s v="O23011605560000007655 - Fortalecimiento de la Planeación y Gestión de la UAECOB Bogotá"/>
    <s v="Oficina Jurídica"/>
    <n v="80111600"/>
    <s v="Prestar los servicios profesionales  jurídicos para apoyar las actividades propias de la gestión contractual que adelanta la Oficina Jurídica"/>
    <d v="2023-04-05T00:00:00"/>
    <d v="2023-04-05T00:00:00"/>
    <n v="8.5"/>
    <s v="CCE-16 Contratación directa "/>
    <x v="0"/>
    <s v="O232020200882199_Otros servicios jurídicos n.c.p."/>
    <n v="22800000"/>
    <s v="1-Implementar 1 plan de ajuste y sostenibilidad del MIPG en la UAECOB"/>
    <s v="516-Gestionar el 100% de un (1) plan de adecuación y sostenibilidad de los sistemas de gestión de la Unidad Administrativa Especial Cuerpo Oficial de Bomberos"/>
    <s v="SI SECOP"/>
  </r>
  <r>
    <n v="2023032"/>
    <x v="0"/>
    <s v="O23011605560000007655 - Fortalecimiento de la Planeación y Gestión de la UAECOB Bogotá"/>
    <s v="Oficina Jurídica"/>
    <n v="80111600"/>
    <s v="Prestar servicios profesionales  para apoyar en las acciones de control y manejo de la información y la presentación de los informes reglamentarios a los entes de control por parte de la Oficina Jurídica"/>
    <d v="2023-04-05T00:00:00"/>
    <d v="2023-04-05T00:00:00"/>
    <n v="7"/>
    <s v="CCE-16 Contratación directa "/>
    <x v="0"/>
    <s v="O232020200883990_Otros servicios profesionales, técnicos y empresariales n.c.p."/>
    <n v="35700000"/>
    <s v="1-Implementar 1 plan de ajuste y sostenibilidad del MIPG en la UAECOB"/>
    <s v="516-Gestionar el 100% de un (1) plan de adecuación y sostenibilidad de los sistemas de gestión de la Unidad Administrativa Especial Cuerpo Oficial de Bomberos"/>
    <s v="SI SECOP"/>
  </r>
  <r>
    <n v="2023033"/>
    <x v="0"/>
    <s v="O23011605560000007655 - Fortalecimiento de la Planeación y Gestión de la UAECOB Bogotá"/>
    <s v="Oficina Jurídica"/>
    <n v="80111600"/>
    <s v="Prestar los servicios de apoyo para los tramites, gestiones y actividades propias que se requieran en los diferentes procesos disciplinarios propios de la etapa de juzgamiento de la Oficina Jurídica en la UAECOB"/>
    <d v="2023-04-05T00:00:00"/>
    <d v="2023-04-05T00:00:00"/>
    <n v="8"/>
    <s v="CCE-16 Contratación directa "/>
    <x v="0"/>
    <s v="O232020200882199_Otros servicios jurídicos n.c.p."/>
    <n v="20400000"/>
    <s v="1-Implementar 1 plan de ajuste y sostenibilidad del MIPG en la UAECOB"/>
    <s v="516-Gestionar el 100% de un (1) plan de adecuación y sostenibilidad de los sistemas de gestión de la Unidad Administrativa Especial Cuerpo Oficial de Bomberos"/>
    <s v="SI SECOP"/>
  </r>
  <r>
    <n v="2023034"/>
    <x v="0"/>
    <s v="O23011605560000007655 - Fortalecimiento de la Planeación y Gestión de la UAECOB Bogotá"/>
    <s v="Oficina Jurídica"/>
    <n v="80111600"/>
    <s v="Prestar los servicios profesionales jurídicos para apoyar las actuaciones procesales y procedimentales de la Oficina Jurídica"/>
    <d v="2023-02-08T00:00:00"/>
    <d v="2023-02-08T00:00:00"/>
    <n v="8"/>
    <s v="CCE-16 Contratación directa "/>
    <x v="0"/>
    <s v="O232020200882199_Otros servicios jurídicos n.c.p."/>
    <n v="54000000"/>
    <s v="1-Implementar 1 plan de ajuste y sostenibilidad del MIPG en la UAECOB"/>
    <s v="516-Gestionar el 100% de un (1) plan de adecuación y sostenibilidad de los sistemas de gestión de la Unidad Administrativa Especial Cuerpo Oficial de Bomberos"/>
    <s v="SI SECOP"/>
  </r>
  <r>
    <n v="2023035"/>
    <x v="0"/>
    <s v="O23011605560000007655 - Fortalecimiento de la Planeación y Gestión de la UAECOB Bogotá"/>
    <s v="Oficina Jurídica"/>
    <n v="80111600"/>
    <s v="Prestar servicios profesionales para apoyar las diferentes actuaciones jurídicas que adelanta la UACOB"/>
    <d v="2023-04-05T00:00:00"/>
    <d v="2023-04-05T00:00:00"/>
    <n v="8"/>
    <s v="CCE-16 Contratación directa "/>
    <x v="0"/>
    <s v="O232020200882199_Otros servicios jurídicos n.c.p."/>
    <n v="19250000"/>
    <s v="1-Implementar 1 plan de ajuste y sostenibilidad del MIPG en la UAECOB"/>
    <s v="516-Gestionar el 100% de un (1) plan de adecuación y sostenibilidad de los sistemas de gestión de la Unidad Administrativa Especial Cuerpo Oficial de Bomberos"/>
    <s v="SI SECOP"/>
  </r>
  <r>
    <n v="2023036"/>
    <x v="0"/>
    <s v="O23011605560000007655 - Fortalecimiento de la Planeación y Gestión de la UAECOB Bogotá"/>
    <s v="Oficina Jurídica"/>
    <n v="80111600"/>
    <s v="Prestar los servicios profesionales para apoyar la depuración de la cartera de cobro coactivo, así como actividades propias de la defensa judicial de la Entidad y demas actiuaciones relacionadas que requiera la Oficina Jurídica"/>
    <d v="2023-05-08T00:00:00"/>
    <d v="2023-05-08T00:00:00"/>
    <n v="8"/>
    <s v="CCE-16 Contratación directa "/>
    <x v="0"/>
    <s v="O232020200882199_Otros servicios jurídicos n.c.p."/>
    <n v="40000000"/>
    <s v="1-Implementar 1 plan de ajuste y sostenibilidad del MIPG en la UAECOB"/>
    <s v="516-Gestionar el 100% de un (1) plan de adecuación y sostenibilidad de los sistemas de gestión de la Unidad Administrativa Especial Cuerpo Oficial de Bomberos"/>
    <s v="SI SECOP"/>
  </r>
  <r>
    <n v="2023037"/>
    <x v="0"/>
    <s v="O23011605560000007655 - Fortalecimiento de la Planeación y Gestión de la UAECOB Bogotá"/>
    <s v="Oficina Jurídica"/>
    <n v="80111600"/>
    <s v="Prestar los servicios profesionales jurídicos especializados en el desarrollo de las funciones de la Oficina Jurídica"/>
    <d v="2023-01-15T00:00:00"/>
    <d v="2023-01-15T00:00:00"/>
    <n v="12"/>
    <s v="CCE-16 Contratación directa "/>
    <x v="0"/>
    <s v="O232020200882199_Otros servicios jurídicos n.c.p."/>
    <n v="37485000"/>
    <s v="1-Implementar 1 plan de ajuste y sostenibilidad del MIPG en la UAECOB"/>
    <s v="516-Gestionar el 100% de un (1) plan de adecuación y sostenibilidad de los sistemas de gestión de la Unidad Administrativa Especial Cuerpo Oficial de Bomberos"/>
    <s v="SI SECOP"/>
  </r>
  <r>
    <n v="2023038"/>
    <x v="1"/>
    <s v="Funcionamiento"/>
    <s v="Oficina Asesora de Planeación"/>
    <s v="81112213; _x000a_81112501; "/>
    <s v="Contratar el servicio de mantenimiento, soporte técnico y actualización a distancia del aplicativo PCT, utilizado por la UAE Cuerpo Oficial de Bomberos de Bogota - TIC"/>
    <d v="2023-02-01T00:00:00"/>
    <d v="2023-03-24T00:00:00"/>
    <n v="12"/>
    <s v="CCE-16 Contratación directa "/>
    <x v="0"/>
    <s v="O21202020080383141 Servicios de diseño y desarrollo de aplicaciones e"/>
    <n v="16207800"/>
    <s v="N/A funcionamiento"/>
    <s v="N/A funcionamiento"/>
    <s v="SI SECOP"/>
  </r>
  <r>
    <n v="2023039"/>
    <x v="1"/>
    <s v="Funcionamiento"/>
    <s v="Oficina Asesora de Planeación"/>
    <s v="81112222;"/>
    <s v="Adicionar y prorrogar el contrato No. 620 de 2022  cuyo objeto es &quot;Prestar los servicios de mantenimiento, soporte técnico, mejoras y_x000a_actualizaciones de Aranda utilizado por la UEACOB&quot;"/>
    <d v="2023-08-11T00:00:00"/>
    <d v="2023-08-25T00:00:00"/>
    <n v="4"/>
    <s v="CCE-16 Contratación directa "/>
    <x v="0"/>
    <s v="O21202020080383141 Servicios de diseño y desarrollo de aplicaciones e"/>
    <n v="37000000"/>
    <s v="N/A funcionamiento"/>
    <s v="N/A funcionamiento"/>
    <s v="SI SECOP"/>
  </r>
  <r>
    <n v="2023040"/>
    <x v="1"/>
    <s v="Funcionamiento"/>
    <s v="Oficina Asesora de Planeación"/>
    <s v="81112501; _x000a_43232102; _x000a_43232103; _x000a_43231512;"/>
    <s v="&quot;Contratar  la suscripción de licencias Suite Adobe para la UAE Cuerpo Oficial de Bomberos de Bogotá-TIC&quot;"/>
    <d v="2023-07-31T00:00:00"/>
    <d v="2023-08-14T00:00:00"/>
    <n v="12"/>
    <s v="CCE-99 Seléccion abreviada - acuerdo marco"/>
    <x v="0"/>
    <s v="O21202020080383141 Servicios de diseño y desarrollo de aplicaciones e"/>
    <n v="35000000"/>
    <s v="N/A funcionamiento"/>
    <s v="N/A funcionamiento"/>
    <s v="SI SECOP"/>
  </r>
  <r>
    <n v="2023041"/>
    <x v="1"/>
    <s v="Funcionamiento"/>
    <s v="Oficina Asesora de Planeación"/>
    <s v="81111811;"/>
    <s v="Contratar soporte técnico en sitio y mantenimiento correctivo con suministro de repuestos para la infraestructura tecnológica de la UAE Cuerpo Oficial de Bomberos de Bogotá y  SUPERCADES de Bogotá-TIC"/>
    <d v="2023-01-01T00:00:00"/>
    <d v="2023-02-01T00:00:00"/>
    <n v="6"/>
    <s v="CCE-99 Seléccion abreviada - acuerdo marco"/>
    <x v="0"/>
    <s v="O21202020080787130 Servicios de mantenimiento y reparación de computa"/>
    <n v="163876933"/>
    <s v="N/A funcionamiento"/>
    <s v="N/A funcionamiento"/>
    <s v="SI SECOP"/>
  </r>
  <r>
    <n v="2023042"/>
    <x v="1"/>
    <s v="Funcionamiento"/>
    <s v="Oficina Asesora de Planeación"/>
    <s v="81112100;"/>
    <s v="Contratar los servicios de canales de datos dedicados para la UAE Cuerpo Oficial de Bomberos de Bogotá-TIC"/>
    <d v="2023-03-01T00:00:00"/>
    <d v="2023-06-01T00:00:00"/>
    <n v="12"/>
    <s v="CCE-16 Contratación directa "/>
    <x v="0"/>
    <s v="O21202020080484290 Otros servicios de telecomunicaciones vía Internet"/>
    <n v="280000000"/>
    <s v="N/A funcionamiento"/>
    <s v="N/A funcionamiento"/>
    <s v="SI SECOP"/>
  </r>
  <r>
    <n v="2023043"/>
    <x v="2"/>
    <s v="O23011605560000007637 - Fortalecimiento de la infraestructura de tecnología informática y de comunicaciones de la UAECOB"/>
    <s v="Oficina Asesora de Planeación"/>
    <n v="80111600"/>
    <s v="Prestar servicios profesionales en la planificación, administración y gestión de los proyectos de TIC  de la    UAE Cuerpo Oficial de Bomberos Bogotá, que fortalezcan la  ejecución y   cumplimiento a los procesos de tecnología. -TIC"/>
    <d v="2023-01-01T00:00:00"/>
    <d v="2023-01-15T00:00:00"/>
    <n v="11"/>
    <s v="CCE-16 Contratación directa "/>
    <x v="0"/>
    <s v="O232020200883990_Otros servicios profesionales, técnicos y empresariales n.c.p."/>
    <n v="77000000"/>
    <s v="2-Implementar 100 % de la arquitectura TI conforme a las necesidades de la UAECOB"/>
    <s v="517-Implementar al 100% una estrategia de fortalecimiento de los sistemas de información para optimizar la gestión del Cuerpo Oficial de Bomberos"/>
    <s v="SI SECOP"/>
  </r>
  <r>
    <n v="2023044"/>
    <x v="2"/>
    <s v="O23011605560000007637 - Fortalecimiento de la infraestructura de tecnología informática y de comunicaciones de la UAECOB"/>
    <s v="Oficina Asesora de Planeación"/>
    <n v="80111600"/>
    <s v="Prestar los servicios profesionales para apoyar  a la Oficina Asesora de Planeación en la gestión contractual  relacionados con los proyectos y funciones de la Oficina Asesora de Planeación -TIC"/>
    <d v="2023-01-01T00:00:00"/>
    <d v="2023-01-15T00:00:00"/>
    <n v="7"/>
    <s v="CCE-16 Contratación directa "/>
    <x v="0"/>
    <s v="O232020200883990_Otros servicios profesionales, técnicos y empresariales n.c.p."/>
    <n v="32900000"/>
    <s v="2-Implementar 100 % de la arquitectura TI conforme a las necesidades de la UAECOB"/>
    <s v="517-Implementar al 100% una estrategia de fortalecimiento de los sistemas de información para optimizar la gestión del Cuerpo Oficial de Bomberos"/>
    <s v="SI SECOP"/>
  </r>
  <r>
    <n v="2023045"/>
    <x v="2"/>
    <s v="O23011605560000007637 - Fortalecimiento de la infraestructura de tecnología informática y de comunicaciones de la UAECOB"/>
    <s v="Oficina Asesora de Planeación"/>
    <n v="80111600"/>
    <s v="Prestar servicios de apoyo a la gestión en la oficina asesora de planeación para la creación de productos audiovisuales y generación de contenidos digitales en la entidad"/>
    <d v="2023-06-01T00:00:00"/>
    <d v="2023-06-15T00:00:00"/>
    <n v="7"/>
    <s v="CCE-16 Contratación directa "/>
    <x v="0"/>
    <s v="O232020200883990_Otros servicios profesionales, técnicos y empresariales n.c.p."/>
    <n v="26526500"/>
    <s v="2-Implementar 100 % de la arquitectura TI conforme a las necesidades de la UAECOB"/>
    <s v="517-Implementar al 100% una estrategia de fortalecimiento de los sistemas de información para optimizar la gestión del Cuerpo Oficial de Bomberos"/>
    <s v="SI SECOP"/>
  </r>
  <r>
    <n v="2023046"/>
    <x v="2"/>
    <s v="O23011605560000007637 - Fortalecimiento de la infraestructura de tecnología informática y de comunicaciones de la UAECOB"/>
    <s v="Oficina Asesora de Planeación"/>
    <n v="80111600"/>
    <s v="Prestar servicios de apoyo a la gestión en el soporte y asistencia al usuario final  frente al portafolio de productos y servicios tecnológicos dispuestos por la UAE Cuerpo Oficial de Bomberos de Bogotá - TIC."/>
    <d v="2023-01-01T00:00:00"/>
    <d v="2023-01-15T00:00:00"/>
    <n v="4"/>
    <s v="CCE-16 Contratación directa "/>
    <x v="0"/>
    <s v="O232020200883990_Otros servicios profesionales, técnicos y empresariales n.c.p."/>
    <n v="13400000"/>
    <s v="2-Implementar 100 % de la arquitectura TI conforme a las necesidades de la UAECOB"/>
    <s v="517-Implementar al 100% una estrategia de fortalecimiento de los sistemas de información para optimizar la gestión del Cuerpo Oficial de Bomberos"/>
    <s v="SI SECOP"/>
  </r>
  <r>
    <n v="2023047"/>
    <x v="2"/>
    <s v="O23011605560000007637 - Fortalecimiento de la infraestructura de tecnología informática y de comunicaciones de la UAECOB"/>
    <s v="Oficina Asesora de Planeación"/>
    <n v="80111600"/>
    <s v="Prestar servicios profesionales en la administración, actualización, desarrollo y mantenimiento del Sistema Integrado de Administración de Personal - SIAP. -TIC-"/>
    <d v="2023-01-01T00:00:00"/>
    <d v="2023-01-15T00:00:00"/>
    <n v="4"/>
    <s v="CCE-16 Contratación directa "/>
    <x v="0"/>
    <s v="O232020200883990_Otros servicios profesionales, técnicos y empresariales n.c.p."/>
    <n v="27200000"/>
    <s v="2-Implementar 100 % de la arquitectura TI conforme a las necesidades de la UAECOB"/>
    <s v="517-Implementar al 100% una estrategia de fortalecimiento de los sistemas de información para optimizar la gestión del Cuerpo Oficial de Bomberos"/>
    <s v="SI SECOP"/>
  </r>
  <r>
    <n v="2023048"/>
    <x v="2"/>
    <s v="O23011605560000007637 - Fortalecimiento de la infraestructura de tecnología informática y de comunicaciones de la UAECOB"/>
    <s v="Oficina Asesora de Planeación"/>
    <n v="80111600"/>
    <s v="Prestar servicios profesionales para administrar, gestionar y mantener las bases de datos de la UAE Cuerpo Oficial de Bomberos Bogotá. -TIC"/>
    <d v="2023-01-01T00:00:00"/>
    <d v="2023-01-15T00:00:00"/>
    <n v="4"/>
    <s v="CCE-16 Contratación directa "/>
    <x v="0"/>
    <s v="O232020200883990_Otros servicios profesionales, técnicos y empresariales n.c.p."/>
    <n v="27200000"/>
    <s v="2-Implementar 100 % de la arquitectura TI conforme a las necesidades de la UAECOB"/>
    <s v="517-Implementar al 100% una estrategia de fortalecimiento de los sistemas de información para optimizar la gestión del Cuerpo Oficial de Bomberos"/>
    <s v="SI SECOP"/>
  </r>
  <r>
    <n v="2023049"/>
    <x v="2"/>
    <s v="O23011605560000007637 - Fortalecimiento de la infraestructura de tecnología informática y de comunicaciones de la UAECOB"/>
    <s v="Oficina Asesora de Planeación"/>
    <n v="80111600"/>
    <s v="Prestar Servicios Profesionales para administrar y gestionar los sistemas de información y aplicativos con los que cuenta la UAE Cuerpo Oficial de Bomberos Bogotá. -TIC"/>
    <d v="2023-01-01T00:00:00"/>
    <d v="2023-01-15T00:00:00"/>
    <n v="10"/>
    <s v="CCE-16 Contratación directa "/>
    <x v="0"/>
    <s v="O232020200883990_Otros servicios profesionales, técnicos y empresariales n.c.p."/>
    <n v="26000000"/>
    <s v="2-Implementar 100 % de la arquitectura TI conforme a las necesidades de la UAECOB"/>
    <s v="517-Implementar al 100% una estrategia de fortalecimiento de los sistemas de información para optimizar la gestión del Cuerpo Oficial de Bomberos"/>
    <s v="SI SECOP"/>
  </r>
  <r>
    <n v="2023050"/>
    <x v="2"/>
    <s v="O23011605560000007637 - Fortalecimiento de la infraestructura de tecnología informática y de comunicaciones de la UAECOB"/>
    <s v="Oficina Asesora de Planeación"/>
    <n v="80111600"/>
    <s v="Prestar servicios profesionales en la Oficina Asesora de Planeación, para  el direccionamiento y gestión de las    actividades   de tecnología de Información y Comunicaciones  de  la  UAE Cuerpo Oficial de Bomberos Bogotá  alíneado al cumplimiento   del  "/>
    <d v="2023-01-01T00:00:00"/>
    <d v="2023-01-15T00:00:00"/>
    <n v="11"/>
    <s v="CCE-16 Contratación directa "/>
    <x v="0"/>
    <s v="O232020200883990_Otros servicios profesionales, técnicos y empresariales n.c.p."/>
    <n v="82500000"/>
    <s v="2-Implementar 100 % de la arquitectura TI conforme a las necesidades de la UAECOB"/>
    <s v="517-Implementar al 100% una estrategia de fortalecimiento de los sistemas de información para optimizar la gestión del Cuerpo Oficial de Bomberos"/>
    <s v="SI SECOP"/>
  </r>
  <r>
    <n v="2023051"/>
    <x v="2"/>
    <s v="O23011605560000007637 - Fortalecimiento de la infraestructura de tecnología informática y de comunicaciones de la UAECOB"/>
    <s v="Oficina Asesora de Planeación"/>
    <n v="80111600"/>
    <s v="Prestar servicios profesionales  como administrador y gestor de la infraestructura de las comunicaciones y red regulada  de la UAE Cuerpo Oficial de Bomberos Bogotá-TIC"/>
    <d v="2023-01-01T00:00:00"/>
    <d v="2023-01-15T00:00:00"/>
    <n v="11"/>
    <s v="CCE-16 Contratación directa "/>
    <x v="0"/>
    <s v="O232020200883990_Otros servicios profesionales, técnicos y empresariales n.c.p."/>
    <n v="77000000"/>
    <s v="2-Implementar 100 % de la arquitectura TI conforme a las necesidades de la UAECOB"/>
    <s v="517-Implementar al 100% una estrategia de fortalecimiento de los sistemas de información para optimizar la gestión del Cuerpo Oficial de Bomberos"/>
    <s v="SI SECOP"/>
  </r>
  <r>
    <n v="2023052"/>
    <x v="2"/>
    <s v="O23011605560000007637 - Fortalecimiento de la infraestructura de tecnología informática y de comunicaciones de la UAECOB"/>
    <s v="Oficina Asesora de Planeación"/>
    <n v="80111600"/>
    <s v="Prestar  servicios  profesionales  para administrar y gestionar la  seguridad  y privacidad de la información dentro de la infraestructura tecnológica y de comunicaciones  utilizada por UAE Cuerpo Oficial de Bomberos de Bogotá - TIC"/>
    <d v="2023-01-01T00:00:00"/>
    <d v="2023-01-15T00:00:00"/>
    <n v="9"/>
    <s v="CCE-16 Contratación directa "/>
    <x v="0"/>
    <s v="O232020200883990_Otros servicios profesionales, técnicos y empresariales n.c.p."/>
    <n v="58500000"/>
    <s v="1-Implementar 100 %  del modelo de seguridad y privacidad de la información en la UAECOB alineado a la Política de Gobierno Digital."/>
    <s v="517-Implementar al 100% una estrategia de fortalecimiento de los sistemas de información para optimizar la gestión del Cuerpo Oficial de Bomberos"/>
    <s v="SI SECOP"/>
  </r>
  <r>
    <n v="2023053"/>
    <x v="2"/>
    <s v="O23011605560000007637 - Fortalecimiento de la infraestructura de tecnología informática y de comunicaciones de la UAECOB"/>
    <s v="Oficina Asesora de Planeación"/>
    <n v="80111600"/>
    <s v="Prestar servicios profesionales para la administración y gestión de la infraestructura tecnológica de servidores y componentes relacionados con los que cuenta la UAE Cuerpo Oficial de Bomberos de Bogotá - TIC"/>
    <d v="2023-01-01T00:00:00"/>
    <d v="2023-01-15T00:00:00"/>
    <n v="4"/>
    <s v="CCE-16 Contratación directa "/>
    <x v="0"/>
    <s v="O232020200883990_Otros servicios profesionales, técnicos y empresariales n.c.p."/>
    <n v="26000000"/>
    <s v="2-Implementar 100 % de la arquitectura TI conforme a las necesidades de la UAECOB"/>
    <s v="517-Implementar al 100% una estrategia de fortalecimiento de los sistemas de información para optimizar la gestión del Cuerpo Oficial de Bomberos"/>
    <s v="SI SECOP"/>
  </r>
  <r>
    <n v="2023054"/>
    <x v="2"/>
    <s v="O23011605560000007637 - Fortalecimiento de la infraestructura de tecnología informática y de comunicaciones de la UAECOB"/>
    <s v="Oficina Asesora de Planeación"/>
    <n v="80111600"/>
    <s v="Prestar Servicios profesionales para administrar y  gestionar los servicios de TI  a través de las herramientas de gestíón e infraestructura utilizados por UAE Cuerpo Oficial de Bomberos Bogotá de acuerdo con los niveles de servicios de los diferentes pro"/>
    <d v="2023-01-01T00:00:00"/>
    <d v="2023-01-15T00:00:00"/>
    <n v="11"/>
    <s v="CCE-16 Contratación directa "/>
    <x v="0"/>
    <s v="O232020200883990_Otros servicios profesionales, técnicos y empresariales n.c.p."/>
    <n v="51700000"/>
    <s v="2-Implementar 100 % de la arquitectura TI conforme a las necesidades de la UAECOB"/>
    <s v="517-Implementar al 100% una estrategia de fortalecimiento de los sistemas de información para optimizar la gestión del Cuerpo Oficial de Bomberos"/>
    <s v="SI SECOP"/>
  </r>
  <r>
    <n v="2023056"/>
    <x v="2"/>
    <s v="O23011605560000007637 - Fortalecimiento de la infraestructura de tecnología informática y de comunicaciones de la UAECOB"/>
    <s v="Oficina Asesora de Planeación"/>
    <n v="80111600"/>
    <s v="Prestar los servicios profesionales para el desarrollo de los procesos contractuales y  elaboración de documentos de  carácter jurídico y administrativos que requiera la Oficina Asesora de Planeación-TIC."/>
    <d v="2023-01-01T00:00:00"/>
    <d v="2023-01-15T00:00:00"/>
    <n v="4"/>
    <s v="CCE-16 Contratación directa "/>
    <x v="0"/>
    <s v="O232020200883990_Otros servicios profesionales, técnicos y empresariales n.c.p."/>
    <n v="20000000"/>
    <s v="2-Implementar 100 % de la arquitectura TI conforme a las necesidades de la UAECOB"/>
    <s v="517-Implementar al 100% una estrategia de fortalecimiento de los sistemas de información para optimizar la gestión del Cuerpo Oficial de Bomberos"/>
    <s v="SI SECOP"/>
  </r>
  <r>
    <n v="2023057"/>
    <x v="2"/>
    <s v="O23011605560000007637 - Fortalecimiento de la infraestructura de tecnología informática y de comunicaciones de la UAECOB"/>
    <s v="Oficina Asesora de Planeación"/>
    <n v="80111600"/>
    <s v="Prestar los servicios profesionales administrativos y financieros en la gestión contractual relacionados con los proyectos y funciones de la Oficina Asesora de Planeación-TIC"/>
    <d v="2023-01-01T00:00:00"/>
    <d v="2023-01-15T00:00:00"/>
    <n v="10"/>
    <s v="CCE-16 Contratación directa "/>
    <x v="0"/>
    <s v="O232020200883990_Otros servicios profesionales, técnicos y empresariales n.c.p."/>
    <n v="50000000"/>
    <s v="2-Implementar 100 % de la arquitectura TI conforme a las necesidades de la UAECOB"/>
    <s v="517-Implementar al 100% una estrategia de fortalecimiento de los sistemas de información para optimizar la gestión del Cuerpo Oficial de Bomberos"/>
    <s v="SI SECOP"/>
  </r>
  <r>
    <n v="2023058"/>
    <x v="2"/>
    <s v="O23011605560000007637 - Fortalecimiento de la infraestructura de tecnología informática y de comunicaciones de la UAECOB"/>
    <s v="Oficina Asesora de Planeación"/>
    <n v="80111600"/>
    <s v="Prestar servicios profesionales para apoyar la implementación y control de las políticas de Seguridad de la Información y Gobierno Digital, así como el seguimiento a los planes institucionales asociados a TIC y construcción de procedimientos."/>
    <d v="2023-01-01T00:00:00"/>
    <d v="2023-01-15T00:00:00"/>
    <n v="4"/>
    <s v="CCE-16 Contratación directa "/>
    <x v="0"/>
    <s v="O232020200883990_Otros servicios profesionales, técnicos y empresariales n.c.p."/>
    <n v="20000000"/>
    <s v="1-Implementar 100 %  del modelo de seguridad y privacidad de la información en la UAECOB alineado a la Política de Gobierno Digital."/>
    <s v="517-Implementar al 100% una estrategia de fortalecimiento de los sistemas de información para optimizar la gestión del Cuerpo Oficial de Bomberos"/>
    <s v="SI SECOP"/>
  </r>
  <r>
    <n v="2023059"/>
    <x v="2"/>
    <s v="O23011605560000007637 - Fortalecimiento de la infraestructura de tecnología informática y de comunicaciones de la UAECOB"/>
    <s v="Oficina Asesora de Planeación"/>
    <n v="80111600"/>
    <s v="_x000a_Prestar servicios asistenciales y de apoyo a la gestión para el desarrollo de actividades administrativas y procesos de gestión documental de la oficina asesora de planeación-TIC"/>
    <d v="2023-01-01T00:00:00"/>
    <d v="2023-01-15T00:00:00"/>
    <n v="4"/>
    <s v="CCE-16 Contratación directa "/>
    <x v="0"/>
    <s v="O232020200883990_Otros servicios profesionales, técnicos y empresariales n.c.p."/>
    <n v="12800000"/>
    <s v="2-Implementar 100 % de la arquitectura TI conforme a las necesidades de la UAECOB"/>
    <s v="517-Implementar al 100% una estrategia de fortalecimiento de los sistemas de información para optimizar la gestión del Cuerpo Oficial de Bomberos"/>
    <s v="SI SECOP"/>
  </r>
  <r>
    <n v="2023060"/>
    <x v="2"/>
    <s v="O23011605560000007637 - Fortalecimiento de la infraestructura de tecnología informática y de comunicaciones de la UAECOB"/>
    <s v="Oficina Asesora de Planeación"/>
    <n v="80111600"/>
    <s v="Prestar Servicios Profesionales como gestor de la Política del Sistema de Gestión de Seguridad de la Información - SGSI, Gobierno Digital, Transformación Digital y Datos abiertos que contribuyan a la estandarización y lineamientos en la UAE Cuerpo Oficial"/>
    <d v="2023-01-01T00:00:00"/>
    <d v="2023-01-15T00:00:00"/>
    <n v="4"/>
    <s v="CCE-16 Contratación directa "/>
    <x v="0"/>
    <s v="O232020200883990_Otros servicios profesionales, técnicos y empresariales n.c.p."/>
    <n v="27200000"/>
    <s v="3-Habilitar 3 servicios ciudadanos digitales básicos en la UAECOB"/>
    <s v="517-Implementar al 100% una estrategia de fortalecimiento de los sistemas de información para optimizar la gestión del Cuerpo Oficial de Bomberos"/>
    <s v="SI SECOP"/>
  </r>
  <r>
    <n v="2023061"/>
    <x v="2"/>
    <s v="O23011605560000007637 - Fortalecimiento de la infraestructura de tecnología informática y de comunicaciones de la UAECOB"/>
    <s v="Oficina Asesora de Planeación"/>
    <s v="43231512; 81112501"/>
    <s v="Contratar la adquisición, renovación y  suscripciones de licencia Microsoft para la U.A.E. Cuerpo Oficial de Bomberos de Bogotá - TIC"/>
    <d v="2023-03-10T00:00:00"/>
    <d v="2023-04-10T00:00:00"/>
    <n v="6"/>
    <s v="CCE-99 Seléccion abreviada - acuerdo marco"/>
    <x v="0"/>
    <s v="O232020200883159_Otros servicios de alojamiento y suministro de infraestructura en tecnología de la información (TI)"/>
    <n v="574854863"/>
    <s v="2-Implementar 100 % de la arquitectura TI conforme a las necesidades de la UAECOB"/>
    <s v="517-Implementar al 100% una estrategia de fortalecimiento de los sistemas de información para optimizar la gestión del Cuerpo Oficial de Bomberos"/>
    <s v="SI SECOP"/>
  </r>
  <r>
    <n v="2023062"/>
    <x v="2"/>
    <s v="O23011605560000007637 - Fortalecimiento de la infraestructura de tecnología informática y de comunicaciones de la UAECOB"/>
    <s v="Oficina Asesora de Planeación"/>
    <n v="81112401"/>
    <s v="Contratar el alquiler de equipos tecnológicos, periféricos y servicios complementarios para la U.A.E. Cuerpo Oficial de Bomberos de Bogotá. - TIC"/>
    <d v="2023-02-22T00:00:00"/>
    <d v="2023-04-17T00:00:00"/>
    <n v="6"/>
    <s v="CCE-99 Seléccion abreviada - acuerdo marco"/>
    <x v="0"/>
    <s v="O232020200883159_Otros servicios de alojamiento y suministro de infraestructura en tecnología de la información (TI)"/>
    <n v="43736135"/>
    <s v="2-Implementar 100 % de la arquitectura TI conforme a las necesidades de la UAECOB"/>
    <s v="517-Implementar al 100% una estrategia de fortalecimiento de los sistemas de información para optimizar la gestión del Cuerpo Oficial de Bomberos"/>
    <s v="SI SECOP"/>
  </r>
  <r>
    <n v="2023063"/>
    <x v="2"/>
    <s v="O23011605560000007637 - Fortalecimiento de la infraestructura de tecnología informática y de comunicaciones de la UAECOB"/>
    <s v="Oficina Asesora de Planeación"/>
    <s v="72151500;72101500;73152100"/>
    <s v="Contratar el servicio de Mantenimiento preventivo y correctivo de UPS y aires acondicionados con suministro de repuestos para todas las sedes de la U.A.E. Cuerpo Oficial de Bomberos de Bogotá.- TIC"/>
    <d v="2023-10-10T00:00:00"/>
    <d v="2023-11-24T00:00:00"/>
    <n v="6"/>
    <s v="CCE-07 Selección abreviada subasta inversa"/>
    <x v="0"/>
    <s v="O232020200883132_Servicios de soporte en tecnologías de la información (TI)"/>
    <n v="90192302"/>
    <s v="2-Implementar 100 % de la arquitectura TI conforme a las necesidades de la UAECOB"/>
    <s v="517-Implementar al 100% una estrategia de fortalecimiento de los sistemas de información para optimizar la gestión del Cuerpo Oficial de Bomberos"/>
    <s v="SI SECOP"/>
  </r>
  <r>
    <n v="2023064"/>
    <x v="2"/>
    <s v="O23011605560000007637 - Fortalecimiento de la infraestructura de tecnología informática y de comunicaciones de la UAECOB"/>
    <s v="Oficina Asesora de Planeación"/>
    <n v="81112217"/>
    <s v="Contratar el servicio de actualización y soporte de licenciamiento ArcGis para la U.A.E. Cuerpo Oficial de Bomberos de Bogotá.- TIC"/>
    <d v="2023-08-15T00:00:00"/>
    <d v="2023-08-22T00:00:00"/>
    <n v="3"/>
    <s v="CCE-99 Seléccion abreviada - acuerdo marco"/>
    <x v="0"/>
    <s v="O232020200883132_Servicios de soporte en tecnologías de la información (TI)"/>
    <n v="58368462"/>
    <s v="3-Habilitar 3 servicios ciudadanos digitales básicos en la UAECOB"/>
    <s v="517-Implementar al 100% una estrategia de fortalecimiento de los sistemas de información para optimizar la gestión del Cuerpo Oficial de Bomberos"/>
    <s v="SI SECOP"/>
  </r>
  <r>
    <n v="2023065"/>
    <x v="2"/>
    <s v="O23011605560000007637 - Fortalecimiento de la infraestructura de tecnología informática y de comunicaciones de la UAECOB"/>
    <s v="Oficina Asesora de Planeación"/>
    <s v="81112204;81112501"/>
    <s v="Contratar la renovación , servicio de actualización y soporte de licenciamiento Oracle para Base de Datos,  y Web Logic para la U.A.E. Cuerpo Oficial de Bomberos de Bogotá - TIC"/>
    <d v="2023-04-21T00:00:00"/>
    <d v="2023-05-15T00:00:00"/>
    <n v="3"/>
    <s v="CCE-99 Seléccion abreviada - acuerdo marco"/>
    <x v="0"/>
    <s v="O232020200883132_Servicios de soporte en tecnologías de la información (TI)"/>
    <n v="164328304"/>
    <s v="2-Implementar 100 % de la arquitectura TI conforme a las necesidades de la UAECOB"/>
    <s v="517-Implementar al 100% una estrategia de fortalecimiento de los sistemas de información para optimizar la gestión del Cuerpo Oficial de Bomberos"/>
    <s v="SI SECOP"/>
  </r>
  <r>
    <n v="2023066"/>
    <x v="2"/>
    <s v="O23011605560000007637 - Fortalecimiento de la infraestructura de tecnología informática y de comunicaciones de la UAECOB"/>
    <s v="Oficina Asesora de Planeación"/>
    <s v="81112200;_x000a_81112201"/>
    <s v="Contratar el servicio de soporte del sistema misional FUOCO para la U.A.E. Cuerpo Oficial de Bomberos de Bogotá de acuerdo a lo contemplado en el anexo técnico.-TIC-"/>
    <d v="2023-01-13T00:00:00"/>
    <d v="2023-01-30T00:00:00"/>
    <n v="11"/>
    <s v="CCE-05 Contratación directa (con ofertas) "/>
    <x v="0"/>
    <s v="O232020200883132_Servicios de soporte en tecnologías de la información (TI)"/>
    <n v="232020250"/>
    <s v="3-Habilitar 3 servicios ciudadanos digitales básicos en la UAECOB"/>
    <s v="517-Implementar al 100% una estrategia de fortalecimiento de los sistemas de información para optimizar la gestión del Cuerpo Oficial de Bomberos"/>
    <s v="SI SECOP"/>
  </r>
  <r>
    <n v="2023067"/>
    <x v="2"/>
    <s v="O23011605560000007637 - Fortalecimiento de la infraestructura de tecnología informática y de comunicaciones de la UAECOB"/>
    <s v="Oficina Asesora de Planeación"/>
    <s v="43233000; 81112200"/>
    <s v="Contratar el servicio de soporte y mantenimiento del sistema de gestión documental  para la U.A.E. Cuerpo Oficial de Bomberos de Bogotá- TIC"/>
    <d v="2023-03-17T00:00:00"/>
    <d v="2023-04-20T00:00:00"/>
    <n v="10"/>
    <s v="CCE-05 Contratación directa (con ofertas) "/>
    <x v="0"/>
    <s v="O232020200668014_Servicios de gestión documental"/>
    <n v="164114090"/>
    <s v="2-Implementar 100 % de la arquitectura TI conforme a las necesidades de la UAECOB"/>
    <s v="517-Implementar al 100% una estrategia de fortalecimiento de los sistemas de información para optimizar la gestión del Cuerpo Oficial de Bomberos"/>
    <s v="SI SECOP"/>
  </r>
  <r>
    <n v="2023068"/>
    <x v="2"/>
    <s v="O23011605560000007637 - Fortalecimiento de la infraestructura de tecnología informática y de comunicaciones de la UAECOB"/>
    <s v="Oficina Asesora de Planeación"/>
    <n v="81112006"/>
    <s v="Contratar el servicio de nube publica para la U.A.E Cuerpo Oficial de Bomberos de Bogotá - TIC"/>
    <d v="2023-08-11T00:00:00"/>
    <d v="2023-09-08T00:00:00"/>
    <n v="12"/>
    <s v="CCE-99 Seléccion abreviada - acuerdo marco"/>
    <x v="0"/>
    <s v="O232020200883132_Servicios de soporte en tecnologías de la información (TI)"/>
    <n v="30000000"/>
    <s v="1-Implementar 100 %  del modelo de seguridad y privacidad de la información en la UAECOB alineado a la Política de Gobierno Digital."/>
    <s v="517-Implementar al 100% una estrategia de fortalecimiento de los sistemas de información para optimizar la gestión del Cuerpo Oficial de Bomberos"/>
    <s v="SI SECOP"/>
  </r>
  <r>
    <n v="2023069"/>
    <x v="2"/>
    <s v="O23011605560000007637 - Fortalecimiento de la infraestructura de tecnología informática y de comunicaciones de la UAECOB"/>
    <s v="Oficina Asesora de Planeación"/>
    <s v="43233200;43222500"/>
    <s v="Contratar la renovación del licenciamiento y soporte de las plataformas de seguridad perimetral Fortinet, firewalls y WAF del edificio comando y estaciones para la U.A.E. Cuerpo Oficial de Bomberos de Bogotá - TIC"/>
    <d v="2023-08-11T00:00:00"/>
    <d v="2023-08-18T00:00:00"/>
    <n v="3"/>
    <s v="CCE-07 Selección abreviada subasta inversa"/>
    <x v="0"/>
    <s v="O232020200883132_Servicios de soporte en tecnologías de la información (TI)"/>
    <n v="139746833"/>
    <s v="1-Implementar 100 %  del modelo de seguridad y privacidad de la información en la UAECOB alineado a la Política de Gobierno Digital."/>
    <s v="517-Implementar al 100% una estrategia de fortalecimiento de los sistemas de información para optimizar la gestión del Cuerpo Oficial de Bomberos"/>
    <s v="SI SECOP"/>
  </r>
  <r>
    <n v="2023070"/>
    <x v="2"/>
    <s v="O23011605560000007637 - Fortalecimiento de la infraestructura de tecnología informática y de comunicaciones de la UAECOB"/>
    <s v="Oficina Asesora de Planeación"/>
    <s v="81112001;_x000a_81112002; _x000a_32101656; _x000a_25173107;"/>
    <s v="Contratar la prestación del servicio de monitoreo, control y seguimiento satelital a los vehículos de propiedad de la U.A.E. Cuerpo Oficial de Bomberos de Bogotá - TIC"/>
    <d v="2023-02-13T00:00:00"/>
    <d v="2023-04-03T00:00:00"/>
    <n v="8"/>
    <s v="CCE-07 Selección abreviada subasta inversa"/>
    <x v="0"/>
    <s v="O232020200883132_Servicios de soporte en tecnologías de la información (TI)"/>
    <n v="65818122"/>
    <s v="2-Implementar 100 % de la arquitectura TI conforme a las necesidades de la UAECOB"/>
    <s v="517-Implementar al 100% una estrategia de fortalecimiento de los sistemas de información para optimizar la gestión del Cuerpo Oficial de Bomberos"/>
    <s v="SI SECOP"/>
  </r>
  <r>
    <n v="2023071"/>
    <x v="2"/>
    <s v="O23011605560000007637 - Fortalecimiento de la infraestructura de tecnología informática y de comunicaciones de la UAECOB"/>
    <s v="Oficina Asesora de Planeación"/>
    <s v="81111508;81111809;81161501;43231500;43231513"/>
    <s v="Adicionar y prorrogar el contrato No. 447 de 2022 cuyo objeto es &quot;Contratar el servicio para el control de acceso de visitantes del edificio comando de la UAECOB&quot;"/>
    <d v="2023-05-23T00:00:00"/>
    <d v="2023-06-15T00:00:00"/>
    <n v="6"/>
    <s v="CCE-10 Mínima cuantía"/>
    <x v="0"/>
    <s v="O232020200883159_Otros servicios de alojamiento y suministro de infraestructura en tecnología de la información (TI)"/>
    <n v="2395500"/>
    <s v="3-Habilitar 3 servicios ciudadanos digitales básicos en la UAECOB"/>
    <s v="517-Implementar al 100% una estrategia de fortalecimiento de los sistemas de información para optimizar la gestión del Cuerpo Oficial de Bomberos"/>
    <s v="SI SECOP"/>
  </r>
  <r>
    <n v="2023072"/>
    <x v="2"/>
    <s v="O23011605560000007637 - Fortalecimiento de la infraestructura de tecnología informática y de comunicaciones de la UAECOB"/>
    <s v="Oficina Asesora de Planeación"/>
    <s v="32131023_x000a_39121011_x000a_43232300"/>
    <s v="Contratar el servicio de mantenimiento para el sistema de atención de turnos de la U.A.E. Cuerpo Oficial de Bomberos de Bogotá - TIC"/>
    <d v="2023-03-09T00:00:00"/>
    <d v="2023-03-24T00:00:00"/>
    <n v="11"/>
    <s v="CCE-16 Contratación directa "/>
    <x v="0"/>
    <s v="O232020200883159_Otros servicios de alojamiento y suministro de infraestructura en tecnología de la información (TI)"/>
    <n v="5193160"/>
    <s v="3-Habilitar 3 servicios ciudadanos digitales básicos en la UAECOB"/>
    <s v="517-Implementar al 100% una estrategia de fortalecimiento de los sistemas de información para optimizar la gestión del Cuerpo Oficial de Bomberos"/>
    <s v="SI SECOP"/>
  </r>
  <r>
    <n v="2023073"/>
    <x v="2"/>
    <s v="O23011605560000007637 - Fortalecimiento de la infraestructura de tecnología informática y de comunicaciones de la UAECOB"/>
    <s v="Oficina Asesora de Planeación"/>
    <s v="72151607;72103302 "/>
    <s v="Contratar el servicio de mantenimiento preventivo y correctivo de los radios portátiles y móviles marca motorola propiedad de la U.A.E. Cuerpo Oficial de Bomberos de Bogotá - TIC"/>
    <d v="2023-03-14T00:00:00"/>
    <d v="2023-07-31T00:00:00"/>
    <n v="12"/>
    <s v="CCE-05 Contratación directa (con ofertas) "/>
    <x v="0"/>
    <s v="O232020200883132_Servicios de soporte en tecnologías de la información (TI)"/>
    <n v="150000000"/>
    <s v="2-Implementar 100 % de la arquitectura TI conforme a las necesidades de la UAECOB"/>
    <s v="517-Implementar al 100% una estrategia de fortalecimiento de los sistemas de información para optimizar la gestión del Cuerpo Oficial de Bomberos"/>
    <s v="SI SECOP"/>
  </r>
  <r>
    <n v="2023074"/>
    <x v="2"/>
    <s v="O23011605560000007637 - Fortalecimiento de la infraestructura de tecnología informática y de comunicaciones de la UAECOB"/>
    <s v="Oficina Asesora de Planeación"/>
    <n v="43233205"/>
    <s v="Contratar la renovación y soporte de licenciamiento del antivirus de la U.A.E. Cuerpo Oficial de Bomberos de Bogotá - TIC"/>
    <d v="2023-03-10T00:00:00"/>
    <d v="2023-04-25T00:00:00"/>
    <n v="3"/>
    <s v="CCE-07 Selección abreviada subasta inversa"/>
    <x v="0"/>
    <s v="O232020200883159_Otros servicios de alojamiento y suministro de infraestructura en tecnología de la información (TI)"/>
    <n v="45154507"/>
    <s v="2-Implementar 100 % de la arquitectura TI conforme a las necesidades de la UAECOB"/>
    <s v="517-Implementar al 100% una estrategia de fortalecimiento de los sistemas de información para optimizar la gestión del Cuerpo Oficial de Bomberos"/>
    <s v="SI SECOP"/>
  </r>
  <r>
    <n v="2023076"/>
    <x v="2"/>
    <s v="O23011605560000007637 - Fortalecimiento de la infraestructura de tecnología informática y de comunicaciones de la UAECOB"/>
    <s v="Oficina Asesora de Planeación"/>
    <n v="43233200"/>
    <s v="Contratar el soporte y mantenimiento preventivo y correctivo con repuestos para los sistemas de video vigilancia de las estaciones de la U.A.E. Cuerpo Oficial de Bomberos de Bogotá - TIC"/>
    <d v="2023-10-05T00:00:00"/>
    <d v="2023-11-15T00:00:00"/>
    <n v="12"/>
    <s v="CCE-07 Selección abreviada subasta inversa"/>
    <x v="0"/>
    <s v="O232020200883159_Otros servicios de alojamiento y suministro de infraestructura en tecnología de la información (TI)"/>
    <n v="46221790"/>
    <s v="2-Implementar 100 % de la arquitectura TI conforme a las necesidades de la UAECOB"/>
    <s v="517-Implementar al 100% una estrategia de fortalecimiento de los sistemas de información para optimizar la gestión del Cuerpo Oficial de Bomberos"/>
    <s v="SI SECOP"/>
  </r>
  <r>
    <n v="2023077"/>
    <x v="0"/>
    <s v="O23011605560000007655 - Fortalecimiento de la Planeación y Gestión de la UAECOB Bogotá"/>
    <s v="Subdirección de Gestión Humana"/>
    <n v="80111600"/>
    <s v="SGH - Prestar servicios de apoyo en la Subdirección de Gestión Humana de la UAE Cuerpo Oficial de Bomberos en el proceso de ausentismos del personal."/>
    <d v="2023-01-01T00:00:00"/>
    <d v="2023-01-11T00:00:00"/>
    <n v="11"/>
    <s v="CCE-16 Contratación directa "/>
    <x v="0"/>
    <s v="O232020200883990_Otros servicios profesionales, técnicos y empresariales n.c.p."/>
    <n v="13248000"/>
    <s v="1-Implementar 1 plan de ajuste y sostenibilidad del MIPG en la UAECOB"/>
    <s v="516-Gestionar el 100% de un (1) plan de adecuación y sostenibilidad de los sistemas de gestión de la Unidad Administrativa Especial Cuerpo Oficial de Bomberos"/>
    <s v="SI SECOP"/>
  </r>
  <r>
    <n v="2023078"/>
    <x v="0"/>
    <s v="O23011605560000007655 - Fortalecimiento de la Planeación y Gestión de la UAECOB Bogotá"/>
    <s v="Subdirección de Gestión Humana"/>
    <n v="80111600"/>
    <s v="SGH - Prestar servicios profesionales en la Subdirección de Gestión Humana de la UAE Cuerpo Oficial de Bomberos en temas de Administración de Personal."/>
    <d v="2023-01-20T00:00:00"/>
    <d v="2023-01-30T00:00:00"/>
    <n v="10"/>
    <s v="CCE-16 Contratación directa "/>
    <x v="0"/>
    <s v="O232020200883990_Otros servicios profesionales, técnicos y empresariales n.c.p."/>
    <n v="17388000"/>
    <s v="1-Implementar 1 plan de ajuste y sostenibilidad del MIPG en la UAECOB"/>
    <s v="516-Gestionar el 100% de un (1) plan de adecuación y sostenibilidad de los sistemas de gestión de la Unidad Administrativa Especial Cuerpo Oficial de Bomberos"/>
    <s v="SI SECOP"/>
  </r>
  <r>
    <n v="2023079"/>
    <x v="0"/>
    <s v="O23011605560000007655 - Fortalecimiento de la Planeación y Gestión de la UAECOB Bogotá"/>
    <s v="Subdirección de Gestión Humana"/>
    <n v="80111600"/>
    <s v="SGH - Prestar sus servicios profesionales en el proceso de liquidación de demandas y conciliaciones administrativas para la Subdirección de Gestión Humana de la UAE Cuerpo Oficial de Bomberos."/>
    <d v="2023-03-20T00:00:00"/>
    <d v="2023-03-30T00:00:00"/>
    <n v="9"/>
    <s v="CCE-16 Contratación directa "/>
    <x v="0"/>
    <s v="O232020200883990_Otros servicios profesionales, técnicos y empresariales n.c.p."/>
    <n v="15300000"/>
    <s v="1-Implementar 1 plan de ajuste y sostenibilidad del MIPG en la UAECOB"/>
    <s v="516-Gestionar el 100% de un (1) plan de adecuación y sostenibilidad de los sistemas de gestión de la Unidad Administrativa Especial Cuerpo Oficial de Bomberos"/>
    <s v="SI SECOP"/>
  </r>
  <r>
    <n v="2023082"/>
    <x v="0"/>
    <s v="O23011605560000007655 - Fortalecimiento de la Planeación y Gestión de la UAECOB Bogotá"/>
    <s v="Subdirección de Gestión Humana"/>
    <n v="80111600"/>
    <s v="SGH - Prestar servicios profesionales en la Subdirección de Gestión Humana de la UAE Cuerpo Oficial de Bomberos en temas de liquidación de demandas y conciliaciones."/>
    <d v="2023-01-01T00:00:00"/>
    <d v="2023-01-23T00:00:00"/>
    <n v="7"/>
    <s v="CCE-16 Contratación directa "/>
    <x v="0"/>
    <s v="O232020200883990_Otros servicios profesionales, técnicos y empresariales n.c.p."/>
    <n v="15940000"/>
    <s v="1-Implementar 1 plan de ajuste y sostenibilidad del MIPG en la UAECOB"/>
    <s v="516-Gestionar el 100% de un (1) plan de adecuación y sostenibilidad de los sistemas de gestión de la Unidad Administrativa Especial Cuerpo Oficial de Bomberos"/>
    <s v="SI SECOP"/>
  </r>
  <r>
    <n v="2023085"/>
    <x v="0"/>
    <s v="O23011605560000007655 - Fortalecimiento de la Planeación y Gestión de la UAECOB Bogotá"/>
    <s v="Subdirección de Gestión Humana"/>
    <n v="80111600"/>
    <s v="SGH - Prestar sus servicios profesionales en la Subdirección de Gestión Humana en temas de desarrollo organizacional."/>
    <d v="2023-01-01T00:00:00"/>
    <d v="2023-01-23T00:00:00"/>
    <n v="10"/>
    <s v="CCE-16 Contratación directa "/>
    <x v="0"/>
    <s v="O232020200883990_Otros servicios profesionales, técnicos y empresariales n.c.p."/>
    <n v="51000000"/>
    <s v="1-Implementar 1 plan de ajuste y sostenibilidad del MIPG en la UAECOB"/>
    <s v="516-Gestionar el 100% de un (1) plan de adecuación y sostenibilidad de los sistemas de gestión de la Unidad Administrativa Especial Cuerpo Oficial de Bomberos"/>
    <s v="SI SECOP"/>
  </r>
  <r>
    <n v="2023086"/>
    <x v="0"/>
    <s v="O23011605560000007655 - Fortalecimiento de la Planeación y Gestión de la UAECOB Bogotá"/>
    <s v="Subdirección de Gestión Humana"/>
    <n v="80111600"/>
    <s v="SGH - Prestar servicios de apoyo en el sistema de gestión de seguridad y salud en el trabajo en la Subdirección de Gestión Humana de la UAE Cuerpo Oficial de Bomberos."/>
    <d v="2023-01-01T00:00:00"/>
    <d v="2023-01-23T00:00:00"/>
    <n v="11"/>
    <s v="CCE-16 Contratación directa "/>
    <x v="0"/>
    <s v="O232020200883990_Otros servicios profesionales, técnicos y empresariales n.c.p."/>
    <n v="13248000"/>
    <s v="1-Implementar 1 plan de ajuste y sostenibilidad del MIPG en la UAECOB"/>
    <s v="516-Gestionar el 100% de un (1) plan de adecuación y sostenibilidad de los sistemas de gestión de la Unidad Administrativa Especial Cuerpo Oficial de Bomberos"/>
    <s v="SI SECOP"/>
  </r>
  <r>
    <n v="2023087"/>
    <x v="0"/>
    <s v="O23011605560000007655 - Fortalecimiento de la Planeación y Gestión de la UAECOB Bogotá"/>
    <s v="Subdirección de Gestión Humana"/>
    <n v="80111600"/>
    <s v="SGH - Prestar servicios profesionales para la implementación y seguimiento del sistema de gestión de seguridad y salud en el trabajo en la Subdirección de Gestión Humana."/>
    <d v="2023-01-01T00:00:00"/>
    <d v="2023-01-23T00:00:00"/>
    <n v="10"/>
    <s v="CCE-16 Contratación directa "/>
    <x v="0"/>
    <s v="O232020200883990_Otros servicios profesionales, técnicos y empresariales n.c.p."/>
    <n v="11386000"/>
    <s v="1-Implementar 1 plan de ajuste y sostenibilidad del MIPG en la UAECOB"/>
    <s v="516-Gestionar el 100% de un (1) plan de adecuación y sostenibilidad de los sistemas de gestión de la Unidad Administrativa Especial Cuerpo Oficial de Bomberos"/>
    <s v="SI SECOP"/>
  </r>
  <r>
    <n v="2023088"/>
    <x v="0"/>
    <s v="O23011605560000007655 - Fortalecimiento de la Planeación y Gestión de la UAECOB Bogotá"/>
    <s v="Subdirección de Gestión Humana"/>
    <n v="80111600"/>
    <s v="SGH - Acompañar la simplificación de trámites de la Subdirección de Gestión Humana de la UAE Cuerpo Oficial de Bomberos de Bogotá."/>
    <d v="2023-01-01T00:00:00"/>
    <d v="2023-01-23T00:00:00"/>
    <n v="10"/>
    <s v="CCE-16 Contratación directa "/>
    <x v="0"/>
    <s v="O232020200883990_Otros servicios profesionales, técnicos y empresariales n.c.p."/>
    <n v="0"/>
    <s v="1-Implementar 1 plan de ajuste y sostenibilidad del MIPG en la UAECOB"/>
    <s v="516-Gestionar el 100% de un (1) plan de adecuación y sostenibilidad de los sistemas de gestión de la Unidad Administrativa Especial Cuerpo Oficial de Bomberos"/>
    <s v="SI SECOP"/>
  </r>
  <r>
    <n v="2023089"/>
    <x v="0"/>
    <s v="O23011605560000007655 - Fortalecimiento de la Planeación y Gestión de la UAECOB Bogotá"/>
    <s v="Subdirección de Gestión Humana"/>
    <n v="80111600"/>
    <s v="SGH - Prestar servicios profesionales en  la Subdirección de Gestión Humana de la UAE Cuerpo Oficial de Bomberos de Bogotá D.C. en lo relacionado con los procesos de administración y aplicación de los instrumentos archivísticos vigentes en el archivo de g"/>
    <d v="2023-01-01T00:00:00"/>
    <d v="2023-01-11T00:00:00"/>
    <n v="10"/>
    <s v="CCE-16 Contratación directa "/>
    <x v="0"/>
    <s v="O232020200883990_Otros servicios profesionales, técnicos y empresariales n.c.p."/>
    <n v="17388000"/>
    <s v="1-Implementar 1 plan de ajuste y sostenibilidad del MIPG en la UAECOB"/>
    <s v="516-Gestionar el 100% de un (1) plan de adecuación y sostenibilidad de los sistemas de gestión de la Unidad Administrativa Especial Cuerpo Oficial de Bomberos"/>
    <s v="SI SECOP"/>
  </r>
  <r>
    <n v="2023090"/>
    <x v="0"/>
    <s v="O23011605560000007655 - Fortalecimiento de la Planeación y Gestión de la UAECOB Bogotá"/>
    <s v="Subdirección de Gestión Humana"/>
    <n v="80111600"/>
    <s v="SGH - Ejecutar actividades de apoyo a la gestión en  la Subdirección de Gestión Humana de la UAE Cuerpo Oficial de Bomberos de Bogotá D.C. en lo relacionado con los procesos de actualización, custodia y manejo del archivo de gestión de la Subdirección._x000a_"/>
    <d v="2023-03-20T00:00:00"/>
    <d v="2023-03-30T00:00:00"/>
    <n v="9"/>
    <s v="CCE-16 Contratación directa "/>
    <x v="0"/>
    <s v="O232020200883990_Otros servicios profesionales, técnicos y empresariales n.c.p."/>
    <n v="30150000"/>
    <s v="1-Implementar 1 plan de ajuste y sostenibilidad del MIPG en la UAECOB"/>
    <s v="516-Gestionar el 100% de un (1) plan de adecuación y sostenibilidad de los sistemas de gestión de la Unidad Administrativa Especial Cuerpo Oficial de Bomberos"/>
    <s v="SI SECOP"/>
  </r>
  <r>
    <n v="2023091"/>
    <x v="0"/>
    <s v="O23011605560000007655 - Fortalecimiento de la Planeación y Gestión de la UAECOB Bogotá"/>
    <s v="Subdirección de Gestión Humana"/>
    <n v="80111600"/>
    <s v="SGH - Prestar sus servicios profesionales en los procesos de contratación y calidad de la Subdirección de Gestión Humana de la UAE Cuerpo Oficial de Bomberos de Bogotá D.C."/>
    <d v="2023-01-01T00:00:00"/>
    <d v="2023-01-11T00:00:00"/>
    <n v="9"/>
    <s v="CCE-16 Contratación directa "/>
    <x v="0"/>
    <s v="O232020200883990_Otros servicios profesionales, técnicos y empresariales n.c.p."/>
    <n v="34200000"/>
    <s v="1-Implementar 1 plan de ajuste y sostenibilidad del MIPG en la UAECOB"/>
    <s v="516-Gestionar el 100% de un (1) plan de adecuación y sostenibilidad de los sistemas de gestión de la Unidad Administrativa Especial Cuerpo Oficial de Bomberos"/>
    <s v="SI SECOP"/>
  </r>
  <r>
    <n v="2023092"/>
    <x v="0"/>
    <s v="O23011605560000007655 - Fortalecimiento de la Planeación y Gestión de la UAECOB Bogotá"/>
    <s v="Subdirección de Gestión Humana"/>
    <n v="80111600"/>
    <s v="SGH - Prestar de servicios profesionales para desarrollar actividades jurídicas en atención a los distintos requerimientos de la Subdirección de Gestión Humana."/>
    <d v="2023-01-01T00:00:00"/>
    <d v="2023-01-11T00:00:00"/>
    <n v="10"/>
    <s v="CCE-16 Contratación directa "/>
    <x v="0"/>
    <s v="O232020200883990_Otros servicios profesionales, técnicos y empresariales n.c.p."/>
    <n v="5800000"/>
    <s v="1-Implementar 1 plan de ajuste y sostenibilidad del MIPG en la UAECOB"/>
    <s v="516-Gestionar el 100% de un (1) plan de adecuación y sostenibilidad de los sistemas de gestión de la Unidad Administrativa Especial Cuerpo Oficial de Bomberos"/>
    <s v="SI SECOP"/>
  </r>
  <r>
    <n v="2023093"/>
    <x v="0"/>
    <s v="O23011605560000007655 - Fortalecimiento de la Planeación y Gestión de la UAECOB Bogotá"/>
    <s v="Subdirección de Gestión Humana"/>
    <n v="80111600"/>
    <s v="SGH - Prestar servicios de apoyo en la Subdirección de Gestión Humana de la UAE Cuerpo Oficial de Bomberos"/>
    <d v="2023-02-20T00:00:00"/>
    <d v="2023-02-28T00:00:00"/>
    <n v="10"/>
    <s v="CCE-16 Contratación directa "/>
    <x v="0"/>
    <s v="O232020200883990_Otros servicios profesionales, técnicos y empresariales n.c.p."/>
    <n v="11000000"/>
    <s v="1-Implementar 1 plan de ajuste y sostenibilidad del MIPG en la UAECOB"/>
    <s v="516-Gestionar el 100% de un (1) plan de adecuación y sostenibilidad de los sistemas de gestión de la Unidad Administrativa Especial Cuerpo Oficial de Bomberos"/>
    <s v="SI SECOP"/>
  </r>
  <r>
    <n v="2023094"/>
    <x v="0"/>
    <s v="O23011605560000007655 - Fortalecimiento de la Planeación y Gestión de la UAECOB Bogotá"/>
    <s v="Subdirección de Gestión Humana"/>
    <n v="80111600"/>
    <s v="SGH - Prestar servicios profesionales para apoyar el programa de desórdenes musculo esqueléticos de la UAE Cuerpo Oficial de Bomberos de Bogotá."/>
    <d v="2023-03-20T00:00:00"/>
    <d v="2023-03-30T00:00:00"/>
    <n v="8"/>
    <s v="CCE-16 Contratación directa "/>
    <x v="0"/>
    <s v="O232020200883990_Otros servicios profesionales, técnicos y empresariales n.c.p."/>
    <n v="30800000"/>
    <s v="1-Implementar 1 plan de ajuste y sostenibilidad del MIPG en la UAECOB"/>
    <s v="516-Gestionar el 100% de un (1) plan de adecuación y sostenibilidad de los sistemas de gestión de la Unidad Administrativa Especial Cuerpo Oficial de Bomberos"/>
    <s v="SI SECOP"/>
  </r>
  <r>
    <n v="2023095"/>
    <x v="0"/>
    <s v="O23011605560000007655 - Fortalecimiento de la Planeación y Gestión de la UAECOB Bogotá"/>
    <s v="Subdirección de Gestión Humana"/>
    <n v="80111600"/>
    <s v="SGH - Prestar servicios profesionales y de apoyo para soportar las actividades administrativas, operativas de la dependencia."/>
    <d v="2023-06-20T00:00:00"/>
    <d v="2023-06-30T00:00:00"/>
    <n v="6"/>
    <s v="CCE-16 Contratación directa "/>
    <x v="0"/>
    <s v="O232020200883990_Otros servicios profesionales, técnicos y empresariales n.c.p."/>
    <n v="335880"/>
    <s v="1-Implementar 1 plan de ajuste y sostenibilidad del MIPG en la UAECOB"/>
    <s v="516-Gestionar el 100% de un (1) plan de adecuación y sostenibilidad de los sistemas de gestión de la Unidad Administrativa Especial Cuerpo Oficial de Bomberos"/>
    <s v="SI SECOP"/>
  </r>
  <r>
    <n v="2023096"/>
    <x v="0"/>
    <s v="O23011605560000007655 - Fortalecimiento de la Planeación y Gestión de la UAECOB Bogotá"/>
    <s v="Subdirección de Gestión Humana"/>
    <n v="80111600"/>
    <s v="SGH - Prestar de servicios profesionales para desarrollar actividades jurídicas en atención a los distintos requerimientos de la Subdirección de Gestión Humana."/>
    <d v="2023-01-01T00:00:00"/>
    <d v="2023-01-23T00:00:00"/>
    <n v="8"/>
    <s v="CCE-16 Contratación directa "/>
    <x v="0"/>
    <s v="O232020200883990_Otros servicios profesionales, técnicos y empresariales n.c.p."/>
    <n v="20700000"/>
    <s v="1-Implementar 1 plan de ajuste y sostenibilidad del MIPG en la UAECOB"/>
    <s v="516-Gestionar el 100% de un (1) plan de adecuación y sostenibilidad de los sistemas de gestión de la Unidad Administrativa Especial Cuerpo Oficial de Bomberos"/>
    <s v="SI SECOP"/>
  </r>
  <r>
    <n v="2023097"/>
    <x v="0"/>
    <s v="O23011605560000007655 - Fortalecimiento de la Planeación y Gestión de la UAECOB Bogotá"/>
    <s v="Subdirección de Gestión Humana"/>
    <n v="80111600"/>
    <s v="SGH - Prestar servicios profesionales para la implementación y seguimiento del sistema de gestión de seguridad y salud en el trabajo en la Subdirección de Gestión Humana"/>
    <d v="2023-01-15T00:00:00"/>
    <d v="2023-02-06T00:00:00"/>
    <n v="10"/>
    <s v="CCE-16 Contratación directa "/>
    <x v="0"/>
    <s v="O232020200883990_Otros servicios profesionales, técnicos y empresariales n.c.p."/>
    <n v="22800000"/>
    <s v="1-Implementar 1 plan de ajuste y sostenibilidad del MIPG en la UAECOB"/>
    <s v="516-Gestionar el 100% de un (1) plan de adecuación y sostenibilidad de los sistemas de gestión de la Unidad Administrativa Especial Cuerpo Oficial de Bomberos"/>
    <s v="SI SECOP"/>
  </r>
  <r>
    <n v="2023098"/>
    <x v="3"/>
    <s v="O23011602300000007658 - Fortalecimiento del Cuerpo Oficial de Bomberos Bogotá"/>
    <s v="Subdirección de Gestión Humana"/>
    <n v="80111600"/>
    <s v="SGH - Prestar servicios profesionales para apoyar el programa de vigilancia epidemiológico al riesgo psicosocial y actividades de seguridad y salud en el trabajo en la Subdirección de Gestión Humana."/>
    <d v="2023-01-20T00:00:00"/>
    <d v="2023-01-30T00:00:00"/>
    <n v="10"/>
    <s v="CCE-16 Contratación directa "/>
    <x v="0"/>
    <s v="O232020200883990_Otros servicios profesionales, técnicos y empresariales n.c.p."/>
    <n v="207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00"/>
    <x v="3"/>
    <s v="O23011602300000007658 - Fortalecimiento del Cuerpo Oficial de Bomberos Bogotá"/>
    <s v="Subdirección de Gestión Humana"/>
    <n v="80111600"/>
    <s v="SGH - Prestar de servicios profesionales para desarrollar actividades jurídicas en atención a los distintos requerimientos de la Subdirección de Gestión Humana."/>
    <d v="2023-01-20T00:00:00"/>
    <d v="2023-01-30T00:00:00"/>
    <n v="9"/>
    <s v="CCE-16 Contratación directa "/>
    <x v="0"/>
    <s v="O232020200883990_Otros servicios profesionales, técnicos y empresariales n.c.p."/>
    <n v="46575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01"/>
    <x v="3"/>
    <s v="O23011602300000007658 - Fortalecimiento del Cuerpo Oficial de Bomberos Bogotá"/>
    <s v="Subdirección de Gestión Humana"/>
    <n v="80111600"/>
    <s v="SGH - Prestar servicios profesionales en el desarrollo de las actividades y de los diferentes procesos que tiene a cargo la Subdirección de Gestión Humana de la UAE Cuerpo Oficial de Bomberos de Bogotá."/>
    <d v="2023-01-20T00:00:00"/>
    <d v="2023-01-30T00:00:00"/>
    <n v="10"/>
    <s v="CCE-16 Contratación directa "/>
    <x v="0"/>
    <s v="O232020200883990_Otros servicios profesionales, técnicos y empresariales n.c.p."/>
    <n v="7276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03"/>
    <x v="3"/>
    <s v="O23011602300000007658 - Fortalecimiento del Cuerpo Oficial de Bomberos Bogotá"/>
    <s v="Subdirección de Gestión Humana"/>
    <n v="80111600"/>
    <s v="SGH - Prestar servicios de apoyo a la gestión en la Subdirección de Gestión Humana en las diferentes actividades logísticas relacionadas con  el proceso de Academia."/>
    <d v="2023-01-01T00:00:00"/>
    <d v="2023-01-23T00:00:00"/>
    <n v="10"/>
    <s v="CCE-16 Contratación directa "/>
    <x v="0"/>
    <s v="O232020200883990_Otros servicios profesionales, técnicos y empresariales n.c.p."/>
    <n v="98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05"/>
    <x v="3"/>
    <s v="O23011602300000007658 - Fortalecimiento del Cuerpo Oficial de Bomberos Bogotá"/>
    <s v="Subdirección de Gestión Humana"/>
    <n v="80111600"/>
    <s v="SGH - SGH - Prestar servicios profesionales en la Subdirección de Gestión Humana, para el fortalecimiento trasversal del proceso de Academia."/>
    <d v="2023-01-01T00:00:00"/>
    <d v="2023-01-23T00:00:00"/>
    <n v="10"/>
    <s v="CCE-16 Contratación directa "/>
    <x v="0"/>
    <s v="O232020200883990_Otros servicios profesionales, técnicos y empresariales n.c.p."/>
    <n v="4347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06"/>
    <x v="3"/>
    <s v="O23011602300000007658 - Fortalecimiento del Cuerpo Oficial de Bomberos Bogotá"/>
    <s v="Subdirección de Gestión Humana"/>
    <n v="80111600"/>
    <s v="SGH - Prestar de servicios profesionales para desarrollar actividades jurídicas relacionadas con la academia bomberil, recobro de incapacidades y procesos administrativos de la Subdirección de Gestión Humana."/>
    <d v="2023-02-01T00:00:00"/>
    <d v="2023-02-15T00:00:00"/>
    <n v="10"/>
    <s v="CCE-16 Contratación directa "/>
    <x v="0"/>
    <s v="O232020200883990_Otros servicios profesionales, técnicos y empresariales n.c.p."/>
    <n v="207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09"/>
    <x v="3"/>
    <s v="O23011602300000007658 - Fortalecimiento del Cuerpo Oficial de Bomberos Bogotá"/>
    <s v="Subdirección de Gestión Humana"/>
    <n v="80111600"/>
    <s v="SGH - Prestar servicios para soportar las actividades de la dependencia."/>
    <d v="2023-06-20T00:00:00"/>
    <d v="2023-06-30T00:00:00"/>
    <n v="6"/>
    <s v="CCE-16 Contratación directa "/>
    <x v="0"/>
    <s v="O232020200883990_Otros servicios profesionales, técnicos y empresariales n.c.p."/>
    <n v="15784787"/>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10"/>
    <x v="3"/>
    <s v="O23011602300000007658 - Fortalecimiento del Cuerpo Oficial de Bomberos Bogotá"/>
    <s v="Subdirección de Gestión Humana"/>
    <n v="80111600"/>
    <s v="SGH - Prestar servicios profesionales para la implementación y seguimiento del sistema de gestión de seguridad y salud en el trabajo en la Subdirección de Gestión Humana."/>
    <d v="2023-01-15T00:00:00"/>
    <d v="2023-02-06T00:00:00"/>
    <n v="10"/>
    <s v="CCE-16 Contratación directa "/>
    <x v="0"/>
    <s v="O232020200883990_Otros servicios profesionales, técnicos y empresariales n.c.p."/>
    <n v="22772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12"/>
    <x v="3"/>
    <s v="O23011602300000007658 - Fortalecimiento del Cuerpo Oficial de Bomberos Bogotá"/>
    <s v="Subdirección de Gestión Humana"/>
    <n v="80111600"/>
    <s v="SGH - Prestar de servicios profesionales para desarrollar actividades jurídicas relacionadas con el recobro de incapacidades y procesos administrativos de la Subdirección de Gestión Humana"/>
    <d v="2023-01-15T00:00:00"/>
    <d v="2023-02-06T00:00:00"/>
    <n v="10"/>
    <s v="CCE-16 Contratación directa "/>
    <x v="0"/>
    <s v="O232020200883990_Otros servicios profesionales, técnicos y empresariales n.c.p."/>
    <n v="420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13"/>
    <x v="3"/>
    <s v="O23011602300000007658 - Fortalecimiento del Cuerpo Oficial de Bomberos Bogotá"/>
    <s v="Subdirección de Gestión Humana"/>
    <n v="80111600"/>
    <s v="SGH - Prestar de servicios profesionales para desarrollar actividades jurídicas relacionados con los procesos contractuales a cargo de la Subdirección de Gestión Humana."/>
    <d v="2023-02-15T00:00:00"/>
    <d v="2023-03-01T00:00:00"/>
    <n v="3"/>
    <s v="CCE-16 Contratación directa "/>
    <x v="0"/>
    <s v="O232020200883990_Otros servicios profesionales, técnicos y empresariales n.c.p."/>
    <n v="15525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14"/>
    <x v="3"/>
    <s v="O23011602300000007658 - Fortalecimiento del Cuerpo Oficial de Bomberos Bogotá"/>
    <s v="Subdirección de Gestión Humana"/>
    <s v="86101600; 86101700; 86101800; 86111600; 86141500; 86121800"/>
    <s v="SGH - Prestar los servicios de capacitación, formación y entrenamiento en cursos especializados, para el personal de la Unidad Administrativa Especial Cuerpo Oficial de Bomberos"/>
    <d v="2023-09-15T00:00:00"/>
    <d v="2023-10-30T00:00:00"/>
    <n v="7"/>
    <s v="CCE-06 Selección abreviada menor cuantía"/>
    <x v="0"/>
    <s v="O232020200883990_Otros servicios profesionales, técnicos y empresariales n.c.p."/>
    <n v="117657825"/>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15"/>
    <x v="3"/>
    <s v="O23011602300000007658 - Fortalecimiento del Cuerpo Oficial de Bomberos Bogotá"/>
    <s v="Subdirección de Gestión Humana"/>
    <n v="90121800"/>
    <s v="SGH - Garantizar los recursos para viáticos y tiquetes del personal"/>
    <d v="2023-01-01T00:00:00"/>
    <d v="2023-01-31T00:00:00"/>
    <n v="11"/>
    <s v="CCE-16 Contratación directa "/>
    <x v="0"/>
    <s v="O232020200883990_Otros servicios profesionales, técnicos y empresariales n.c.p."/>
    <n v="942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16"/>
    <x v="3"/>
    <s v="O23011602300000007658 - Fortalecimiento del Cuerpo Oficial de Bomberos Bogotá"/>
    <s v="Subdirección de Gestión Humana"/>
    <n v="90121800"/>
    <s v="SGH - Garantizar los Recursos para movilización del Personal para emergencias"/>
    <d v="2023-01-01T00:00:00"/>
    <d v="2023-01-31T00:00:00"/>
    <n v="11"/>
    <s v="CCE-16 Contratación directa "/>
    <x v="0"/>
    <s v="O232020200883990_Otros servicios profesionales, técnicos y empresariales n.c.p."/>
    <n v="300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117"/>
    <x v="3"/>
    <s v="O23011602300000007658 - Fortalecimiento del Cuerpo Oficial de Bomberos Bogotá"/>
    <s v="Subdirección Operativa"/>
    <s v="25101700;_x000a_25101900;_x000a_92101601;_x000a_92101603;_x000a_92101604"/>
    <s v="Adquisición de vehículos operativos  para la UAECOB. _x000a_(VIGENCIAS FUTURAS)"/>
    <d v="2023-01-20T00:00:00"/>
    <d v="2023-02-20T00:00:00"/>
    <n v="12"/>
    <s v="CCE-02 Licitación pública"/>
    <x v="1"/>
    <s v="O23201010030208 Otra maquinaria para usos especiales y sus partes y piezas"/>
    <n v="6503138098"/>
    <s v="7-Implementar 100% de un programa de renovación de vehículos de la Unidad Administrativa Cuerpo Oficial de Bomberos de Bogotá"/>
    <s v="224-Implementar al 100% un programa de formación, modernización y sostenibilidad de la Unidad Administrativa Especial Cuerpo Oficial de Bomberos - UAECOB, para la respuesta efectiva en la atención de emergencias y desastres"/>
    <s v="SI SECOP"/>
  </r>
  <r>
    <n v="2023118"/>
    <x v="3"/>
    <s v="O23011602300000007658 - Fortalecimiento del Cuerpo Oficial de Bomberos Bogotá"/>
    <s v="Subdirección Operativa"/>
    <s v="46181500;46181600;46181700;46181800;46181900"/>
    <s v="Adquisición de elementos de protección personal (E.P.P.) para la atención de emergencias. - Subdirección Operativa"/>
    <d v="2023-03-01T00:00:00"/>
    <d v="2023-04-01T00:00:00"/>
    <n v="5"/>
    <s v="CCE-06 Selección abreviada menor cuantía"/>
    <x v="0"/>
    <s v="O23201010030208 Otra maquinaria para usos especiales y sus partes y piezas"/>
    <n v="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19"/>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0"/>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1"/>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2"/>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3"/>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4"/>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5"/>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6"/>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7"/>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189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8"/>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2-01T00:00:00"/>
    <n v="11"/>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29"/>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3-01T00:00:00"/>
    <n v="10"/>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0"/>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3-01T00:00:00"/>
    <n v="10"/>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1"/>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 SO"/>
    <d v="2023-01-15T00:00:00"/>
    <d v="2023-03-01T00:00:00"/>
    <n v="10"/>
    <s v="CCE-16 Contratación directa "/>
    <x v="0"/>
    <s v="O232020200883990_Otros servicios profesionales, técnicos y empresariales n.c.p."/>
    <n v="168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2"/>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3-01T00:00:00"/>
    <n v="10"/>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3"/>
    <x v="3"/>
    <s v="O23011602300000007658 - Fortalecimiento del Cuerpo Oficial de Bomberos Bogotá"/>
    <s v="Subdirección Operativa"/>
    <n v="80111600"/>
    <s v="Prestación de servicios de apoyo a la gestión de carácter administrativo y documental para la atención de requerimientos y solicitudes y realización de trámites relacionados con los procesos y procedimientos a cargo de la Subdirección Operativa - SO"/>
    <d v="2023-03-15T00:00:00"/>
    <d v="2023-04-01T00:00:00"/>
    <n v="10"/>
    <s v="CCE-16 Contratación directa "/>
    <x v="0"/>
    <s v="O232020200883990_Otros servicios profesionales, técnicos y empresariales n.c.p."/>
    <n v="285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4"/>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3-01T00:00:00"/>
    <n v="10"/>
    <s v="CCE-16 Contratación directa "/>
    <x v="0"/>
    <s v="O232020200883990_Otros servicios profesionales, técnicos y empresariales n.c.p."/>
    <n v="21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5"/>
    <x v="3"/>
    <s v="O23011602300000007658 - Fortalecimiento del Cuerpo Oficial de Bomberos Bogotá"/>
    <s v="Subdirección Operativa"/>
    <n v="80111600"/>
    <s v="Prestación de servicios de apoyo a la gestión para el desarrollo de las actividades administrativas que requieran ejecutarse en las estaciones de la UAE Cuerpo Oficial de Bomberos de Bogotá SO"/>
    <d v="2023-01-15T00:00:00"/>
    <d v="2023-03-15T00:00:00"/>
    <n v="9"/>
    <s v="CCE-16 Contratación directa "/>
    <x v="0"/>
    <s v="O232020200883990_Otros servicios profesionales, técnicos y empresariales n.c.p."/>
    <n v="189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6"/>
    <x v="3"/>
    <s v="O23011602300000007658 - Fortalecimiento del Cuerpo Oficial de Bomberos Bogotá"/>
    <s v="Subdirección Operativa"/>
    <n v="80111600"/>
    <s v="Prestar por sus propios medios con autonomía técnica y administrativa sus servicios profesionales para apoyar a la Subdirección Operativa en la proyección de solicitudes dirigidas a autoridades administrativas y en la proyección de respuestas a PQR´S, en "/>
    <d v="2023-02-15T00:00:00"/>
    <d v="2023-03-01T00:00:00"/>
    <n v="10"/>
    <s v="CCE-16 Contratación directa "/>
    <x v="0"/>
    <s v="O232020200883990_Otros servicios profesionales, técnicos y empresariales n.c.p."/>
    <n v="40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7"/>
    <x v="3"/>
    <s v="O23011602300000007658 - Fortalecimiento del Cuerpo Oficial de Bomberos Bogotá"/>
    <s v="Subdirección Operativa"/>
    <n v="80111600"/>
    <s v="Prestación de servicios de apoyo a la gestión de carácter asistencial, administrativo y documental para la atención de requerimientos, solicitudes y tramites de la Subdirección Operativa SO"/>
    <d v="2023-02-15T00:00:00"/>
    <d v="2023-03-01T00:00:00"/>
    <n v="10"/>
    <s v="CCE-16 Contratación directa "/>
    <x v="0"/>
    <s v="O232020200883990_Otros servicios profesionales, técnicos y empresariales n.c.p."/>
    <n v="335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8"/>
    <x v="3"/>
    <s v="O23011602300000007658 - Fortalecimiento del Cuerpo Oficial de Bomberos Bogotá"/>
    <s v="Subdirección Operativa"/>
    <n v="80111600"/>
    <s v="Prestación de servicios profesionales para la elaboración, diagramación, orto tipografía y estilos de textos e informes referentes a los procesos a cargo de la Subdirección Operativa - SO"/>
    <d v="2023-01-15T00:00:00"/>
    <d v="2023-02-01T00:00:00"/>
    <n v="11"/>
    <s v="CCE-16 Contratación directa "/>
    <x v="0"/>
    <s v="O232020200883990_Otros servicios profesionales, técnicos y empresariales n.c.p."/>
    <n v="323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39"/>
    <x v="3"/>
    <s v="O23011602300000007658 - Fortalecimiento del Cuerpo Oficial de Bomberos Bogotá"/>
    <s v="Subdirección Operativa"/>
    <n v="80111600"/>
    <s v="Prestación de servicios profesionales con plena autonomía técnica y administrativa  para apoyar en el seguimiento, control y alimentación de los sistemas de información y demás requerimientos que sean propios de la gestión de la subdirección Operativa de "/>
    <d v="2023-01-15T00:00:00"/>
    <d v="2023-02-01T00:00:00"/>
    <n v="11"/>
    <s v="CCE-16 Contratación directa "/>
    <x v="0"/>
    <s v="O232020200883990_Otros servicios profesionales, técnicos y empresariales n.c.p."/>
    <n v="45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0"/>
    <x v="3"/>
    <s v="O23011602300000007658 - Fortalecimiento del Cuerpo Oficial de Bomberos Bogotá"/>
    <s v="Subdirección Operativa"/>
    <n v="80111600"/>
    <s v="Prestación de servicios de apoyo a la gestión para ejecutar las actividades que dan  soporte al proceso de comunicaciones en emergencias, del Centro de Coordinación y Comunicaciones (C.C.C.) a cargo de la Subdirección Operativa. SO"/>
    <d v="2023-01-15T00:00:00"/>
    <d v="2023-02-01T00:00:00"/>
    <n v="11"/>
    <s v="CCE-16 Contratación directa "/>
    <x v="0"/>
    <s v="O232020200883990_Otros servicios profesionales, técnicos y empresariales n.c.p."/>
    <n v="245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1"/>
    <x v="3"/>
    <s v="O23011602300000007658 - Fortalecimiento del Cuerpo Oficial de Bomberos Bogotá"/>
    <s v="Subdirección Operativa"/>
    <n v="80111600"/>
    <s v="Prestación de servicios de apoyo a la gestión para ejecutar las actividades que dan  soporte al proceso de comunicaciones en emergencias, del Centro de Coordinación y Comunicaciones (C.C.C.) a cargo de la Subdirección Operativa. SO"/>
    <d v="2023-01-15T00:00:00"/>
    <d v="2023-02-01T00:00:00"/>
    <n v="11"/>
    <s v="CCE-16 Contratación directa "/>
    <x v="0"/>
    <s v="O232020200883990_Otros servicios profesionales, técnicos y empresariales n.c.p."/>
    <n v="245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2"/>
    <x v="3"/>
    <s v="O23011602300000007658 - Fortalecimiento del Cuerpo Oficial de Bomberos Bogotá"/>
    <s v="Subdirección Operativa"/>
    <n v="80111600"/>
    <s v="Prestación de servicios de apoyo a la gestión para ejecutar las actividades que dan  soporte al proceso de comunicaciones en emergencias, del Centro de Coordinación y Comunicaciones (C.C.C.) a cargo de la Subdirección Operativa. SO"/>
    <d v="2023-01-15T00:00:00"/>
    <d v="2023-02-01T00:00:00"/>
    <n v="11"/>
    <s v="CCE-16 Contratación directa "/>
    <x v="0"/>
    <s v="O232020200883990_Otros servicios profesionales, técnicos y empresariales n.c.p."/>
    <n v="245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3"/>
    <x v="3"/>
    <s v="O23011602300000007658 - Fortalecimiento del Cuerpo Oficial de Bomberos Bogotá"/>
    <s v="Subdirección Operativa"/>
    <n v="80111600"/>
    <s v="Prestación de servicios de apoyo a la gestión para ejecutar las actividades que dan  soporte al proceso de comunicaciones en emergencias, del Centro de Coordinación y Comunicaciones (C.C.C.) a cargo de la Subdirección Operativa. SO"/>
    <d v="2023-01-15T00:00:00"/>
    <d v="2023-02-01T00:00:00"/>
    <n v="11"/>
    <s v="CCE-16 Contratación directa "/>
    <x v="0"/>
    <s v="O232020200883990_Otros servicios profesionales, técnicos y empresariales n.c.p."/>
    <n v="245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4"/>
    <x v="3"/>
    <s v="O23011602300000007658 - Fortalecimiento del Cuerpo Oficial de Bomberos Bogotá"/>
    <s v="Subdirección Operativa"/>
    <n v="80111600"/>
    <s v="Prestación de servicios de apoyo a la gestión para ejecutar las actividades que dan  soporte al proceso de comunicaciones en emergencias, del Centro de Coordinación y Comunicaciones (C.C.C.) a cargo de la Subdirección Operativa. SO"/>
    <d v="2023-01-15T00:00:00"/>
    <d v="2023-02-01T00:00:00"/>
    <n v="11"/>
    <s v="CCE-16 Contratación directa "/>
    <x v="0"/>
    <s v="O232020200883990_Otros servicios profesionales, técnicos y empresariales n.c.p."/>
    <n v="2695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5"/>
    <x v="3"/>
    <s v="O23011602300000007658 - Fortalecimiento del Cuerpo Oficial de Bomberos Bogotá"/>
    <s v="Subdirección Operativa"/>
    <n v="80111600"/>
    <s v="Prestación de servicios profesionales con plena autonomía técnica y administrativa para acompañar a la Subdirección Operativa, en la estructuración, sustanciación, revisión y trámite de los actos administrativos y demás documentos a emitir por la dependen"/>
    <d v="2023-02-15T00:00:00"/>
    <d v="2023-03-15T00:00:00"/>
    <n v="9"/>
    <s v="CCE-16 Contratación directa "/>
    <x v="0"/>
    <s v="O232020200883990_Otros servicios profesionales, técnicos y empresariales n.c.p."/>
    <n v="5214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6"/>
    <x v="3"/>
    <s v="O23011602300000007658 - Fortalecimiento del Cuerpo Oficial de Bomberos Bogotá"/>
    <s v="Subdirección Operativa"/>
    <n v="80111600"/>
    <s v="Prestación de servicios profesionales para apoyar a la Subdirección Operativa , en el diligenciamiento y  seguimiento de las herramientas de gestión de los procedimientos a cargo de esta subdirección, así como la gestión , control  trámite y seguimiento d"/>
    <d v="2023-01-15T00:00:00"/>
    <d v="2023-02-01T00:00:00"/>
    <n v="11"/>
    <s v="CCE-16 Contratación directa "/>
    <x v="0"/>
    <s v="O232020200883990_Otros servicios profesionales, técnicos y empresariales n.c.p."/>
    <n v="4275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7"/>
    <x v="3"/>
    <s v="O23011602300000007658 - Fortalecimiento del Cuerpo Oficial de Bomberos Bogotá"/>
    <s v="Subdirección Operativa"/>
    <n v="80111600"/>
    <s v="Prestación de servicios profesionales para apoyar a la Subdirección Operativa en la elaboración, diseño y diagramación de piezas requeridas para los planes, programas, proyectos y procedimientos SO"/>
    <d v="2023-01-15T00:00:00"/>
    <d v="2023-02-01T00:00:00"/>
    <n v="11"/>
    <s v="CCE-16 Contratación directa "/>
    <x v="0"/>
    <s v="O232020200883990_Otros servicios profesionales, técnicos y empresariales n.c.p."/>
    <n v="45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8"/>
    <x v="3"/>
    <s v="O23011602300000007658 - Fortalecimiento del Cuerpo Oficial de Bomberos Bogotá"/>
    <s v="Subdirección Operativa"/>
    <n v="80111600"/>
    <s v="Prestación de servicios profesionales a la Subdirección Operativa de la UAE Cuerpo Oficial de Bomberos de Bogotá para generar información de valor e instrumentos de seguimiento a partir de los datos asociados a la ejecución y seguimiento de los procesos, "/>
    <d v="2023-01-15T00:00:00"/>
    <d v="2023-02-01T00:00:00"/>
    <n v="11"/>
    <s v="CCE-16 Contratación directa "/>
    <x v="0"/>
    <s v="O232020200883990_Otros servicios profesionales, técnicos y empresariales n.c.p."/>
    <n v="90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49"/>
    <x v="3"/>
    <s v="O23011602300000007658 - Fortalecimiento del Cuerpo Oficial de Bomberos Bogotá"/>
    <s v="Subdirección Operativa"/>
    <n v="80111600"/>
    <s v="Prestación de servicios profesionales para ejecutar el componente de información geográfica, georreferenciación y generación de alertas a través de las herramientas, medios o sistemas de información disponibles, para la Subdirección Operativa._x000a_"/>
    <d v="2023-01-15T00:00:00"/>
    <d v="2023-02-01T00:00:00"/>
    <n v="11"/>
    <s v="CCE-16 Contratación directa "/>
    <x v="0"/>
    <s v="O232020200883990_Otros servicios profesionales, técnicos y empresariales n.c.p."/>
    <n v="55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0"/>
    <x v="3"/>
    <s v="O23011602300000007658 - Fortalecimiento del Cuerpo Oficial de Bomberos Bogotá"/>
    <s v="Subdirección Operativa"/>
    <n v="80111600"/>
    <s v="Prestación de servicios profesionales para ejecutar las actividades relacionadas con la disponibilidad y las novedades del personal uniformado, sirviendo de enlace entre la S.G.H. y  la Subdirección Operativa."/>
    <d v="2023-01-15T00:00:00"/>
    <d v="2023-02-01T00:00:00"/>
    <n v="11"/>
    <s v="CCE-16 Contratación directa "/>
    <x v="0"/>
    <s v="O232020200883990_Otros servicios profesionales, técnicos y empresariales n.c.p."/>
    <n v="45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1"/>
    <x v="3"/>
    <s v="O23011602300000007658 - Fortalecimiento del Cuerpo Oficial de Bomberos Bogotá"/>
    <s v="Subdirección Operativa"/>
    <n v="80111600"/>
    <s v="Prestación de servicios profesionales para ejecutar las actividades de seguimiento, consolidación y reporte de las actividades relacionadas con el plan de fortalecimiento operativo de la Subdirección Operativa."/>
    <d v="2023-01-15T00:00:00"/>
    <d v="2023-02-01T00:00:00"/>
    <n v="11"/>
    <s v="CCE-16 Contratación directa "/>
    <x v="0"/>
    <s v="O232020200883990_Otros servicios profesionales, técnicos y empresariales n.c.p."/>
    <n v="55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2"/>
    <x v="3"/>
    <s v="O23011602300000007658 - Fortalecimiento del Cuerpo Oficial de Bomberos Bogotá"/>
    <s v="Subdirección Operativa"/>
    <n v="80111600"/>
    <s v="Prestar servicios profesionales con plena autonomía técnica y administrativa para acompañar a la subdirección Operativa en la planeación, trámite y seguimiento de los aspectos presupuestales y financieros que disponga la dependencia, afianzando el cumplim"/>
    <d v="2023-01-15T00:00:00"/>
    <d v="2023-02-01T00:00:00"/>
    <n v="10"/>
    <s v="CCE-16 Contratación directa "/>
    <x v="0"/>
    <s v="O232020200883990_Otros servicios profesionales, técnicos y empresariales n.c.p."/>
    <n v="715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3"/>
    <x v="3"/>
    <s v="O23011602300000007658 - Fortalecimiento del Cuerpo Oficial de Bomberos Bogotá"/>
    <s v="Subdirección Operativa"/>
    <n v="80111600"/>
    <s v="Prestar por sus propios medios, con autonomía técnica y administrativa sus servicios profesionales para brindar acompañamiento jurídico a la Subdirección Operativa, en la proyección de solicitudes dirigidas a autoridades administrativas, en la sustanciaci"/>
    <d v="2023-01-15T00:00:00"/>
    <d v="2023-02-01T00:00:00"/>
    <n v="11"/>
    <s v="CCE-16 Contratación directa "/>
    <x v="0"/>
    <s v="O232020200883990_Otros servicios profesionales, técnicos y empresariales n.c.p."/>
    <n v="475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4"/>
    <x v="3"/>
    <s v="O23011602300000007658 - Fortalecimiento del Cuerpo Oficial de Bomberos Bogotá"/>
    <s v="Subdirección Operativa"/>
    <n v="80111600"/>
    <s v="Prestación de servicios profesionales para apoyar las actividades concernientes al desarrollo de las condiciones básicas de bienestar tanto de los animales rescatados como las relacionadas con caninos del programa BRAE de la Subdirección Operativa."/>
    <d v="2023-02-15T00:00:00"/>
    <d v="2023-03-01T00:00:00"/>
    <n v="10"/>
    <s v="CCE-16 Contratación directa "/>
    <x v="0"/>
    <s v="O232020200883990_Otros servicios profesionales, técnicos y empresariales n.c.p."/>
    <n v="45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5"/>
    <x v="3"/>
    <s v="O23011602300000007658 - Fortalecimiento del Cuerpo Oficial de Bomberos Bogotá"/>
    <s v="Subdirección Operativa"/>
    <n v="80111600"/>
    <s v="Prestación de servicios profesionales para apoyar las actividades concernientes al desarrollo de las condiciones básicas de bienestar tanto de los animales rescatados como las relacionadas con caninos del programa BRAE de la Subdirección Operativa."/>
    <d v="2023-02-15T00:00:00"/>
    <d v="2023-03-01T00:00:00"/>
    <n v="10"/>
    <s v="CCE-16 Contratación directa "/>
    <x v="0"/>
    <s v="O232020200883990_Otros servicios profesionales, técnicos y empresariales n.c.p."/>
    <n v="45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6"/>
    <x v="3"/>
    <s v="O23011602300000007658 - Fortalecimiento del Cuerpo Oficial de Bomberos Bogotá"/>
    <s v="Subdirección Operativa"/>
    <n v="80111600"/>
    <s v="Prestación de servicios profesionales para ejecutar las actividades del componente de bienestar y aprovechamiento del programa BRAE de la Subdirección Operativa."/>
    <d v="2023-02-15T00:00:00"/>
    <d v="2023-03-01T00:00:00"/>
    <n v="9"/>
    <s v="CCE-16 Contratación directa "/>
    <x v="0"/>
    <s v="O232020200883990_Otros servicios profesionales, técnicos y empresariales n.c.p."/>
    <n v="459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7"/>
    <x v="3"/>
    <s v="O23011602300000007658 - Fortalecimiento del Cuerpo Oficial de Bomberos Bogotá"/>
    <s v="Subdirección Operativa"/>
    <n v="80111600"/>
    <s v="Prestación de servicios profesionales con plena autonomía técnica y administrativa  para acompañar a la Subdirección Operativa, en el diseño, implementación, reporte y monitoreo de los diferentes procesos, procedimientos y funciones a cargo de la dependen"/>
    <d v="2023-01-15T00:00:00"/>
    <d v="2023-02-01T00:00:00"/>
    <n v="11"/>
    <s v="CCE-16 Contratación directa "/>
    <x v="0"/>
    <s v="O232020200883990_Otros servicios profesionales, técnicos y empresariales n.c.p."/>
    <n v="6175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8"/>
    <x v="3"/>
    <s v="O23011602300000007658 - Fortalecimiento del Cuerpo Oficial de Bomberos Bogotá"/>
    <s v="Subdirección Operativa"/>
    <n v="80111600"/>
    <s v="Prestación de servicios profesionales para la consolidación, seguimiento y control de los  reporte de los planes, proyectos y programas de inversión e indicadores a cargo de la Subdirección Operativa. SO"/>
    <d v="2023-01-15T00:00:00"/>
    <d v="2023-02-01T00:00:00"/>
    <n v="11"/>
    <s v="CCE-16 Contratación directa "/>
    <x v="0"/>
    <s v="O232020200883990_Otros servicios profesionales, técnicos y empresariales n.c.p."/>
    <n v="78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59"/>
    <x v="3"/>
    <s v="O23011602300000007658 - Fortalecimiento del Cuerpo Oficial de Bomberos Bogotá"/>
    <s v="Subdirección Operativa"/>
    <n v="80111600"/>
    <s v="Prestación de servicios profesionales con plena autonomía técnica y administrativa  para acompañar a la Subdirección Operativa, en el diseño, implementación, reporte y monitoreo de los diferentes procesos, procedimientos y funciones a cargo de la dependen"/>
    <d v="2023-01-15T00:00:00"/>
    <d v="2023-02-01T00:00:00"/>
    <n v="11"/>
    <s v="CCE-16 Contratación directa "/>
    <x v="0"/>
    <s v="O232020200883990_Otros servicios profesionales, técnicos y empresariales n.c.p."/>
    <n v="99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60"/>
    <x v="3"/>
    <s v="O23011602300000007658 - Fortalecimiento del Cuerpo Oficial de Bomberos Bogotá"/>
    <s v="Subdirección Operativa"/>
    <n v="80111600"/>
    <s v="Prestación de servicios profesionales para apoyar a la Subdirección Operativa, en la consolidación, seguimiento y reporte de las actividades del plan de mejora y mapa de riesgos relacionados con los procesos y procedimientos misionales de la dependencia. "/>
    <d v="2023-01-15T00:00:00"/>
    <d v="2023-02-01T00:00:00"/>
    <n v="11"/>
    <s v="CCE-16 Contratación directa "/>
    <x v="0"/>
    <s v="O232020200883990_Otros servicios profesionales, técnicos y empresariales n.c.p."/>
    <n v="68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61"/>
    <x v="3"/>
    <s v="O23011602300000007658 - Fortalecimiento del Cuerpo Oficial de Bomberos Bogotá"/>
    <s v="Subdirección Operativa"/>
    <n v="80111600"/>
    <s v="Prestación de servicios profesionales con plena autonomía técnica y administrativa para acompañar a la Subdirección Operativa, en la estructuración y definición de aspectos jurídicos en las etapas precontractuales, contractuales y postcontractuales  en el"/>
    <d v="2023-01-15T00:00:00"/>
    <d v="2023-02-01T00:00:00"/>
    <n v="10"/>
    <s v="CCE-16 Contratación directa "/>
    <x v="0"/>
    <s v="O232020200883990_Otros servicios profesionales, técnicos y empresariales n.c.p."/>
    <n v="913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62"/>
    <x v="3"/>
    <s v="O23011602300000007658 - Fortalecimiento del Cuerpo Oficial de Bomberos Bogotá"/>
    <s v="Subdirección Operativa"/>
    <n v="80111600"/>
    <s v="Prestación de servicios profesionales especializados  con plena autonomía técnica y administrativa para acompañar jurídicamente  a la Subdirección Operativa en la a estructuración, revisión, seguimiento y verificación de los procesos contractuales en las "/>
    <d v="2023-01-15T00:00:00"/>
    <d v="2023-02-01T00:00:00"/>
    <n v="9"/>
    <s v="CCE-16 Contratación directa "/>
    <x v="0"/>
    <s v="O232020200883990_Otros servicios profesionales, técnicos y empresariales n.c.p."/>
    <n v="99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163"/>
    <x v="0"/>
    <s v="O23011605560000007655 - Fortalecimiento de la Planeación y Gestión de la UAECOB Bogotá"/>
    <s v="Oficina de Control Interno"/>
    <n v="80111600"/>
    <s v="Prestar servicios de apoyo a la gestión como técnico   en la Oficina de Control Interno para ejecutar procesos y procedimientos administrativos y asistenciales teniendo en cuenta el Plan Anual de Auditorías."/>
    <d v="2023-01-01T00:00:00"/>
    <d v="2023-01-18T00:00:00"/>
    <n v="12"/>
    <s v="CCE-16 Contratación directa "/>
    <x v="0"/>
    <s v="O232020200883990_Otros servicios profesionales, técnicos y empresariales n.c.p."/>
    <n v="26317624"/>
    <s v="1-Implementar 1 plan de ajuste y sostenibilidad del MIPG en la UAECOB"/>
    <s v="516-Gestionar el 100% de un (1) plan de adecuación y sostenibilidad de los sistemas de gestión de la Unidad Administrativa Especial Cuerpo Oficial de Bomberos"/>
    <s v="SI SECOP"/>
  </r>
  <r>
    <n v="2023164"/>
    <x v="0"/>
    <s v="O23011605560000007655 - Fortalecimiento de la Planeación y Gestión de la UAECOB Bogotá"/>
    <s v="Oficina de Control Interno"/>
    <n v="80111600"/>
    <s v="Prestar los servicios profesionales  en la Oficina de Control Interno para el desarrollo del Plan Anual de Auditorías."/>
    <d v="2023-01-01T00:00:00"/>
    <d v="2023-01-18T00:00:00"/>
    <n v="12"/>
    <s v="CCE-16 Contratación directa "/>
    <x v="0"/>
    <s v="O232020200883990_Otros servicios profesionales, técnicos y empresariales n.c.p."/>
    <n v="22848498"/>
    <s v="1-Implementar 1 plan de ajuste y sostenibilidad del MIPG en la UAECOB"/>
    <s v="516-Gestionar el 100% de un (1) plan de adecuación y sostenibilidad de los sistemas de gestión de la Unidad Administrativa Especial Cuerpo Oficial de Bomberos"/>
    <s v="SI SECOP"/>
  </r>
  <r>
    <n v="2023165"/>
    <x v="0"/>
    <s v="O23011605560000007655 - Fortalecimiento de la Planeación y Gestión de la UAECOB Bogotá"/>
    <s v="Oficina de Control Interno"/>
    <n v="80111600"/>
    <s v="Prestar los servicios profesionales  en la Oficina de Control Interno para el desarrollo del Plan Anual de Auditorías."/>
    <d v="2023-01-01T00:00:00"/>
    <d v="2023-01-18T00:00:00"/>
    <n v="12"/>
    <s v="CCE-16 Contratación directa "/>
    <x v="0"/>
    <s v="O232020200883990_Otros servicios profesionales, técnicos y empresariales n.c.p."/>
    <n v="52900664"/>
    <s v="1-Implementar 1 plan de ajuste y sostenibilidad del MIPG en la UAECOB"/>
    <s v="516-Gestionar el 100% de un (1) plan de adecuación y sostenibilidad de los sistemas de gestión de la Unidad Administrativa Especial Cuerpo Oficial de Bomberos"/>
    <s v="SI SECOP"/>
  </r>
  <r>
    <n v="2023166"/>
    <x v="0"/>
    <s v="O23011605560000007655 - Fortalecimiento de la Planeación y Gestión de la UAECOB Bogotá"/>
    <s v="Oficina de Control Interno"/>
    <n v="80111600"/>
    <s v="Prestar los servicios profesionales  en la Oficina de Control Interno para el desarrollo del Plan Anual de Auditorías."/>
    <d v="2023-01-01T00:00:00"/>
    <d v="2023-01-18T00:00:00"/>
    <n v="12"/>
    <s v="CCE-16 Contratación directa "/>
    <x v="0"/>
    <s v="O232020200883990_Otros servicios profesionales, técnicos y empresariales n.c.p."/>
    <n v="39675498"/>
    <s v="1-Implementar 1 plan de ajuste y sostenibilidad del MIPG en la UAECOB"/>
    <s v="516-Gestionar el 100% de un (1) plan de adecuación y sostenibilidad de los sistemas de gestión de la Unidad Administrativa Especial Cuerpo Oficial de Bomberos"/>
    <s v="SI SECOP"/>
  </r>
  <r>
    <n v="2023167"/>
    <x v="0"/>
    <s v="O23011605560000007655 - Fortalecimiento de la Planeación y Gestión de la UAECOB Bogotá"/>
    <s v="Oficina de Control Interno"/>
    <n v="80111600"/>
    <s v="Prestar los servicios profesionales  en la Oficina de Control Interno para el desarrollo del Plan Anual de Auditorías."/>
    <d v="2023-01-01T00:00:00"/>
    <d v="2023-02-01T00:00:00"/>
    <n v="12"/>
    <s v="CCE-16 Contratación directa "/>
    <x v="0"/>
    <s v="O232020200883990_Otros servicios profesionales, técnicos y empresariales n.c.p."/>
    <n v="39455079"/>
    <s v="1-Implementar 1 plan de ajuste y sostenibilidad del MIPG en la UAECOB"/>
    <s v="516-Gestionar el 100% de un (1) plan de adecuación y sostenibilidad de los sistemas de gestión de la Unidad Administrativa Especial Cuerpo Oficial de Bomberos"/>
    <s v="SI SECOP"/>
  </r>
  <r>
    <n v="2023169"/>
    <x v="0"/>
    <s v="O23011605560000007655 - Fortalecimiento de la Planeación y Gestión de la UAECOB Bogotá"/>
    <s v="Dirección"/>
    <n v="80111600"/>
    <s v="Prestar servicios como conductor a la UAECOB, en especial en el transporte de recursos que le sean indicados en la Dirección General en el marco sus funciones."/>
    <d v="2023-03-01T00:00:00"/>
    <d v="2023-03-31T00:00:00"/>
    <n v="10"/>
    <s v="CCE-16 Contratación directa "/>
    <x v="0"/>
    <s v="O232020200883990_Otros servicios profesionales, técnicos y empresariales n.c.p."/>
    <n v="31673600"/>
    <s v="1-Implementar 1 plan de ajuste y sostenibilidad del MIPG en la UAECOB"/>
    <s v="516-Gestionar el 100% de un (1) plan de adecuación y sostenibilidad de los sistemas de gestión de la Unidad Administrativa Especial Cuerpo Oficial de Bomberos"/>
    <s v="SI SECOP"/>
  </r>
  <r>
    <n v="2023170"/>
    <x v="0"/>
    <s v="O23011605560000007655 - Fortalecimiento de la Planeación y Gestión de la UAECOB Bogotá"/>
    <s v="Dirección"/>
    <n v="80111600"/>
    <s v="Prestar servicios profesionales a la Dirección General en actividades de articulación interinstitucional entre las diferentes dependencias, entidades del sector, y demás que estén relacionadas con la misionalidad de la UAECOB."/>
    <d v="2023-03-01T00:00:00"/>
    <d v="2023-03-31T00:00:00"/>
    <n v="5"/>
    <s v="CCE-16 Contratación directa "/>
    <x v="0"/>
    <s v="O232020200883990_Otros servicios profesionales, técnicos y empresariales n.c.p."/>
    <n v="35600000"/>
    <s v="1-Implementar 1 plan de ajuste y sostenibilidad del MIPG en la UAECOB"/>
    <s v="516-Gestionar el 100% de un (1) plan de adecuación y sostenibilidad de los sistemas de gestión de la Unidad Administrativa Especial Cuerpo Oficial de Bomberos"/>
    <s v="SI SECOP"/>
  </r>
  <r>
    <n v="2023171"/>
    <x v="0"/>
    <s v="O23011605560000007655 - Fortalecimiento de la Planeación y Gestión de la UAECOB Bogotá"/>
    <s v="Dirección"/>
    <n v="80111600"/>
    <s v="Prestar servicios profesionales para asesorar a la Dirección General en las estrategias de fortalecimiento de los procesos y procedimientos, de sostenibilidad, planes y programas que sean requeridos en el marco de la misionalidad de la UAECOB."/>
    <d v="2023-03-01T00:00:00"/>
    <d v="2023-03-31T00:00:00"/>
    <n v="4"/>
    <s v="CCE-16 Contratación directa "/>
    <x v="0"/>
    <s v="O232020200883990_Otros servicios profesionales, técnicos y empresariales n.c.p."/>
    <n v="37280000"/>
    <s v="1-Implementar 1 plan de ajuste y sostenibilidad del MIPG en la UAECOB"/>
    <s v="516-Gestionar el 100% de un (1) plan de adecuación y sostenibilidad de los sistemas de gestión de la Unidad Administrativa Especial Cuerpo Oficial de Bomberos"/>
    <s v="SI SECOP"/>
  </r>
  <r>
    <n v="2023172"/>
    <x v="0"/>
    <s v="O23011605560000007655 - Fortalecimiento de la Planeación y Gestión de la UAECOB Bogotá"/>
    <s v="Dirección"/>
    <n v="80111600"/>
    <s v="Prestación de servicios profesionales jurídicos en virtud de las funciones asignadas a la Dirección General de la UAECOB, para apoyar los procesos contractuales y actividades administrativas requeridas."/>
    <d v="2023-03-01T00:00:00"/>
    <d v="2023-03-31T00:00:00"/>
    <n v="10"/>
    <s v="CCE-16 Contratación directa "/>
    <x v="0"/>
    <s v="O232020200883990_Otros servicios profesionales, técnicos y empresariales n.c.p."/>
    <n v="35000000"/>
    <s v="1-Implementar 1 plan de ajuste y sostenibilidad del MIPG en la UAECOB"/>
    <s v="516-Gestionar el 100% de un (1) plan de adecuación y sostenibilidad de los sistemas de gestión de la Unidad Administrativa Especial Cuerpo Oficial de Bomberos"/>
    <s v="SI SECOP"/>
  </r>
  <r>
    <n v="2023173"/>
    <x v="0"/>
    <s v="O23011605560000007655 - Fortalecimiento de la Planeación y Gestión de la UAECOB Bogotá"/>
    <s v="Dirección"/>
    <n v="80111600"/>
    <s v="Prestar servicios profesionales en la Dirección General, para apoyar actividades administrativas, presupuestales y financieras, así como hacer seguimiento y control a los compromisos generados por las dependencias de la UAECOB, en especial los relacionada"/>
    <d v="2023-03-01T00:00:00"/>
    <d v="2023-03-31T00:00:00"/>
    <n v="10"/>
    <s v="CCE-16 Contratación directa "/>
    <x v="0"/>
    <s v="O232020200883990_Otros servicios profesionales, técnicos y empresariales n.c.p."/>
    <n v="38500000"/>
    <s v="1-Implementar 1 plan de ajuste y sostenibilidad del MIPG en la UAECOB"/>
    <s v="516-Gestionar el 100% de un (1) plan de adecuación y sostenibilidad de los sistemas de gestión de la Unidad Administrativa Especial Cuerpo Oficial de Bomberos"/>
    <s v="SI SECOP"/>
  </r>
  <r>
    <n v="2023174"/>
    <x v="0"/>
    <s v="O23011605560000007655 - Fortalecimiento de la Planeación y Gestión de la UAECOB Bogotá"/>
    <s v="Dirección"/>
    <n v="80111600"/>
    <s v="Prestar servicios profesionales en asuntos relacionados con temas administrativos y asuntos propios requeridos por la Dirección General de la UAECOB"/>
    <d v="2023-03-01T00:00:00"/>
    <d v="2023-03-31T00:00:00"/>
    <n v="7"/>
    <s v="CCE-16 Contratación directa "/>
    <x v="0"/>
    <s v="O232020200883990_Otros servicios profesionales, técnicos y empresariales n.c.p."/>
    <n v="25200000"/>
    <s v="1-Implementar 1 plan de ajuste y sostenibilidad del MIPG en la UAECOB"/>
    <s v="516-Gestionar el 100% de un (1) plan de adecuación y sostenibilidad de los sistemas de gestión de la Unidad Administrativa Especial Cuerpo Oficial de Bomberos"/>
    <s v="SI SECOP"/>
  </r>
  <r>
    <n v="2023175"/>
    <x v="0"/>
    <s v="O23011605560000007655 - Fortalecimiento de la Planeación y Gestión de la UAECOB Bogotá"/>
    <s v="Dirección"/>
    <n v="80111600"/>
    <s v="&quot;Prestar servicios profesionales a la Dirección General, con el fin de apoyar el seguimiento y manejo de la ejecución y procesos  presupuestales que coadyuven al cumplimiento de las metas establecidas en el plan de desarrollo y el plan anual de adquisicio"/>
    <d v="2023-03-01T00:00:00"/>
    <d v="2023-03-31T00:00:00"/>
    <n v="8"/>
    <s v="CCE-16 Contratación directa "/>
    <x v="0"/>
    <s v="O232020200883990_Otros servicios profesionales, técnicos y empresariales n.c.p."/>
    <n v="48000000"/>
    <s v="1-Implementar 1 plan de ajuste y sostenibilidad del MIPG en la UAECOB"/>
    <s v="516-Gestionar el 100% de un (1) plan de adecuación y sostenibilidad de los sistemas de gestión de la Unidad Administrativa Especial Cuerpo Oficial de Bomberos"/>
    <s v="SI SECOP"/>
  </r>
  <r>
    <n v="2023176"/>
    <x v="0"/>
    <s v="O23011605560000007655 - Fortalecimiento de la Planeación y Gestión de la UAECOB Bogotá"/>
    <s v="Dirección"/>
    <n v="80111600"/>
    <s v="Prestar servicios de apoyo a la gestión en la UAECOB, en asuntos administrativos y asistenciales requeridos, especificamente en el seguimiento de la información."/>
    <d v="2023-03-01T00:00:00"/>
    <d v="2023-03-31T00:00:00"/>
    <n v="10"/>
    <s v="CCE-16 Contratación directa "/>
    <x v="0"/>
    <s v="O232020200883990_Otros servicios profesionales, técnicos y empresariales n.c.p."/>
    <n v="30000000"/>
    <s v="1-Implementar 1 plan de ajuste y sostenibilidad del MIPG en la UAECOB"/>
    <s v="516-Gestionar el 100% de un (1) plan de adecuación y sostenibilidad de los sistemas de gestión de la Unidad Administrativa Especial Cuerpo Oficial de Bomberos"/>
    <s v="SI SECOP"/>
  </r>
  <r>
    <n v="2023178"/>
    <x v="0"/>
    <s v="O23011605560000007655 - Fortalecimiento de la Planeación y Gestión de la UAECOB Bogotá"/>
    <s v="Dirección-Comunicaciones y Prensa"/>
    <n v="80111600"/>
    <s v="Prestar servicios profesionales en la Dirección General para  el manejo de redes sociales de la entidad y apoyo periodistico requerido en el marco de la estrategia de comunicaciones y prensa de la UAECOB"/>
    <d v="2023-07-15T00:00:00"/>
    <d v="2023-08-01T00:00:00"/>
    <n v="5"/>
    <s v="CCE-16 Contratación directa "/>
    <x v="0"/>
    <s v="O232020200883990_Otros servicios profesionales, técnicos y empresariales n.c.p."/>
    <n v="17750000"/>
    <s v="1-Implementar 1 plan de ajuste y sostenibilidad del MIPG en la UAECOB"/>
    <s v="516-Gestionar el 100% de un (1) plan de adecuación y sostenibilidad de los sistemas de gestión de la Unidad Administrativa Especial Cuerpo Oficial de Bomberos"/>
    <s v="SI SECOP"/>
  </r>
  <r>
    <n v="2023179"/>
    <x v="0"/>
    <s v="O23011605560000007655 - Fortalecimiento de la Planeación y Gestión de la UAECOB Bogotá"/>
    <s v="Dirección-Comunicaciones y Prensa"/>
    <n v="80111600"/>
    <s v="Adición y prórroga del contrato 314 de 2023, cuyo objeto es: &quot;Prestar servicios profesionales en la Dirección General para el diseño gráfico y apoyo periodístico requerido en el marco de la estrategia de comunicaciones y prensa de la UEACOB"/>
    <d v="2023-08-15T00:00:00"/>
    <d v="2023-08-23T00:00:00"/>
    <n v="2"/>
    <s v="CCE-16 Contratación directa "/>
    <x v="0"/>
    <s v="O232020200883990_Otros servicios profesionales, técnicos y empresariales n.c.p."/>
    <n v="9329600"/>
    <s v="1-Implementar 1 plan de ajuste y sostenibilidad del MIPG en la UAECOB"/>
    <s v="516-Gestionar el 100% de un (1) plan de adecuación y sostenibilidad de los sistemas de gestión de la Unidad Administrativa Especial Cuerpo Oficial de Bomberos"/>
    <s v="SI SECOP"/>
  </r>
  <r>
    <n v="2023181"/>
    <x v="0"/>
    <s v="O23011605560000007655 - Fortalecimiento de la Planeación y Gestión de la UAECOB Bogotá"/>
    <s v="Dirección-Comunicaciones y Prensa"/>
    <n v="80111600"/>
    <s v="Prestar servicios profesionales especializados en la Dirección General de la UAECOB en la organización y liderazgo de los asuntos relacionados con comunicaciones de conformidad a la misionalidad de la entidad."/>
    <d v="2023-03-01T00:00:00"/>
    <d v="2023-03-31T00:00:00"/>
    <n v="8"/>
    <s v="CCE-16 Contratación directa "/>
    <x v="0"/>
    <s v="O232020200883990_Otros servicios profesionales, técnicos y empresariales n.c.p."/>
    <n v="74560000"/>
    <s v="1-Implementar 1 plan de ajuste y sostenibilidad del MIPG en la UAECOB"/>
    <s v="516-Gestionar el 100% de un (1) plan de adecuación y sostenibilidad de los sistemas de gestión de la Unidad Administrativa Especial Cuerpo Oficial de Bomberos"/>
    <s v="SI SECOP"/>
  </r>
  <r>
    <n v="2023182"/>
    <x v="0"/>
    <s v="O23011605560000007655 - Fortalecimiento de la Planeación y Gestión de la UAECOB Bogotá"/>
    <s v="Dirección-Comunicaciones y Prensa"/>
    <n v="80111600"/>
    <s v="Prestación de servicios profesionales en la Dirección General en asuntos de comunicaciones y prensa, para asesorar los planes, programas y proyectos enmarcados en la misionalidad de la UAECOB."/>
    <d v="2023-03-01T00:00:00"/>
    <d v="2023-03-31T00:00:00"/>
    <n v="8"/>
    <s v="CCE-16 Contratación directa "/>
    <x v="0"/>
    <s v="O232020200883990_Otros servicios profesionales, técnicos y empresariales n.c.p."/>
    <n v="69600000"/>
    <s v="1-Implementar 1 plan de ajuste y sostenibilidad del MIPG en la UAECOB"/>
    <s v="516-Gestionar el 100% de un (1) plan de adecuación y sostenibilidad de los sistemas de gestión de la Unidad Administrativa Especial Cuerpo Oficial de Bomberos"/>
    <s v="SI SECOP"/>
  </r>
  <r>
    <n v="2023183"/>
    <x v="0"/>
    <s v="O23011605560000007655 - Fortalecimiento de la Planeación y Gestión de la UAECOB Bogotá"/>
    <s v="Dirección-Comunicaciones y Prensa"/>
    <n v="80111600"/>
    <s v="Prestación de servicios profesionales en asuntos de comunicaciones y prensa para apoyar la divulgación y socialización de la información relacionada con la misionalidad de la UAECOB de manera interna y externa"/>
    <d v="2023-03-01T00:00:00"/>
    <d v="2023-03-31T00:00:00"/>
    <n v="4"/>
    <s v="CCE-16 Contratación directa "/>
    <x v="0"/>
    <s v="O232020200883990_Otros servicios profesionales, técnicos y empresariales n.c.p."/>
    <n v="20000000"/>
    <s v="1-Implementar 1 plan de ajuste y sostenibilidad del MIPG en la UAECOB"/>
    <s v="516-Gestionar el 100% de un (1) plan de adecuación y sostenibilidad de los sistemas de gestión de la Unidad Administrativa Especial Cuerpo Oficial de Bomberos"/>
    <s v="SI SECOP"/>
  </r>
  <r>
    <n v="2023184"/>
    <x v="0"/>
    <s v="O23011605560000007655 - Fortalecimiento de la Planeación y Gestión de la UAECOB Bogotá"/>
    <s v="Dirección-Comunicaciones y Prensa"/>
    <n v="80111600"/>
    <s v="&quot;Prestar servicios profesionales en la Dirección General para el diseño gráfico y apoyo periodistico requerido en el marco de la estrategia de comunicaciones y prensa de la UEACOB&quot;."/>
    <d v="2023-03-01T00:00:00"/>
    <d v="2023-03-31T00:00:00"/>
    <n v="4"/>
    <s v="CCE-16 Contratación directa "/>
    <x v="0"/>
    <s v="O232020200883990_Otros servicios profesionales, técnicos y empresariales n.c.p."/>
    <n v="14200000"/>
    <s v="1-Implementar 1 plan de ajuste y sostenibilidad del MIPG en la UAECOB"/>
    <s v="516-Gestionar el 100% de un (1) plan de adecuación y sostenibilidad de los sistemas de gestión de la Unidad Administrativa Especial Cuerpo Oficial de Bomberos"/>
    <s v="SI SECOP"/>
  </r>
  <r>
    <n v="2023185"/>
    <x v="0"/>
    <s v="O23011605560000007655 - Fortalecimiento de la Planeación y Gestión de la UAECOB Bogotá"/>
    <s v="Dirección-Comunicaciones y Prensa"/>
    <n v="80111600"/>
    <s v="&quot;Prestar servicios profesionales en la Dirección General para  el manejo de redes sociales de la entidad y apoyo periodistico requerido en el marco de la estrategia de comunicaciones y prensa de la UEACOB&quot;."/>
    <d v="2023-03-01T00:00:00"/>
    <d v="2023-03-31T00:00:00"/>
    <n v="4"/>
    <s v="CCE-16 Contratación directa "/>
    <x v="0"/>
    <s v="O232020200883990_Otros servicios profesionales, técnicos y empresariales n.c.p."/>
    <n v="14200000"/>
    <s v="1-Implementar 1 plan de ajuste y sostenibilidad del MIPG en la UAECOB"/>
    <s v="516-Gestionar el 100% de un (1) plan de adecuación y sostenibilidad de los sistemas de gestión de la Unidad Administrativa Especial Cuerpo Oficial de Bomberos"/>
    <s v="SI SECOP"/>
  </r>
  <r>
    <n v="2023186"/>
    <x v="0"/>
    <s v="O23011605560000007655 - Fortalecimiento de la Planeación y Gestión de la UAECOB Bogotá"/>
    <s v="Dirección-Comunicaciones y Prensa"/>
    <n v="80111600"/>
    <s v="Prestar servicios profesionales en la Dirección en asuntos de comunicaciones y prensa, para apoyar la administración de contenidos digitales en la página web y la Intranet de la UAECOB."/>
    <d v="2023-03-01T00:00:00"/>
    <d v="2023-03-31T00:00:00"/>
    <n v="8"/>
    <s v="CCE-16 Contratación directa "/>
    <x v="0"/>
    <s v="O232020200883990_Otros servicios profesionales, técnicos y empresariales n.c.p."/>
    <n v="28400000"/>
    <s v="1-Implementar 1 plan de ajuste y sostenibilidad del MIPG en la UAECOB"/>
    <s v="516-Gestionar el 100% de un (1) plan de adecuación y sostenibilidad de los sistemas de gestión de la Unidad Administrativa Especial Cuerpo Oficial de Bomberos"/>
    <s v="SI SECOP"/>
  </r>
  <r>
    <n v="2023187"/>
    <x v="0"/>
    <s v="O23011605560000007655 - Fortalecimiento de la Planeación y Gestión de la UAECOB Bogotá"/>
    <s v="Dirección-Comunicaciones y Prensa"/>
    <n v="80111600"/>
    <s v="Prestación de servicios profesionales en la Dirección en comunicaciones y prensa, para apoyar la difusión de la información al público interno de la UAECOB."/>
    <d v="2023-03-01T00:00:00"/>
    <d v="2023-03-31T00:00:00"/>
    <n v="8"/>
    <s v="CCE-16 Contratación directa "/>
    <x v="0"/>
    <s v="O232020200883990_Otros servicios profesionales, técnicos y empresariales n.c.p."/>
    <n v="40000000"/>
    <s v="1-Implementar 1 plan de ajuste y sostenibilidad del MIPG en la UAECOB"/>
    <s v="516-Gestionar el 100% de un (1) plan de adecuación y sostenibilidad de los sistemas de gestión de la Unidad Administrativa Especial Cuerpo Oficial de Bomberos"/>
    <s v="SI SECOP"/>
  </r>
  <r>
    <n v="2023188"/>
    <x v="0"/>
    <s v="O23011605560000007655 - Fortalecimiento de la Planeación y Gestión de la UAECOB Bogotá"/>
    <s v="Dirección-Comunicaciones y Prensa"/>
    <n v="80111600"/>
    <s v="Prestar servicios profesionales para apoyar el desarrollo de estrategias de la dirección general, en asuntos relacionados con comunicaciones y prensa, encaminadas al posicionamiento, imagen y divulgación corporativa de la entidad y dirigidas a sus público"/>
    <d v="2023-03-01T00:00:00"/>
    <d v="2023-03-31T00:00:00"/>
    <n v="8"/>
    <s v="CCE-16 Contratación directa "/>
    <x v="0"/>
    <s v="O232020200883990_Otros servicios profesionales, técnicos y empresariales n.c.p."/>
    <n v="52000000"/>
    <s v="1-Implementar 1 plan de ajuste y sostenibilidad del MIPG en la UAECOB"/>
    <s v="516-Gestionar el 100% de un (1) plan de adecuación y sostenibilidad de los sistemas de gestión de la Unidad Administrativa Especial Cuerpo Oficial de Bomberos"/>
    <s v="SI SECOP"/>
  </r>
  <r>
    <n v="2023189"/>
    <x v="0"/>
    <s v="O23011605560000007655 - Fortalecimiento de la Planeación y Gestión de la UAECOB Bogotá"/>
    <s v="Dirección-Comunicaciones y Prensa"/>
    <n v="80111600"/>
    <s v="Prestar apoyo técnico en la Dirección, en asuntos de comunicaciones y prensa, para la producción, diseño y edición de material audiovisual de la UAECOB."/>
    <d v="2023-03-01T00:00:00"/>
    <d v="2023-03-31T00:00:00"/>
    <n v="8"/>
    <s v="CCE-16 Contratación directa "/>
    <x v="0"/>
    <s v="O232020200883990_Otros servicios profesionales, técnicos y empresariales n.c.p."/>
    <n v="26800000"/>
    <s v="1-Implementar 1 plan de ajuste y sostenibilidad del MIPG en la UAECOB"/>
    <s v="516-Gestionar el 100% de un (1) plan de adecuación y sostenibilidad de los sistemas de gestión de la Unidad Administrativa Especial Cuerpo Oficial de Bomberos"/>
    <s v="SI SECOP"/>
  </r>
  <r>
    <n v="2023190"/>
    <x v="0"/>
    <s v="O23011605560000007655 - Fortalecimiento de la Planeación y Gestión de la UAECOB Bogotá"/>
    <s v="Dirección-Comunicaciones y Prensa"/>
    <n v="80111600"/>
    <s v="Prestar apoyo técnico en la Dirección, en asuntos de comunicaciones y prensa, para la producción, diseño y edición de material audiovisual de la UAECOB."/>
    <d v="2023-03-01T00:00:00"/>
    <d v="2023-03-31T00:00:00"/>
    <n v="8"/>
    <s v="CCE-16 Contratación directa "/>
    <x v="0"/>
    <s v="O232020200883990_Otros servicios profesionales, técnicos y empresariales n.c.p."/>
    <n v="9600000"/>
    <s v="1-Implementar 1 plan de ajuste y sostenibilidad del MIPG en la UAECOB"/>
    <s v="516-Gestionar el 100% de un (1) plan de adecuación y sostenibilidad de los sistemas de gestión de la Unidad Administrativa Especial Cuerpo Oficial de Bomberos"/>
    <s v="SI SECOP"/>
  </r>
  <r>
    <n v="2023191"/>
    <x v="0"/>
    <s v="O23011605560000007655 - Fortalecimiento de la Planeación y Gestión de la UAECOB Bogotá"/>
    <s v="Dirección-Comunicaciones y Prensa"/>
    <n v="80111600"/>
    <s v="Prestar apoyo en la Dirección en asuntos de comunicaciones y prensa, para apoyar la divulgación de la información generada por la UAECOB."/>
    <d v="2023-03-01T00:00:00"/>
    <d v="2023-03-31T00:00:00"/>
    <n v="7"/>
    <s v="CCE-16 Contratación directa "/>
    <x v="0"/>
    <s v="O232020200883990_Otros servicios profesionales, técnicos y empresariales n.c.p."/>
    <n v="21000000"/>
    <s v="1-Implementar 1 plan de ajuste y sostenibilidad del MIPG en la UAECOB"/>
    <s v="516-Gestionar el 100% de un (1) plan de adecuación y sostenibilidad de los sistemas de gestión de la Unidad Administrativa Especial Cuerpo Oficial de Bomberos"/>
    <s v="SI SECOP"/>
  </r>
  <r>
    <n v="2023192"/>
    <x v="0"/>
    <s v="O23011605560000007655 - Fortalecimiento de la Planeación y Gestión de la UAECOB Bogotá"/>
    <s v="Dirección-Comunicaciones y Prensa"/>
    <n v="80111600"/>
    <s v="Prestar servicios de apoyo para la gestión en asuntos de comunicaciones y prensa en la Dirección General, y demás acciones encaminadas al cumplimiento de las estrategias comunicacionales de la UAECOB"/>
    <d v="2023-03-01T00:00:00"/>
    <d v="2023-03-31T00:00:00"/>
    <n v="3"/>
    <s v="CCE-16 Contratación directa "/>
    <x v="0"/>
    <s v="O232020200883990_Otros servicios profesionales, técnicos y empresariales n.c.p."/>
    <n v="22737120"/>
    <s v="1-Implementar 1 plan de ajuste y sostenibilidad del MIPG en la UAECOB"/>
    <s v="516-Gestionar el 100% de un (1) plan de adecuación y sostenibilidad de los sistemas de gestión de la Unidad Administrativa Especial Cuerpo Oficial de Bomberos"/>
    <s v="SI SECOP"/>
  </r>
  <r>
    <n v="2023193"/>
    <x v="0"/>
    <s v="O23011605560000007655 - Fortalecimiento de la Planeación y Gestión de la UAECOB Bogotá"/>
    <s v="Oficina de Control Disciplinario Interno"/>
    <n v="80111600"/>
    <s v="Prestar los servicios profesionales jurídicos especializados en la Oficina de Control Disciplinario Interno de la entidad relacionados con los procesos disciplinarios que sean de conocimiento y deban adelantarse en esa dependencia en el rol de instrucción"/>
    <d v="2023-01-03T00:00:00"/>
    <d v="2023-03-20T00:00:00"/>
    <n v="9"/>
    <s v="CCE-16 Contratación directa "/>
    <x v="0"/>
    <s v="O232020200883990_Otros servicios profesionales, técnicos y empresariales n.c.p."/>
    <n v="65700000"/>
    <s v="1-Implementar 1 plan de ajuste y sostenibilidad del MIPG en la UAECOB"/>
    <s v="516-Gestionar el 100% de un (1) plan de adecuación y sostenibilidad de los sistemas de gestión de la Unidad Administrativa Especial Cuerpo Oficial de Bomberos"/>
    <s v="SI SECOP"/>
  </r>
  <r>
    <n v="2023194"/>
    <x v="0"/>
    <s v="O23011605560000007655 - Fortalecimiento de la Planeación y Gestión de la UAECOB Bogotá"/>
    <s v="Oficina de Control Disciplinario Interno"/>
    <n v="80111600"/>
    <s v="Prestar los servicios profesionales jurídicos en la Oficina de Control Disciplinario Interno de la entidad relacionados con los procesos contractuales, administrativos, y las actuaciones disciplinarias que se encuentran a cargo de esa dependencia"/>
    <d v="2023-01-03T00:00:00"/>
    <d v="2023-05-03T00:00:00"/>
    <n v="10"/>
    <s v="CCE-16 Contratación directa "/>
    <x v="0"/>
    <s v="O232020200883990_Otros servicios profesionales, técnicos y empresariales n.c.p."/>
    <n v="60000000"/>
    <s v="1-Implementar 1 plan de ajuste y sostenibilidad del MIPG en la UAECOB"/>
    <s v="516-Gestionar el 100% de un (1) plan de adecuación y sostenibilidad de los sistemas de gestión de la Unidad Administrativa Especial Cuerpo Oficial de Bomberos"/>
    <s v="SI SECOP"/>
  </r>
  <r>
    <n v="2023195"/>
    <x v="0"/>
    <s v="O23011605560000007655 - Fortalecimiento de la Planeación y Gestión de la UAECOB Bogotá"/>
    <s v="Oficina de Control Disciplinario Interno"/>
    <n v="80111600"/>
    <s v="Prestación de servicios profesionales jurídicos para apoyar la gestión de las actuaciones disciplinarias que se encuentren a cargo y adelante la Oficina de Control Disciplinario Interno en el rol de instrucción"/>
    <d v="2023-01-03T00:00:00"/>
    <d v="2023-03-20T00:00:00"/>
    <n v="9"/>
    <s v="CCE-16 Contratación directa "/>
    <x v="0"/>
    <s v="O232020200883990_Otros servicios profesionales, técnicos y empresariales n.c.p."/>
    <n v="38500000"/>
    <s v="1-Implementar 1 plan de ajuste y sostenibilidad del MIPG en la UAECOB"/>
    <s v="516-Gestionar el 100% de un (1) plan de adecuación y sostenibilidad de los sistemas de gestión de la Unidad Administrativa Especial Cuerpo Oficial de Bomberos"/>
    <s v="SI SECOP"/>
  </r>
  <r>
    <n v="2023196"/>
    <x v="0"/>
    <s v="O23011605560000007655 - Fortalecimiento de la Planeación y Gestión de la UAECOB Bogotá"/>
    <s v="Oficina de Control Disciplinario Interno"/>
    <n v="80111600"/>
    <s v="Prestación de servicios profesionales jurídicos para apoyar la gestión de las actuaciones disciplinarias que se encuentren a cargo y adelante la Oficina de Control Disciplinario Interno en el rol de instrucción"/>
    <d v="2023-01-03T00:00:00"/>
    <d v="2023-03-20T00:00:00"/>
    <n v="9"/>
    <s v="CCE-16 Contratación directa "/>
    <x v="0"/>
    <s v="O232020200883990_Otros servicios profesionales, técnicos y empresariales n.c.p."/>
    <n v="38500000"/>
    <s v="1-Implementar 1 plan de ajuste y sostenibilidad del MIPG en la UAECOB"/>
    <s v="516-Gestionar el 100% de un (1) plan de adecuación y sostenibilidad de los sistemas de gestión de la Unidad Administrativa Especial Cuerpo Oficial de Bomberos"/>
    <s v="SI SECOP"/>
  </r>
  <r>
    <n v="2023197"/>
    <x v="0"/>
    <s v="O23011605560000007655 - Fortalecimiento de la Planeación y Gestión de la UAECOB Bogotá"/>
    <s v="Oficina de Control Disciplinario Interno"/>
    <n v="80111600"/>
    <s v="Prestación de servicios profesionales jurídicos para apoyar la gestión de las actuaciones disciplinarias que se encuentren a cargo y adelante la Oficina de Control Disciplinario Interno en el rol de instrucción"/>
    <d v="2023-01-03T00:00:00"/>
    <d v="2023-03-20T00:00:00"/>
    <n v="7"/>
    <s v="CCE-16 Contratación directa "/>
    <x v="0"/>
    <s v="O232020200883990_Otros servicios profesionales, técnicos y empresariales n.c.p."/>
    <n v="38500000"/>
    <s v="1-Implementar 1 plan de ajuste y sostenibilidad del MIPG en la UAECOB"/>
    <s v="516-Gestionar el 100% de un (1) plan de adecuación y sostenibilidad de los sistemas de gestión de la Unidad Administrativa Especial Cuerpo Oficial de Bomberos"/>
    <s v="SI SECOP"/>
  </r>
  <r>
    <n v="2023198"/>
    <x v="0"/>
    <s v="O23011605560000007655 - Fortalecimiento de la Planeación y Gestión de la UAECOB Bogotá"/>
    <s v="Oficina de Control Disciplinario Interno"/>
    <n v="80111600"/>
    <s v="Prestación de servicios profesionales jurídicos para apoyar la gestión de las actuaciones disciplinarias que se encuentren a cargo y adelante la Oficina de Control Disciplinario Interno en el rol de instrucción"/>
    <d v="2023-01-03T00:00:00"/>
    <d v="2023-03-20T00:00:00"/>
    <n v="6"/>
    <s v="CCE-16 Contratación directa "/>
    <x v="0"/>
    <s v="O232020200883990_Otros servicios profesionales, técnicos y empresariales n.c.p."/>
    <n v="33000000"/>
    <s v="1-Implementar 1 plan de ajuste y sostenibilidad del MIPG en la UAECOB"/>
    <s v="516-Gestionar el 100% de un (1) plan de adecuación y sostenibilidad de los sistemas de gestión de la Unidad Administrativa Especial Cuerpo Oficial de Bomberos"/>
    <s v="SI SECOP"/>
  </r>
  <r>
    <n v="2023199"/>
    <x v="0"/>
    <s v="O23011605560000007655 - Fortalecimiento de la Planeación y Gestión de la UAECOB Bogotá"/>
    <s v="Oficina de Control Disciplinario Interno"/>
    <n v="80111600"/>
    <s v="Prestación de servicios de apoyo a la gestión en la Oficina de Control Disciplinario Interno para el cumplimiento de las funciones asignadas a esta dependencia, que requieran tareas de caracter administrativo "/>
    <d v="2023-01-15T00:00:00"/>
    <d v="2023-01-20T00:00:00"/>
    <n v="9.5"/>
    <s v="CCE-16 Contratación directa "/>
    <x v="0"/>
    <s v="O232020200883990_Otros servicios profesionales, técnicos y empresariales n.c.p."/>
    <n v="26308000"/>
    <s v="1-Implementar 1 plan de ajuste y sostenibilidad del MIPG en la UAECOB"/>
    <s v="516-Gestionar el 100% de un (1) plan de adecuación y sostenibilidad de los sistemas de gestión de la Unidad Administrativa Especial Cuerpo Oficial de Bomberos"/>
    <s v="SI SECOP"/>
  </r>
  <r>
    <n v="2023200"/>
    <x v="0"/>
    <s v="O23011605560000007655 - Fortalecimiento de la Planeación y Gestión de la UAECOB Bogotá"/>
    <s v="Oficina de Control Disciplinario Interno"/>
    <n v="80111600"/>
    <s v="Prestación de servicios de apoyo a la gestión a la Oficina de Control Disciplinario Interno que coadyuven a las tareas administrativas, tecnicas y asistenciales que sean requeridas para el cumplimiento de las funciones asignadas a esta esta dependencia"/>
    <d v="2023-01-02T00:00:00"/>
    <d v="2023-01-15T00:00:00"/>
    <n v="9.5"/>
    <s v="CCE-16 Contratación directa "/>
    <x v="0"/>
    <s v="O232020200883990_Otros servicios profesionales, técnicos y empresariales n.c.p."/>
    <n v="31350000"/>
    <s v="1-Implementar 1 plan de ajuste y sostenibilidad del MIPG en la UAECOB"/>
    <s v="516-Gestionar el 100% de un (1) plan de adecuación y sostenibilidad de los sistemas de gestión de la Unidad Administrativa Especial Cuerpo Oficial de Bomberos"/>
    <s v="SI SECOP"/>
  </r>
  <r>
    <n v="2023201"/>
    <x v="3"/>
    <s v="O23011602300000007658 - Fortalecimiento del Cuerpo Oficial de Bomberos Bogotá"/>
    <s v="Subdirección Logística"/>
    <n v="78181500"/>
    <s v="Prestar el servicio de mantenimiento preventivo y correctivo, de latonería y pintura, incluyendo el suministro de repuestos, insumos y mano de obra especializada para los vehículos pertenecientes al parque automotor de la U.A.E. Cuerpo Oficial de Bomberos"/>
    <d v="2023-03-01T00:00:00"/>
    <d v="2023-04-15T00:00:00"/>
    <n v="12"/>
    <s v="CCE-02 Licitación pública"/>
    <x v="0"/>
    <s v="O23202020088714199_Servicio de mantenimiento y reparación de vehículos automotores n.c.p."/>
    <n v="300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02"/>
    <x v="3"/>
    <s v="O23011602300000007658 - Fortalecimiento del Cuerpo Oficial de Bomberos Bogotá"/>
    <s v="Subdirección Logística"/>
    <n v="25172500"/>
    <s v="Prestar el servicio de instalación, alineación, balanceo y conexos, incluyendo el suministro de llantas a los vehículos del parque automotor de la U.A.E. Cuerpo Oficial de Bomberos de Bogotá - SBLG"/>
    <d v="2023-02-01T00:00:00"/>
    <d v="2023-02-20T00:00:00"/>
    <n v="12"/>
    <s v="CCE-07 Selección abreviada subasta inversa"/>
    <x v="0"/>
    <s v="O23201010030208 Otra maquinaria para usos especiales y sus partes y piezas"/>
    <n v="13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03"/>
    <x v="3"/>
    <s v="O23011602300000007658 - Fortalecimiento del Cuerpo Oficial de Bomberos Bogotá"/>
    <s v="Subdirección Logística"/>
    <n v="15101500"/>
    <s v="Suministrar combustible para los vehículos, y equipos especializados de la U.A.E. Cuerpo Oficial de Bomberos de Bogotá dentro y fuera del perímetro del Distrito Cápital - SBLG"/>
    <d v="2023-02-01T00:00:00"/>
    <d v="2023-02-15T00:00:00"/>
    <n v="12"/>
    <s v="CCE-99 Seléccion abreviada - acuerdo marco"/>
    <x v="0"/>
    <s v="O2320201003053543003_Aditivos para gasolina, aceites minerales y combustible en general"/>
    <n v="100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04"/>
    <x v="3"/>
    <s v="O23011602300000007658 - Fortalecimiento del Cuerpo Oficial de Bomberos Bogotá"/>
    <s v="Subdirección Logística"/>
    <s v="39121321;_x000a_31162800;_x000a_39121700"/>
    <s v="Suministro de herramientas especializadas, equipos, accesorios y otros elementos de ferretería para garantizar la preparación y atención de emergencias de la U.A.E. Cuerpo Oficial de Bomberos de Bogotá – SBLG"/>
    <d v="2023-08-01T00:00:00"/>
    <d v="2023-08-01T00:00:00"/>
    <n v="8"/>
    <s v="CCE-07 Selección abreviada subasta inversa"/>
    <x v="0"/>
    <s v="O23201010030208 Otra maquinaria para usos especiales y sus partes y piezas"/>
    <n v="120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07"/>
    <x v="3"/>
    <s v="O23011602300000007658 - Fortalecimiento del Cuerpo Oficial de Bomberos Bogotá"/>
    <s v="Subdirección Logística"/>
    <s v="72101509_x000a_46191600"/>
    <s v="Suministrar los repuestos, accesorios e insumos de los equipos de rescate vehicular liviano y pesado marca LUKAS- SBLG"/>
    <d v="2023-04-15T00:00:00"/>
    <d v="2023-04-20T00:00:00"/>
    <n v="10"/>
    <s v="CCE-16 Contratación directa "/>
    <x v="0"/>
    <s v="O23201010030208 Otra maquinaria para usos especiales y sus partes y piezas"/>
    <n v="10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08"/>
    <x v="3"/>
    <s v="O23011602300000007658 - Fortalecimiento del Cuerpo Oficial de Bomberos Bogotá"/>
    <s v="Subdirección Logística"/>
    <s v="21102400;_x000a_21102401;_x000a_31211903"/>
    <s v="Contratar el servicio de mantenimiento y/o adecuación para los trajes de protección personal para la atención de incidentes con abejas- SBLG"/>
    <d v="2023-10-01T00:00:00"/>
    <d v="2023-10-15T00:00:00"/>
    <n v="4"/>
    <s v="CCE-16 Contratación directa "/>
    <x v="0"/>
    <s v="O23201010030208 Otra maquinaria para usos especiales y sus partes y piezas"/>
    <n v="9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09"/>
    <x v="3"/>
    <s v="O23011602300000007658 - Fortalecimiento del Cuerpo Oficial de Bomberos Bogotá"/>
    <s v="Subdirección Logística"/>
    <s v="72101509, _x000a_49191600"/>
    <s v="Suministro de concentrado de espuma y extintores y el mantenimiento, recarga de extintores, cilindros y tanques de las maquinas extintoras - SBLG"/>
    <d v="2023-07-28T00:00:00"/>
    <d v="2023-08-31T00:00:00"/>
    <n v="6"/>
    <s v="CCE-07 Selección abreviada subasta inversa"/>
    <x v="0"/>
    <s v="O23201010030208 Otra maquinaria para usos especiales y sus partes y piezas"/>
    <n v="195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11"/>
    <x v="3"/>
    <s v="O23011602300000007658 - Fortalecimiento del Cuerpo Oficial de Bomberos Bogotá"/>
    <s v="Subdirección Logística"/>
    <s v="40151601; 40151802"/>
    <s v="Prestar el servicio de mantenimiento preventivo y correctivo de los compresores BAUER propiedad de la U.A.E. Cuerpo Oficial de Bomberos de Bogotá, incluido el suministro de repuestos, insumos y mano de obra especializada.  SBLG"/>
    <d v="2023-06-01T00:00:00"/>
    <d v="2023-06-15T00:00:00"/>
    <n v="10"/>
    <s v="CCE-16 Contratación directa "/>
    <x v="0"/>
    <s v="O23202020088715999_Servicio de mantenimiento y reparación de otros equipos n.c.p."/>
    <n v="7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12"/>
    <x v="3"/>
    <s v="O23011602300000007658 - Fortalecimiento del Cuerpo Oficial de Bomberos Bogotá"/>
    <s v="Subdirección Logística"/>
    <s v="72101509_x000a_46191600"/>
    <s v="Prestar el servicio de mantenimiento preventivo y correctivo de los equipos de rescate vehicular  Holmatro propiedad de la U.A.E. Cuerpo Oficial de Bomberos de Bogotá, incluido el suministro de repuestos, insumos y mano de obra especializada.  SBLG"/>
    <d v="2023-06-01T00:00:00"/>
    <d v="2023-06-15T00:00:00"/>
    <n v="7"/>
    <s v="CCE-16 Contratación directa "/>
    <x v="0"/>
    <s v="O23202020088715999_Servicio de mantenimiento y reparación de otros equipos n.c.p."/>
    <n v="5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14"/>
    <x v="3"/>
    <s v="O23011602300000007658 - Fortalecimiento del Cuerpo Oficial de Bomberos Bogotá"/>
    <s v="Subdirección Logística"/>
    <s v="70122002;70122005;70122006;70122007;70122008;70122009;70122010; 10101500;_x000a_10121800"/>
    <s v="Prestación de servicios médicos veterinarios, de hospitalización, con suministro de medicamentos, insumos veterinarios y alimentos para los caninos del grupo BRAE de la U.A.E. Cuerpo Oficial de Bomberos de Bogotá - SBLG"/>
    <d v="2023-01-20T00:00:00"/>
    <d v="2023-02-15T00:00:00"/>
    <n v="7"/>
    <s v="CCE-07 Selección abreviada subasta inversa"/>
    <x v="0"/>
    <s v="O232020200883590_Otros servicios veterinarios"/>
    <n v="100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15"/>
    <x v="3"/>
    <s v="O23011602300000007658 - Fortalecimiento del Cuerpo Oficial de Bomberos Bogotá"/>
    <s v="Subdirección Logística"/>
    <n v="42172101"/>
    <s v="Adquisición de Parches para los Desfibriladores Externos Automáticos (D.E.A.) para la Atención de Emergencia - SBLG"/>
    <d v="2023-09-15T00:00:00"/>
    <d v="2023-10-15T00:00:00"/>
    <n v="1"/>
    <s v="CCE-10 Mínima cuantía"/>
    <x v="0"/>
    <s v="O2320201003083899997_Artículos n.c.p. para protección"/>
    <n v="28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16"/>
    <x v="3"/>
    <s v="O23011602300000007658 - Fortalecimiento del Cuerpo Oficial de Bomberos Bogotá"/>
    <s v="Subdirección Logística"/>
    <s v="90101800; _x000a_90101600;_x000a_50192700;_x000a_50192700;_x000a_50112000;_x000a_50202311;_x000a_50201709;_x000a_50161509;  _x000a_50192110;  _x000a_93131602;"/>
    <s v="Suministrar alimentación e hidratación para la atención de emergencias, entrenamientos, capacitaciones y actividades de prevención."/>
    <d v="2023-04-15T00:00:00"/>
    <d v="2023-04-20T00:00:00"/>
    <n v="10"/>
    <s v="CCE-07 Selección abreviada subasta inversa"/>
    <x v="0"/>
    <s v="O232020200663393_Otros servicios de comidas contratadas"/>
    <n v="240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17"/>
    <x v="3"/>
    <s v="O23011602300000007658 - Fortalecimiento del Cuerpo Oficial de Bomberos Bogotá"/>
    <s v="Subdirección Logística"/>
    <n v="80111600"/>
    <s v="Prestar servicios profesionales para acompañar a la subdirección logística en la planeación, seguimiento, actualización y gestión presupuestal en el marco de los procesos y procedimiento a cargo de la dependencia  - SBLG"/>
    <d v="2023-01-05T00:00:00"/>
    <d v="2023-01-16T00:00:00"/>
    <n v="10.5"/>
    <s v="CCE-16 Contratación directa "/>
    <x v="0"/>
    <s v="O232020200883990_Otros servicios profesionales, técnicos y empresariales n.c.p."/>
    <n v="63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18"/>
    <x v="3"/>
    <s v="O23011602300000007658 - Fortalecimiento del Cuerpo Oficial de Bomberos Bogotá"/>
    <s v="Subdirección Logística"/>
    <n v="80111600"/>
    <s v="Prestación de servicios profesionales a la Subdirección Logística, para el seguimiento, control y reporte de la información referente al impacto ambiental en desarrollo de los procesos de parque automotor y equipo menor - SBLG"/>
    <d v="2023-01-05T00:00:00"/>
    <d v="2023-01-16T00:00:00"/>
    <n v="11.5"/>
    <s v="CCE-16 Contratación directa "/>
    <x v="0"/>
    <s v="O232020200883990_Otros servicios profesionales, técnicos y empresariales n.c.p."/>
    <n v="16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19"/>
    <x v="3"/>
    <s v="O23011602300000007658 - Fortalecimiento del Cuerpo Oficial de Bomberos Bogotá"/>
    <s v="Subdirección Logística"/>
    <n v="80111600"/>
    <s v="Pago de recursos Subdirección Logística -SBLG"/>
    <d v="2023-01-05T00:00:00"/>
    <d v="2023-01-16T00:00:00"/>
    <n v="9"/>
    <s v="CCE-16 Contratación directa "/>
    <x v="0"/>
    <s v="O232020200883990_Otros servicios profesionales, técnicos y empresariales n.c.p."/>
    <n v="90916119"/>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20"/>
    <x v="3"/>
    <s v="O23011602300000007658 - Fortalecimiento del Cuerpo Oficial de Bomberos Bogotá"/>
    <s v="Subdirección Logística"/>
    <n v="80111600"/>
    <s v="Prestación de servicios profesionales para coordinar, controlar y ejercer seguimiento al proceso de equipo menor a cargo de la Subdirección Logística - SBLG"/>
    <d v="2023-01-05T00:00:00"/>
    <d v="2023-01-16T00:00:00"/>
    <n v="11"/>
    <s v="CCE-16 Contratación directa "/>
    <x v="0"/>
    <s v="O232020200883990_Otros servicios profesionales, técnicos y empresariales n.c.p."/>
    <n v="33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21"/>
    <x v="3"/>
    <s v="O23011602300000007658 - Fortalecimiento del Cuerpo Oficial de Bomberos Bogotá"/>
    <s v="Subdirección Logística"/>
    <n v="80111600"/>
    <s v="Prestación de servicios profesionales para acompañar a la Subdirección Logística en la estructuración y definición de aspectos jurídicos y contractuales en  los diferentes procesos de contratación de bienes y servicios adelantados por la Subdirección Logí"/>
    <d v="2023-01-05T00:00:00"/>
    <d v="2023-01-16T00:00:00"/>
    <n v="11"/>
    <s v="CCE-16 Contratación directa "/>
    <x v="0"/>
    <s v="O232020200882199_Otros servicios jurídicos n.c.p."/>
    <n v="99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22"/>
    <x v="3"/>
    <s v="O23011602300000007658 - Fortalecimiento del Cuerpo Oficial de Bomberos Bogotá"/>
    <s v="Subdirección Logística"/>
    <n v="80111600"/>
    <s v="Prestar por sus propios medios con plena autonomía técnica y administrativa los servicios profesionales para el diseño, desarrollo, control y soporte de herramientas tecnológicas para el funcionamiento de la subdirección logística - SBLG "/>
    <d v="2023-01-05T00:00:00"/>
    <d v="2023-01-16T00:00:00"/>
    <n v="10.5"/>
    <s v="CCE-16 Contratación directa "/>
    <x v="0"/>
    <s v="O232020200883990_Otros servicios profesionales, técnicos y empresariales n.c.p."/>
    <n v="3296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23"/>
    <x v="3"/>
    <s v="O23011602300000007658 - Fortalecimiento del Cuerpo Oficial de Bomberos Bogotá"/>
    <s v="Subdirección Logística"/>
    <n v="80111600"/>
    <s v="Prestación de servicios profesionales para acompañar a la Subdirección logística, en el diseño, implementación, reporte y monitoreo de los diferentes procesos, procedimientos y funciones a cargo de la subdirección - SBLG "/>
    <d v="2023-01-05T00:00:00"/>
    <d v="2023-01-16T00:00:00"/>
    <n v="11"/>
    <s v="CCE-16 Contratación directa "/>
    <x v="0"/>
    <s v="O232020200883990_Otros servicios profesionales, técnicos y empresariales n.c.p."/>
    <n v="99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24"/>
    <x v="3"/>
    <s v="O23011602300000007658 - Fortalecimiento del Cuerpo Oficial de Bomberos Bogotá"/>
    <s v="Subdirección Logística"/>
    <n v="80111600"/>
    <s v="Prestación de servicios profesionales para acompañar a la subdirección logística, en el diligenciamiento y  seguimiento de las herramientas  de gestión de los procedimientos a cargo de esta subdirección, así como la gestión , control  trámite y seguimient"/>
    <d v="2023-01-05T00:00:00"/>
    <d v="2023-01-16T00:00:00"/>
    <n v="10.5"/>
    <s v="CCE-16 Contratación directa "/>
    <x v="0"/>
    <s v="O232020200883990_Otros servicios profesionales, técnicos y empresariales n.c.p."/>
    <n v="1588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25"/>
    <x v="3"/>
    <s v="O23011602300000007658 - Fortalecimiento del Cuerpo Oficial de Bomberos Bogotá"/>
    <s v="Subdirección Logística"/>
    <n v="80111600"/>
    <s v="Prestación de servicios profesionales para apoyar a la subdirección logística en el seguimiento a indicadores, contratos, proyectos de inversión y desarrollo de actividades presupuestales a cargo de esta dependencia. - SBLG"/>
    <d v="2023-01-05T00:00:00"/>
    <d v="2023-01-16T00:00:00"/>
    <n v="10.5"/>
    <s v="CCE-16 Contratación directa "/>
    <x v="0"/>
    <s v="O232020200883990_Otros servicios profesionales, técnicos y empresariales n.c.p."/>
    <n v="272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26"/>
    <x v="3"/>
    <s v="O23011602300000007658 - Fortalecimiento del Cuerpo Oficial de Bomberos Bogotá"/>
    <s v="Subdirección Logística"/>
    <n v="80111600"/>
    <s v=" Prestación de servicios profesionales para acompañar a la subdirección logística, en el diligenciamiento y  seguimiento de las herramientas  de gestión de los procedimientos a cargo de esta subdirección, así como la gestión , control  trámite y seguimien"/>
    <d v="2023-01-05T00:00:00"/>
    <d v="2023-01-16T00:00:00"/>
    <n v="10.5"/>
    <s v="CCE-16 Contratación directa "/>
    <x v="0"/>
    <s v="O232020200883990_Otros servicios profesionales, técnicos y empresariales n.c.p."/>
    <n v="1588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27"/>
    <x v="3"/>
    <s v="O23011602300000007658 - Fortalecimiento del Cuerpo Oficial de Bomberos Bogotá"/>
    <s v="Subdirección Logística"/>
    <n v="80111600"/>
    <s v="Prestación de servicios de apoyo a la gestión para realizar la revisión, verificación y mantenimiento preventivo y correctivo al equipo menor a cargo de la Subdirección Logística - SBLG"/>
    <d v="2023-01-05T00:00:00"/>
    <d v="2023-01-16T00:00:00"/>
    <n v="10"/>
    <s v="CCE-16 Contratación directa "/>
    <x v="0"/>
    <s v="O232020200883990_Otros servicios profesionales, técnicos y empresariales n.c.p."/>
    <n v="279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28"/>
    <x v="3"/>
    <s v="O23011602300000007658 - Fortalecimiento del Cuerpo Oficial de Bomberos Bogotá"/>
    <s v="Subdirección Logística"/>
    <n v="80111600"/>
    <s v="Prestación de servicios de apoyo a la gestión en el seguimiento y control de los contratos de suministros y consumibles a cargo de la Subdirección Logística - SBLG"/>
    <d v="2023-01-05T00:00:00"/>
    <d v="2023-01-16T00:00:00"/>
    <n v="11"/>
    <s v="CCE-16 Contratación directa "/>
    <x v="0"/>
    <s v="O232020200883990_Otros servicios profesionales, técnicos y empresariales n.c.p."/>
    <n v="1276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29"/>
    <x v="3"/>
    <s v="O23011602300000007658 - Fortalecimiento del Cuerpo Oficial de Bomberos Bogotá"/>
    <s v="Subdirección Logística"/>
    <n v="80111600"/>
    <s v="Prestación de servicios de apoyo a la gestión para la Subdirección Logística en las actividades relacionadas con el componente administrativo de los procesos relacionados con consumibles y suministros y equipo menor a cargo de esta Subdirección.  - SBLG"/>
    <d v="2023-01-05T00:00:00"/>
    <d v="2023-01-16T00:00:00"/>
    <n v="10.5"/>
    <s v="CCE-16 Contratación directa "/>
    <x v="0"/>
    <s v="O232020200883990_Otros servicios profesionales, técnicos y empresariales n.c.p."/>
    <n v="1276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30"/>
    <x v="3"/>
    <s v="O23011602300000007658 - Fortalecimiento del Cuerpo Oficial de Bomberos Bogotá"/>
    <s v="Subdirección Logística"/>
    <n v="80111600"/>
    <s v="Prestación de servicios profesionales para apoyar la realización y ejercer el acompañamiento administrativo y financiero en la elaboración y revisión de las actas de liquidación y de cierre de expedientes, así como demás actuaciones administrativas requer"/>
    <d v="2023-01-05T00:00:00"/>
    <d v="2023-01-16T00:00:00"/>
    <n v="10.5"/>
    <s v="CCE-16 Contratación directa "/>
    <x v="0"/>
    <s v="O232020200883990_Otros servicios profesionales, técnicos y empresariales n.c.p."/>
    <n v="18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31"/>
    <x v="3"/>
    <s v="O23011602300000007658 - Fortalecimiento del Cuerpo Oficial de Bomberos Bogotá"/>
    <s v="Subdirección Logística"/>
    <n v="80111600"/>
    <s v="Prestación de servicios profesionales en la gestión y control administrativo y financiero de las actuaciones administrativas, procedimientos y ejecución de contratos a cargo de la Subdirección Logística – SBLG. "/>
    <d v="2023-01-05T00:00:00"/>
    <d v="2023-01-16T00:00:00"/>
    <n v="10.5"/>
    <s v="CCE-16 Contratación directa "/>
    <x v="0"/>
    <s v="O232020200883990_Otros servicios profesionales, técnicos y empresariales n.c.p."/>
    <n v="60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32"/>
    <x v="3"/>
    <s v="O23011602300000007658 - Fortalecimiento del Cuerpo Oficial de Bomberos Bogotá"/>
    <s v="Subdirección Logística"/>
    <n v="80111600"/>
    <s v="Prestación de servicios profesionales para la subdirección logística en el seguimiento y control del componente ambiental, así como, apoyar los procesos de implementación,  capacitación y manejo de la herramienta tecnológica y  gestión de los procedimient"/>
    <d v="2023-01-05T00:00:00"/>
    <d v="2023-01-16T00:00:00"/>
    <n v="10.5"/>
    <s v="CCE-16 Contratación directa "/>
    <x v="0"/>
    <s v="O232020200883990_Otros servicios profesionales, técnicos y empresariales n.c.p."/>
    <n v="18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33"/>
    <x v="3"/>
    <s v="O23011602300000007658 - Fortalecimiento del Cuerpo Oficial de Bomberos Bogotá"/>
    <s v="Subdirección Logística"/>
    <n v="80111600"/>
    <s v="Prestación de servicios profesionales para realizar el acompañamiento y apoyo en el seguimiento y control a los diferentes procesos y procedimientos del equipo menor a cargo de la Subdirección Logística - SBLG"/>
    <d v="2023-01-05T00:00:00"/>
    <d v="2023-01-16T00:00:00"/>
    <n v="10.5"/>
    <s v="CCE-16 Contratación directa "/>
    <x v="0"/>
    <s v="O232020200883990_Otros servicios profesionales, técnicos y empresariales n.c.p."/>
    <n v="1588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34"/>
    <x v="3"/>
    <s v="O23011602300000007658 - Fortalecimiento del Cuerpo Oficial de Bomberos Bogotá"/>
    <s v="Subdirección Logística"/>
    <n v="80111600"/>
    <s v="Prestación de servicios profesionales para realizar el seguimiento administrativo, operativo, control y monitoreo al desarrollo del proceso de mantenimiento del parque automotor, a cargo de la Subdirección Logística - SBLG"/>
    <d v="2023-01-05T00:00:00"/>
    <d v="2023-01-16T00:00:00"/>
    <n v="11"/>
    <s v="CCE-16 Contratación directa "/>
    <x v="0"/>
    <s v="O232020200883990_Otros servicios profesionales, técnicos y empresariales n.c.p."/>
    <n v="9295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36"/>
    <x v="3"/>
    <s v="O23011602300000007658 - Fortalecimiento del Cuerpo Oficial de Bomberos Bogotá"/>
    <s v="Subdirección Logística"/>
    <n v="80111600"/>
    <s v="Prestación de servicios de apoyo a la gestión para realizar la revisión, verificación y mantenimiento preventivo y correctivo al equipo menora cargo de la Subdirección Logística - SBLG"/>
    <d v="2023-01-05T00:00:00"/>
    <d v="2023-01-16T00:00:00"/>
    <n v="10.5"/>
    <s v="CCE-16 Contratación directa "/>
    <x v="0"/>
    <s v="O232020200883990_Otros servicios profesionales, técnicos y empresariales n.c.p."/>
    <n v="1276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37"/>
    <x v="3"/>
    <s v="O23011602300000007658 - Fortalecimiento del Cuerpo Oficial de Bomberos Bogotá"/>
    <s v="Subdirección Logística"/>
    <n v="80111600"/>
    <s v="Prestar servicios de apoyo a la gestión a la subdirección logística en el seguimiento técnico y administrativo del mantenimiento de los vehículos pertenecientes al parque automotor de la UAECOB. - SBLG"/>
    <d v="2023-04-20T00:00:00"/>
    <d v="2023-04-20T00:00:00"/>
    <n v="9"/>
    <s v="CCE-16 Contratación directa "/>
    <x v="0"/>
    <s v="O232020200883990_Otros servicios profesionales, técnicos y empresariales n.c.p."/>
    <n v="279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38"/>
    <x v="3"/>
    <s v="O23011602300000007658 - Fortalecimiento del Cuerpo Oficial de Bomberos Bogotá"/>
    <s v="Subdirección Logística"/>
    <n v="80111600"/>
    <s v="Prestación de servicios de apoyo en el control,  actualización y seguimiento de la gestión documental tanto física como digital, así mismo , apoyo en la recepción, trámite, seguimiento, diligenciamiento de bases de datos y control de las solicitudes o req"/>
    <d v="2023-01-05T00:00:00"/>
    <d v="2023-01-16T00:00:00"/>
    <n v="10.5"/>
    <s v="CCE-16 Contratación directa "/>
    <x v="0"/>
    <s v="O232020200883990_Otros servicios profesionales, técnicos y empresariales n.c.p."/>
    <n v="9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39"/>
    <x v="3"/>
    <s v="O23011602300000007658 - Fortalecimiento del Cuerpo Oficial de Bomberos Bogotá"/>
    <s v="Subdirección Logística"/>
    <n v="80111600"/>
    <s v="Prestación de servicios de apoyo a la gestión para realizar el seguimiento y control de las bases de datos y actualización de hojas de vida del equipo menor a cargo de la Subdirección Logística - SBLG"/>
    <d v="2023-01-05T00:00:00"/>
    <d v="2023-01-16T00:00:00"/>
    <n v="10.5"/>
    <s v="CCE-16 Contratación directa "/>
    <x v="0"/>
    <s v="O232020200883990_Otros servicios profesionales, técnicos y empresariales n.c.p."/>
    <n v="1276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40"/>
    <x v="3"/>
    <s v="O23011602300000007658 - Fortalecimiento del Cuerpo Oficial de Bomberos Bogotá"/>
    <s v="Subdirección Logística"/>
    <n v="80111600"/>
    <s v="Prestación de servicios profesionales para realizar el seguimiento operativo, monitoreo,  programación  de los mantenimientos preventivos y correctivos del equipo menor  a cargo de la Subdirección Logística - SBLG"/>
    <d v="2023-01-05T00:00:00"/>
    <d v="2023-01-16T00:00:00"/>
    <n v="10.5"/>
    <s v="CCE-16 Contratación directa "/>
    <x v="0"/>
    <s v="O232020200883990_Otros servicios profesionales, técnicos y empresariales n.c.p."/>
    <n v="18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41"/>
    <x v="3"/>
    <s v="O23011602300000007658 - Fortalecimiento del Cuerpo Oficial de Bomberos Bogotá"/>
    <s v="Subdirección Logística"/>
    <n v="80111600"/>
    <s v="Prestación de servicios profesionales para realizar el seguimiento administrativo, operativo, control y monitoreo a los vehículos  del parque automotor, que se encuentren o sean objeto de mantenimiento a cargo de la Subdirección Logística - SBLG"/>
    <d v="2023-01-05T00:00:00"/>
    <d v="2023-01-16T00:00:00"/>
    <n v="11"/>
    <s v="CCE-16 Contratación directa "/>
    <x v="0"/>
    <s v="O232020200883990_Otros servicios profesionales, técnicos y empresariales n.c.p."/>
    <n v="7931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42"/>
    <x v="3"/>
    <s v="O23011602300000007658 - Fortalecimiento del Cuerpo Oficial de Bomberos Bogotá"/>
    <s v="Subdirección Logística"/>
    <n v="80111600"/>
    <s v="Prestación de servicios profesionales en el análisis, organización, gestión y seguimiento de los casos reportados a través de las herramientas o aplicativos implementados por la Subdirección Logística - SBLG"/>
    <d v="2023-04-20T00:00:00"/>
    <d v="2023-04-20T00:00:00"/>
    <n v="9"/>
    <s v="CCE-16 Contratación directa "/>
    <x v="0"/>
    <s v="O232020200883990_Otros servicios profesionales, técnicos y empresariales n.c.p."/>
    <n v="24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43"/>
    <x v="3"/>
    <s v="O23011602300000007658 - Fortalecimiento del Cuerpo Oficial de Bomberos Bogotá"/>
    <s v="Subdirección Logística"/>
    <n v="80111600"/>
    <s v="Prestación de servicios profesionales para apoyar la realización y ejercer el acompañamiento administrativo y financiero en la elaboración y revisión de las actas de liquidación y de cierre de expedientes, así como demás actuaciones administrativas requer"/>
    <d v="2023-01-05T00:00:00"/>
    <d v="2023-01-16T00:00:00"/>
    <n v="10.5"/>
    <s v="CCE-16 Contratación directa "/>
    <x v="0"/>
    <s v="O232020200883990_Otros servicios profesionales, técnicos y empresariales n.c.p."/>
    <n v="188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44"/>
    <x v="3"/>
    <s v="O23011602300000007658 - Fortalecimiento del Cuerpo Oficial de Bomberos Bogotá"/>
    <s v="Subdirección Logística"/>
    <n v="80111600"/>
    <s v="Prestación de servicios profesionales para acompañar a la Subdirección Logística, en la estructuración y definición de aspectos jurídicos en las etapas precontractuales, contractuales y postcontractuales  en el marco de los procesos y procedimientos a car"/>
    <d v="2023-01-05T00:00:00"/>
    <d v="2023-01-16T00:00:00"/>
    <n v="10"/>
    <s v="CCE-16 Contratación directa "/>
    <x v="0"/>
    <s v="O232020200882199_Otros servicios jurídicos n.c.p."/>
    <n v="6000004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45"/>
    <x v="3"/>
    <s v="O23011602300000007658 - Fortalecimiento del Cuerpo Oficial de Bomberos Bogotá"/>
    <s v="Subdirección Logística"/>
    <n v="80111600"/>
    <s v="Prestación de servicios profesionales para realizar el seguimiento administrativo y financiero al proceso de mantenimiento del parque automotor de la entidad, a cargo de la Subdirección Logística - SBLG"/>
    <d v="2023-01-05T00:00:00"/>
    <d v="2023-01-16T00:00:00"/>
    <n v="10.5"/>
    <s v="CCE-16 Contratación directa "/>
    <x v="0"/>
    <s v="O232020200883990_Otros servicios profesionales, técnicos y empresariales n.c.p."/>
    <n v="1742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46"/>
    <x v="3"/>
    <s v="O23011602300000007658 - Fortalecimiento del Cuerpo Oficial de Bomberos Bogotá"/>
    <s v="Subdirección Logística"/>
    <n v="80111600"/>
    <s v="Prestación de servicios profesionales de carácter administrativo y financiero en el marco de los procesos y procedimientos a cargo de la Subdirección Logística - SBLG"/>
    <d v="2023-01-05T00:00:00"/>
    <d v="2023-01-16T00:00:00"/>
    <n v="10.5"/>
    <s v="CCE-16 Contratación directa "/>
    <x v="0"/>
    <s v="O232020200883990_Otros servicios profesionales, técnicos y empresariales n.c.p."/>
    <n v="18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47"/>
    <x v="3"/>
    <s v="O23011602300000007658 - Fortalecimiento del Cuerpo Oficial de Bomberos Bogotá"/>
    <s v="Subdirección Logística"/>
    <n v="80111600"/>
    <s v="Prestación de servicios profesionales en la formulación e implementación de estrategias de comunicación que promueva el uso y apropiación de los programas desarrolados por la Subdirección Logística - SBLG"/>
    <d v="2023-01-05T00:00:00"/>
    <d v="2023-01-16T00:00:00"/>
    <n v="10"/>
    <s v="CCE-16 Contratación directa "/>
    <x v="0"/>
    <s v="O232020200883990_Otros servicios profesionales, técnicos y empresariales n.c.p."/>
    <n v="495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48"/>
    <x v="3"/>
    <s v="O23011602300000007658 - Fortalecimiento del Cuerpo Oficial de Bomberos Bogotá"/>
    <s v="Subdirección Logística"/>
    <n v="80111600"/>
    <s v="Prestación de servicios de apoyo a la gestión de carácter asistencial, administrativo y documental para la atención de requerimientos, solicitudes y tramites del personal operativo logístico - SBLG "/>
    <d v="2023-01-05T00:00:00"/>
    <d v="2023-01-16T00:00:00"/>
    <n v="10.5"/>
    <s v="CCE-16 Contratación directa "/>
    <x v="0"/>
    <s v="O232020200883990_Otros servicios profesionales, técnicos y empresariales n.c.p."/>
    <n v="12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49"/>
    <x v="3"/>
    <s v="O23011602300000007658 - Fortalecimiento del Cuerpo Oficial de Bomberos Bogotá"/>
    <s v="Subdirección Logística"/>
    <n v="80111600"/>
    <s v="Prestación de servicios de apoyo a la gestión para realizar la revisión, verificación y mantenimiento preventivo y correctivo al equipo menor cargo de la Subdirección Logística - SBLG"/>
    <d v="2023-01-05T00:00:00"/>
    <d v="2023-01-16T00:00:00"/>
    <n v="11.5"/>
    <s v="CCE-16 Contratación directa "/>
    <x v="0"/>
    <s v="O232020200883990_Otros servicios profesionales, técnicos y empresariales n.c.p."/>
    <n v="1276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50"/>
    <x v="3"/>
    <s v="O23011602300000007658 - Fortalecimiento del Cuerpo Oficial de Bomberos Bogotá"/>
    <s v="Subdirección Logística"/>
    <n v="80111600"/>
    <s v="Prestación de servicios de apoyo a la gestión de carácter administrativo y documental para la atención de requerimientos y solicitudes y realización de trámites relacionados con los procesos y procedimientos a cargo de la Subdirección Logística - SBLG"/>
    <d v="2023-01-05T00:00:00"/>
    <d v="2023-01-16T00:00:00"/>
    <n v="10"/>
    <s v="CCE-16 Contratación directa "/>
    <x v="0"/>
    <s v="O232020200883990_Otros servicios profesionales, técnicos y empresariales n.c.p."/>
    <n v="12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51"/>
    <x v="3"/>
    <s v="O23011602300000007658 - Fortalecimiento del Cuerpo Oficial de Bomberos Bogotá"/>
    <s v="Subdirección Logística"/>
    <n v="80111600"/>
    <s v="Prestación de servicios de apoyo a la gestión administrativa, operativa y documental del parque automotor que administra la Subdirección Logística- SBLG"/>
    <d v="2023-03-20T00:00:00"/>
    <d v="2023-03-20T00:00:00"/>
    <n v="10"/>
    <s v="CCE-16 Contratación directa "/>
    <x v="0"/>
    <s v="O232020200883990_Otros servicios profesionales, técnicos y empresariales n.c.p."/>
    <n v="64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52"/>
    <x v="3"/>
    <s v="O23011602300000007658 - Fortalecimiento del Cuerpo Oficial de Bomberos Bogotá"/>
    <s v="Subdirección Logística"/>
    <n v="80111600"/>
    <s v="Prestar por sus propios medios con plena autonomía técnica y administrativa, sus servicios profesionales a la Subdirección Logistica de la UAE Cuerpo Oficial de Bomberos de Bogota D.C., generando información de valor, recomendaciones, alertas e instrument"/>
    <d v="2023-01-05T00:00:00"/>
    <d v="2023-01-16T00:00:00"/>
    <n v="10"/>
    <s v="CCE-16 Contratación directa "/>
    <x v="0"/>
    <s v="O232020200883990_Otros servicios profesionales, técnicos y empresariales n.c.p."/>
    <n v="24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53"/>
    <x v="3"/>
    <s v="O23011602300000007658 - Fortalecimiento del Cuerpo Oficial de Bomberos Bogotá"/>
    <s v="Subdirección Logística"/>
    <n v="80111600"/>
    <s v="Prestar por sus propios medios, con autonomía técnica y administrativa sus servicios profesionales para brindar acompañamiento jurídico a la Subdirección Logística, en la proyección de solicitudes dirigidas a autoridades administrativas y en la sustanciac"/>
    <d v="2023-01-05T00:00:00"/>
    <d v="2023-01-16T00:00:00"/>
    <n v="10.5"/>
    <s v="CCE-16 Contratación directa "/>
    <x v="0"/>
    <s v="O232020200883990_Otros servicios profesionales, técnicos y empresariales n.c.p."/>
    <n v="154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54"/>
    <x v="3"/>
    <s v="O23011602300000007658 - Fortalecimiento del Cuerpo Oficial de Bomberos Bogotá"/>
    <s v="Subdirección Logística"/>
    <n v="80111600"/>
    <s v="Prestar por sus propios medios con plena autonomía técnica y administrativa, sus servicios profesionales a la Subdirección Logistica de la UAE Cuerpo Oficial de Bomberos de Bogota D.C., para la generación de informes técnicos a partir de las fallas presen"/>
    <d v="2023-01-05T00:00:00"/>
    <d v="2023-01-16T00:00:00"/>
    <n v="11"/>
    <s v="CCE-16 Contratación directa "/>
    <x v="0"/>
    <s v="O232020200883990_Otros servicios profesionales, técnicos y empresariales n.c.p."/>
    <n v="715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255"/>
    <x v="3"/>
    <s v="O23011602300000007658 - Fortalecimiento del Cuerpo Oficial de Bomberos Bogotá"/>
    <s v="Subdirección Logística"/>
    <n v="80111600"/>
    <s v="Adición al contrato 103-2022 Prestación de servicios profesionales para acompañar a la Subdirección Logística en la estructuración y definición de aspectos técnicos y financieros en  los diferentes procesos de contratación de bienes y servicios en las eta"/>
    <d v="2023-01-05T00:00:00"/>
    <d v="2023-01-16T00:00:00"/>
    <n v="11.5"/>
    <s v="CCE-16 Contratación directa "/>
    <x v="0"/>
    <s v="O232020200883990_Otros servicios profesionales, técnicos y empresariales n.c.p."/>
    <n v="86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256"/>
    <x v="0"/>
    <s v="O23011605560000007655 - Fortalecimiento de la Planeación y Gestión de la UAECOB Bogotá"/>
    <s v="Subdirección de Gestión del Riesgo"/>
    <n v="80111600"/>
    <s v="Prestar servicios profesionales a la Subdirección de Gestión del Riesgo apoyando las actividades de coordinación del proceso de Conocimiento del Riesgo._SGR"/>
    <d v="2023-04-15T00:00:00"/>
    <d v="2023-04-15T00:00:00"/>
    <n v="8"/>
    <s v="CCE-16 Contratación directa "/>
    <x v="0"/>
    <s v="O232020200883990_Otros servicios profesionales, técnicos y empresariales n.c.p."/>
    <n v="35981333"/>
    <s v="1-Implementar 1 plan de ajuste y sostenibilidad del MIPG en la UAECOB"/>
    <s v="516-Gestionar el 100% de un (1) plan de adecuación y sostenibilidad de los sistemas de gestión de la Unidad Administrativa Especial Cuerpo Oficial de Bomberos"/>
    <s v="SI SECOP"/>
  </r>
  <r>
    <n v="2023257"/>
    <x v="3"/>
    <s v="O23011602300000007658 - Fortalecimiento del Cuerpo Oficial de Bomberos Bogotá"/>
    <s v="Subdirección de Gestión del Riesgo"/>
    <s v="78121600 _x000a_78131800 _x000a_92111600 _x000a_72141500"/>
    <s v="Contratar los servicios de recolección, manipulación, almacenamiento temporal, transporte y disposición final (destrucción o devolución) de pólvora, fuegos artificiales, globos y demás artículos pirotécnicos incautados por las autoridades competentes en e"/>
    <d v="2023-01-15T00:00:00"/>
    <d v="2023-03-15T00:00:00"/>
    <n v="8"/>
    <s v="CCE-02 Licitación pública"/>
    <x v="0"/>
    <s v="O232020200883990_Otros servicios profesionales, técnicos y empresariales n.c.p."/>
    <n v="786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58"/>
    <x v="3"/>
    <s v="O23011602300000007658 - Fortalecimiento del Cuerpo Oficial de Bomberos Bogotá"/>
    <s v="Subdirección de Gestión del Riesgo"/>
    <s v="80141900_x000a_90111500_x000a_90111600_x000a_80141900"/>
    <s v="Prestación de servicios como operador logístico, relacionados con la organización, administración, ejecución y demás acciones logísticas con el fin de promover temáticas que fortalezcan la misionalidad de la entidad a través de la protección de la vida, e"/>
    <d v="2023-04-06T00:00:00"/>
    <d v="2023-06-01T00:00:00"/>
    <n v="6"/>
    <s v="CCE-06 Selección abreviada menor cuantía"/>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59"/>
    <x v="3"/>
    <s v="O23011602300000007658 - Fortalecimiento del Cuerpo Oficial de Bomberos Bogotá"/>
    <s v="Subdirección de Gestión del Riesgo"/>
    <s v="43232300; _x000a_43232500;_x000a_43233700;_x000a_86141500;_x000a_81111800;_x000a_81112500;_x000a_86141700;_x000a_86111500;"/>
    <s v="Contratar un servicio de acceso a la herramienta LMS E-learning, que permita el desarrollo de las capacitaciones virtuales programadas en la UAECOB._SGR"/>
    <d v="2023-01-20T00:00:00"/>
    <d v="2023-05-31T00:00:00"/>
    <n v="8"/>
    <s v="CCE-06 Selección abreviada menor cuantía"/>
    <x v="0"/>
    <s v="O232020200883990_Otros servicios profesionales, técnicos y empresariales n.c.p."/>
    <n v="105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0"/>
    <x v="3"/>
    <s v="O23011602300000007658 - Fortalecimiento del Cuerpo Oficial de Bomberos Bogotá"/>
    <s v="Subdirección de Gestión del Riesgo"/>
    <s v="76122304 _x000a_76122404 _x000a_76122203 _x000a_76121502 _x000a_76121901 _x000a_76131701 _x000a_76121902 "/>
    <s v="Prestación de servicio para la recolección y disposición final de residuos huérfanos para la UAE Cuerpo Oficial de Bomberos_SGR"/>
    <d v="2023-05-01T00:00:00"/>
    <d v="2023-06-01T00:00:00"/>
    <n v="10"/>
    <s v="CCE-10 Mínima cuantía"/>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1"/>
    <x v="3"/>
    <s v="O23011602300000007658 - Fortalecimiento del Cuerpo Oficial de Bomberos Bogotá"/>
    <s v="Subdirección de Gestión del Riesgo"/>
    <s v="60121104_x000a_60121708_x000a_44111515_x000a_24121503_x000a_24112404_x000a_31201512_x000a_12352104"/>
    <s v="Adquisición de insumos y materias primas para la producción de impresos de artes gráficas_ SGR."/>
    <d v="2023-07-11T00:00:00"/>
    <d v="2023-08-01T00:00:00"/>
    <n v="2"/>
    <s v="CCE-10 Mínima cuantía"/>
    <x v="0"/>
    <s v="O232020200883990_Otros servicios profesionales, técnicos y empresariales n.c.p."/>
    <n v="31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2"/>
    <x v="3"/>
    <s v="O23011602300000007658 - Fortalecimiento del Cuerpo Oficial de Bomberos Bogotá"/>
    <s v="Subdirección de Gestión del Riesgo"/>
    <n v="80111600"/>
    <s v="Prestar servicios profesionales para el desarrollo de actividades de planeación y desarrollo de programas y proyectos para la Subdirección de Gestión del Riesgo._SGR"/>
    <d v="2023-03-01T00:00:00"/>
    <d v="2023-03-01T00:00:00"/>
    <n v="6"/>
    <s v="CCE-16 Contratación directa "/>
    <x v="0"/>
    <s v="O232020200883990_Otros servicios profesionales, técnicos y empresariales n.c.p."/>
    <n v="3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3"/>
    <x v="3"/>
    <s v="O23011602300000007658 - Fortalecimiento del Cuerpo Oficial de Bomberos Bogotá"/>
    <s v="Subdirección de Gestión del Riesgo"/>
    <n v="80111600"/>
    <s v="Apoyar profesionalmente la coordinación y establecimiento de los planes intersectoriales en materia de prevención y atención de incendios e incidentes con materiales peligrosos._SGR"/>
    <d v="2023-01-16T00:00:00"/>
    <d v="2023-01-16T00:00:00"/>
    <n v="1"/>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4"/>
    <x v="3"/>
    <s v="O23011602300000007658 - Fortalecimiento del Cuerpo Oficial de Bomberos Bogotá"/>
    <s v="Subdirección de Gestión del Riesgo"/>
    <n v="80111600"/>
    <s v="Prestar servicios profesionales en la Subdireccion de Gestion del Riesgo para el fortalecimiento de la capacidad predictiva relacionada con los riesgos misionales de la Entidad._SGR"/>
    <d v="2023-01-16T00:00:00"/>
    <d v="2023-01-16T00:00:00"/>
    <n v="10"/>
    <s v="CCE-16 Contratación directa "/>
    <x v="0"/>
    <s v="O232020200883990_Otros servicios profesionales, técnicos y empresariales n.c.p."/>
    <n v="8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5"/>
    <x v="3"/>
    <s v="O23011602300000007658 - Fortalecimiento del Cuerpo Oficial de Bomberos Bogotá"/>
    <s v="Subdirección de Gestión del Riesgo"/>
    <n v="80111600"/>
    <s v="Prestar servicios profesionales en las actividades del MIPG de la Subdirección de Gestión del riesgo._SGR"/>
    <d v="2023-01-16T00:00:00"/>
    <d v="2023-01-16T00:00:00"/>
    <n v="10"/>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6"/>
    <x v="3"/>
    <s v="O23011602300000007658 - Fortalecimiento del Cuerpo Oficial de Bomberos Bogotá"/>
    <s v="Subdirección de Gestión del Riesgo"/>
    <n v="80111600"/>
    <s v="Prestar servicios profesionales para el desarrollo de los contenidos graficos, piezas comunicativa y de imagen institucional para la Subdirección de Gestión del riesgo._SGR"/>
    <d v="2023-01-16T00:00:00"/>
    <d v="2023-01-16T00:00:00"/>
    <n v="10"/>
    <s v="CCE-16 Contratación directa "/>
    <x v="0"/>
    <s v="O232020200883990_Otros servicios profesionales, técnicos y empresariales n.c.p."/>
    <n v="168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7"/>
    <x v="3"/>
    <s v="O23011602300000007658 - Fortalecimiento del Cuerpo Oficial de Bomberos Bogotá"/>
    <s v="Subdirección de Gestión del Riesgo"/>
    <n v="80111600"/>
    <s v="Prestar servicios de apoyo para la estructuracion y seguimiento de los procesos contractuales y demas aspectos juridicos de la Subdirección de Gestión del riesgo._SGR"/>
    <d v="2023-01-16T00:00:00"/>
    <d v="2023-01-16T00:00:00"/>
    <n v="4"/>
    <s v="CCE-16 Contratación directa "/>
    <x v="0"/>
    <s v="O232020200883990_Otros servicios profesionales, técnicos y empresariales n.c.p."/>
    <n v="13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8"/>
    <x v="3"/>
    <s v="O23011602300000007658 - Fortalecimiento del Cuerpo Oficial de Bomberos Bogotá"/>
    <s v="Subdirección de Gestión del Riesgo"/>
    <n v="80111600"/>
    <s v="Prestar servicios profesionales para el apoyo en la gestión administrativa y análisis financiero de la subdirección de gestión del riesgo._SGR"/>
    <d v="2023-01-16T00:00:00"/>
    <d v="2023-01-16T00:00:00"/>
    <n v="4"/>
    <s v="CCE-16 Contratación directa "/>
    <x v="0"/>
    <s v="O232020200883990_Otros servicios profesionales, técnicos y empresariales n.c.p."/>
    <n v="168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69"/>
    <x v="3"/>
    <s v="O23011602300000007658 - Fortalecimiento del Cuerpo Oficial de Bomberos Bogotá"/>
    <s v="Subdirección de Gestión del Riesgo"/>
    <n v="80111600"/>
    <s v="Apoyar las actividades de la Subdirección de Gestión del Riesgo relacionadas con el seguimiento y control de sus solicitudes y peticiones._SGR "/>
    <d v="2023-01-16T00:00:00"/>
    <d v="2023-01-16T00:00:00"/>
    <n v="4"/>
    <s v="CCE-16 Contratación directa "/>
    <x v="0"/>
    <s v="O232020200883990_Otros servicios profesionales, técnicos y empresariales n.c.p."/>
    <n v="11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0"/>
    <x v="3"/>
    <s v="O23011602300000007658 - Fortalecimiento del Cuerpo Oficial de Bomberos Bogotá"/>
    <s v="Subdirección de Gestión del Riesgo"/>
    <n v="80111600"/>
    <s v="Prestar servicios profesionales  en las actividades de soporte operacional de la UAECOB._SGR"/>
    <d v="2023-01-16T00:00:00"/>
    <d v="2023-01-16T00:00:00"/>
    <n v="10"/>
    <s v="CCE-16 Contratación directa "/>
    <x v="0"/>
    <s v="O232020200883990_Otros servicios profesionales, técnicos y empresariales n.c.p."/>
    <n v="15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1"/>
    <x v="3"/>
    <s v="O23011602300000007658 - Fortalecimiento del Cuerpo Oficial de Bomberos Bogotá"/>
    <s v="Subdirección de Gestión del Riesgo"/>
    <n v="80111600"/>
    <s v="Prestar servicios de apoyo a la gestión en las actividades de soporte operacional de la UAECOB._SGR"/>
    <d v="2023-01-16T00:00:00"/>
    <d v="2023-01-16T00:00:00"/>
    <n v="4"/>
    <s v="CCE-16 Contratación directa "/>
    <x v="0"/>
    <s v="O232020200883990_Otros servicios profesionales, técnicos y empresariales n.c.p."/>
    <n v="112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2"/>
    <x v="3"/>
    <s v="O23011602300000007658 - Fortalecimiento del Cuerpo Oficial de Bomberos Bogotá"/>
    <s v="Subdirección de Gestión del Riesgo"/>
    <n v="80111600"/>
    <s v="Prestar servicios de apoyo a la gestión en las actividades de soporte operacional de la UAECOB._SGR"/>
    <d v="2023-01-16T00:00:00"/>
    <d v="2023-01-16T00:00:00"/>
    <n v="3"/>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3"/>
    <x v="3"/>
    <s v="O23011602300000007658 - Fortalecimiento del Cuerpo Oficial de Bomberos Bogotá"/>
    <s v="Subdirección de Gestión del Riesgo"/>
    <n v="80111600"/>
    <s v="Prestar servicios de apoyo a la gestión en las actividades de soporte operacional de la UAECOB._SGR"/>
    <d v="2023-01-16T00:00:00"/>
    <d v="2023-01-16T00:00:00"/>
    <n v="3"/>
    <s v="CCE-16 Contratación directa "/>
    <x v="0"/>
    <s v="O232020200883990_Otros servicios profesionales, técnicos y empresariales n.c.p."/>
    <n v="82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4"/>
    <x v="3"/>
    <s v="O23011602300000007658 - Fortalecimiento del Cuerpo Oficial de Bomberos Bogotá"/>
    <s v="Subdirección de Gestión del Riesgo"/>
    <n v="80111600"/>
    <s v="Prestar servicios de apoyo a la gestión en las actividades de soporte operacional de la UAECOB._SGR"/>
    <d v="2023-01-16T00:00:00"/>
    <d v="2023-01-16T00:00:00"/>
    <n v="3"/>
    <s v="CCE-16 Contratación directa "/>
    <x v="0"/>
    <s v="O232020200883990_Otros servicios profesionales, técnicos y empresariales n.c.p."/>
    <n v="82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5"/>
    <x v="3"/>
    <s v="O23011602300000007658 - Fortalecimiento del Cuerpo Oficial de Bomberos Bogotá"/>
    <s v="Subdirección de Gestión del Riesgo"/>
    <n v="80111600"/>
    <s v="Prestar servicios de apoyo a la gestión en las actividades de soporte operacional de la UAECOB._SGR"/>
    <d v="2023-01-16T00:00:00"/>
    <d v="2023-01-16T00:00:00"/>
    <n v="2"/>
    <s v="CCE-16 Contratación directa "/>
    <x v="0"/>
    <s v="O232020200883990_Otros servicios profesionales, técnicos y empresariales n.c.p."/>
    <n v="56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6"/>
    <x v="3"/>
    <s v="O23011602300000007658 - Fortalecimiento del Cuerpo Oficial de Bomberos Bogotá"/>
    <s v="Subdirección de Gestión del Riesgo"/>
    <n v="80111600"/>
    <s v="Prestar servicios de apoyo a la gestión en las actividades de soporte operacional de la UAECOB._SGR"/>
    <d v="2023-01-16T00:00:00"/>
    <d v="2023-01-16T00:00:00"/>
    <n v="4"/>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7"/>
    <x v="3"/>
    <s v="O23011602300000007658 - Fortalecimiento del Cuerpo Oficial de Bomberos Bogotá"/>
    <s v="Subdirección de Gestión del Riesgo"/>
    <n v="80111600"/>
    <s v="Prestar servicios de apoyo a la gestión en las actividades de soporte operacional de la UAECOB._SGR"/>
    <d v="2023-01-16T00:00:00"/>
    <d v="2023-01-16T00:00:00"/>
    <n v="8"/>
    <s v="CCE-16 Contratación directa "/>
    <x v="0"/>
    <s v="O232020200883990_Otros servicios profesionales, técnicos y empresariales n.c.p."/>
    <n v="56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8"/>
    <x v="3"/>
    <s v="O23011602300000007658 - Fortalecimiento del Cuerpo Oficial de Bomberos Bogotá"/>
    <s v="Subdirección de Gestión del Riesgo"/>
    <n v="80111600"/>
    <s v="Prestar servicios de apoyo a la gestión como conductor en la Subdirección de Gestión del Riesgo._SGR"/>
    <d v="2023-01-16T00:00:00"/>
    <d v="2023-01-16T00:00:00"/>
    <n v="4"/>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79"/>
    <x v="3"/>
    <s v="O23011602300000007658 - Fortalecimiento del Cuerpo Oficial de Bomberos Bogotá"/>
    <s v="Subdirección de Gestión del Riesgo"/>
    <n v="80111600"/>
    <s v="Prestar servicios de apoyo a la gestion en las actividades de monitoreo del riesgo para la Subdirección de Gestión del Riesgo._SGR Analista"/>
    <d v="2023-01-16T00:00:00"/>
    <d v="2023-01-16T00:00:00"/>
    <n v="3"/>
    <s v="CCE-16 Contratación directa "/>
    <x v="0"/>
    <s v="O232020200883990_Otros servicios profesionales, técnicos y empresariales n.c.p."/>
    <n v="9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0"/>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1-16T00:00:00"/>
    <d v="2023-01-16T00:00:00"/>
    <n v="3"/>
    <s v="CCE-16 Contratación directa "/>
    <x v="0"/>
    <s v="O232020200883990_Otros servicios profesionales, técnicos y empresariales n.c.p."/>
    <n v="7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1"/>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1-16T00:00:00"/>
    <d v="2023-01-16T00:00:00"/>
    <n v="4"/>
    <s v="CCE-16 Contratación directa "/>
    <x v="0"/>
    <s v="O232020200883990_Otros servicios profesionales, técnicos y empresariales n.c.p."/>
    <n v="1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2"/>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1-16T00:00:00"/>
    <d v="2023-01-16T00:00:00"/>
    <n v="4"/>
    <s v="CCE-16 Contratación directa "/>
    <x v="0"/>
    <s v="O232020200883990_Otros servicios profesionales, técnicos y empresariales n.c.p."/>
    <n v="1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3"/>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1-16T00:00:00"/>
    <d v="2023-01-16T00:00:00"/>
    <n v="4"/>
    <s v="CCE-16 Contratación directa "/>
    <x v="0"/>
    <s v="O232020200883990_Otros servicios profesionales, técnicos y empresariales n.c.p."/>
    <n v="1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4"/>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1-16T00:00:00"/>
    <d v="2023-01-16T00:00:00"/>
    <n v="4"/>
    <s v="CCE-16 Contratación directa "/>
    <x v="0"/>
    <s v="O232020200883990_Otros servicios profesionales, técnicos y empresariales n.c.p."/>
    <n v="1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5"/>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1-16T00:00:00"/>
    <d v="2023-01-16T00:00:00"/>
    <n v="4"/>
    <s v="CCE-16 Contratación directa "/>
    <x v="0"/>
    <s v="O232020200883990_Otros servicios profesionales, técnicos y empresariales n.c.p."/>
    <n v="7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6"/>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1-16T00:00:00"/>
    <d v="2023-01-16T00:00:00"/>
    <n v="4"/>
    <s v="CCE-16 Contratación directa "/>
    <x v="0"/>
    <s v="O232020200883990_Otros servicios profesionales, técnicos y empresariales n.c.p."/>
    <n v="1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7"/>
    <x v="3"/>
    <s v="O23011602300000007658 - Fortalecimiento del Cuerpo Oficial de Bomberos Bogotá"/>
    <s v="Subdirección de Gestión del Riesgo"/>
    <n v="80111600"/>
    <s v="Prestar servicios profesionales en las actividades de identificacion de escenarios a cargo de la Subdirección de Gestión del Riesgo._SGR"/>
    <d v="2023-01-16T00:00:00"/>
    <d v="2023-01-16T00:00:00"/>
    <n v="4"/>
    <s v="CCE-16 Contratación directa "/>
    <x v="0"/>
    <s v="O232020200883990_Otros servicios profesionales, técnicos y empresariales n.c.p."/>
    <n v="18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8"/>
    <x v="3"/>
    <s v="O23011602300000007658 - Fortalecimiento del Cuerpo Oficial de Bomberos Bogotá"/>
    <s v="Subdirección de Gestión del Riesgo"/>
    <n v="80111600"/>
    <s v="Prestar servicios profesionales en las actividades de análisis de información de escenarios a cargo de la Subdirección de Gestión del Riesgo.._SGR"/>
    <d v="2023-01-16T00:00:00"/>
    <d v="2023-01-16T00:00:00"/>
    <n v="4"/>
    <s v="CCE-16 Contratación directa "/>
    <x v="0"/>
    <s v="O232020200883990_Otros servicios profesionales, técnicos y empresariales n.c.p."/>
    <n v="18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89"/>
    <x v="3"/>
    <s v="O23011602300000007658 - Fortalecimiento del Cuerpo Oficial de Bomberos Bogotá"/>
    <s v="Subdirección de Gestión del Riesgo"/>
    <n v="80111600"/>
    <s v="Prestar  servicios profesionales en las actividades de proyeccion e innovacion para la Subdirección de Gestión del Riesgo._SGR"/>
    <d v="2023-01-16T00:00:00"/>
    <d v="2023-01-16T00:00:00"/>
    <n v="4"/>
    <s v="CCE-16 Contratación directa "/>
    <x v="0"/>
    <s v="O232020200883990_Otros servicios profesionales, técnicos y empresariales n.c.p."/>
    <n v="19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0"/>
    <x v="3"/>
    <s v="O23011602300000007658 - Fortalecimiento del Cuerpo Oficial de Bomberos Bogotá"/>
    <s v="Subdirección de Gestión del Riesgo"/>
    <n v="80111600"/>
    <s v="Prestar  servicios profesionales en las actividades de proyeccion e innovacion para la Subdirección de Gestión del Riesgo._SGR"/>
    <d v="2023-01-16T00:00:00"/>
    <d v="2023-01-16T00:00:00"/>
    <n v="4"/>
    <s v="CCE-16 Contratación directa "/>
    <x v="0"/>
    <s v="O232020200883990_Otros servicios profesionales, técnicos y empresariales n.c.p."/>
    <n v="19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1"/>
    <x v="3"/>
    <s v="O23011602300000007658 - Fortalecimiento del Cuerpo Oficial de Bomberos Bogotá"/>
    <s v="Subdirección de Gestión del Riesgo"/>
    <n v="80111600"/>
    <s v="Prestar  servicios profesionales en las actividades de proyeccion e innovacion para la Subdirección de Gestión del Riesgo._SGR"/>
    <d v="2023-01-16T00:00:00"/>
    <d v="2023-01-16T00:00:00"/>
    <n v="3"/>
    <s v="CCE-16 Contratación directa "/>
    <x v="0"/>
    <s v="O232020200883990_Otros servicios profesionales, técnicos y empresariales n.c.p."/>
    <n v="145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2"/>
    <x v="3"/>
    <s v="O23011602300000007658 - Fortalecimiento del Cuerpo Oficial de Bomberos Bogotá"/>
    <s v="Subdirección de Gestión del Riesgo"/>
    <n v="80111600"/>
    <s v="Prestar sus servicios profesionales en las actividades relacionadas con la emision de conceptos a cargo de la Subdirección de Gestión del Riesgo._SGR"/>
    <d v="2023-01-16T00:00:00"/>
    <d v="2023-01-16T00:00:00"/>
    <n v="3"/>
    <s v="CCE-16 Contratación directa "/>
    <x v="0"/>
    <s v="O232020200883990_Otros servicios profesionales, técnicos y empresariales n.c.p."/>
    <n v="18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3"/>
    <x v="3"/>
    <s v="O23011602300000007658 - Fortalecimiento del Cuerpo Oficial de Bomberos Bogotá"/>
    <s v="Subdirección de Gestión del Riesgo"/>
    <n v="80111600"/>
    <s v="Prestar sus servicios profesionales en las actividades relacionadas con la emision de conceptos a cargo de la Subdirección de Gestión del Riesgo._SGR"/>
    <d v="2023-01-16T00:00:00"/>
    <d v="2023-01-16T00:00:00"/>
    <n v="3"/>
    <s v="CCE-16 Contratación directa "/>
    <x v="0"/>
    <s v="O232020200883990_Otros servicios profesionales, técnicos y empresariales n.c.p."/>
    <n v="16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4"/>
    <x v="3"/>
    <s v="O23011602300000007658 - Fortalecimiento del Cuerpo Oficial de Bomberos Bogotá"/>
    <s v="Subdirección de Gestión del Riesgo"/>
    <n v="80111600"/>
    <s v="Prestar sus servicios profesionales en las actividades relacionadas con la emision de conceptos a cargo de la Subdirección de Gestión del Riesgo._SGR"/>
    <d v="2023-01-16T00:00:00"/>
    <d v="2023-01-16T00:00:00"/>
    <n v="3"/>
    <s v="CCE-16 Contratación directa "/>
    <x v="0"/>
    <s v="O232020200883990_Otros servicios profesionales, técnicos y empresariales n.c.p."/>
    <n v="16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5"/>
    <x v="3"/>
    <s v="O23011602300000007658 - Fortalecimiento del Cuerpo Oficial de Bomberos Bogotá"/>
    <s v="Subdirección de Gestión del Riesgo"/>
    <n v="80111600"/>
    <s v="Prestar servicios de apoyo a la gestión en las actividades de soporte operacional de la UAECOB.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6"/>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7"/>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8"/>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299"/>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0"/>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3"/>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1"/>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2"/>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3"/>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112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4"/>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5"/>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6"/>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1"/>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7"/>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1-16T00:00:00"/>
    <d v="2023-01-16T00:00:00"/>
    <n v="4"/>
    <s v="CCE-16 Contratación directa "/>
    <x v="0"/>
    <s v="O232020200883990_Otros servicios profesionales, técnicos y empresariales n.c.p."/>
    <n v="8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8"/>
    <x v="3"/>
    <s v="O23011602300000007658 - Fortalecimiento del Cuerpo Oficial de Bomberos Bogotá"/>
    <s v="Subdirección de Gestión del Riesgo"/>
    <n v="80111600"/>
    <s v="Prestar servicios profesionales para las actividades de aglomeraciones de público y Eventos con Pirotecnia  desarrollados en el Distrito._SGR"/>
    <d v="2023-01-16T00:00:00"/>
    <d v="2023-01-16T00:00:00"/>
    <n v="10"/>
    <s v="CCE-16 Contratación directa "/>
    <x v="0"/>
    <s v="O232020200883990_Otros servicios profesionales, técnicos y empresariales n.c.p."/>
    <n v="48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09"/>
    <x v="3"/>
    <s v="O23011602300000007658 - Fortalecimiento del Cuerpo Oficial de Bomberos Bogotá"/>
    <s v="Subdirección de Gestión del Riesgo"/>
    <n v="80111600"/>
    <s v="Apoyar las actividades de la Subdirección de Gestión del riesgo relacionadas con las aglomeraciones de público  y Eventos con Pirotecnia  desarrollados en el Distrito._SGR"/>
    <d v="2023-01-16T00:00:00"/>
    <d v="2023-01-16T00:00:00"/>
    <n v="10"/>
    <s v="CCE-16 Contratación directa "/>
    <x v="0"/>
    <s v="O232020200883990_Otros servicios profesionales, técnicos y empresariales n.c.p."/>
    <n v="33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0"/>
    <x v="3"/>
    <s v="O23011602300000007658 - Fortalecimiento del Cuerpo Oficial de Bomberos Bogotá"/>
    <s v="Subdirección de Gestión del Riesgo"/>
    <n v="80111600"/>
    <s v="Prestar servicios profesionales en las actividades de Programas y Campañas de Prevención para la Subdirección de Gestión del Riesgo._SGR"/>
    <d v="2023-01-16T00:00:00"/>
    <d v="2023-01-16T00:00:00"/>
    <n v="3"/>
    <s v="CCE-16 Contratación directa "/>
    <x v="0"/>
    <s v="O232020200883990_Otros servicios profesionales, técnicos y empresariales n.c.p."/>
    <n v="13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1"/>
    <x v="3"/>
    <s v="O23011602300000007658 - Fortalecimiento del Cuerpo Oficial de Bomberos Bogotá"/>
    <s v="Subdirección de Gestión del Riesgo"/>
    <n v="80111600"/>
    <s v="Prestar servicios profesionales en las actividades de Programas y Campañas de Prevención para la Subdirección de Gestión del Riesgo._SGR"/>
    <d v="2023-01-16T00:00:00"/>
    <d v="2023-01-16T00:00:00"/>
    <n v="3"/>
    <s v="CCE-16 Contratación directa "/>
    <x v="0"/>
    <s v="O232020200883990_Otros servicios profesionales, técnicos y empresariales n.c.p."/>
    <n v="13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2"/>
    <x v="3"/>
    <s v="O23011602300000007658 - Fortalecimiento del Cuerpo Oficial de Bomberos Bogotá"/>
    <s v="Subdirección de Gestión del Riesgo"/>
    <n v="80111600"/>
    <s v="Prestar servicios profesionales en las actividades de Programas y Campañas de Prevención para la Subdirección de Gestión del Riesgo._SGR"/>
    <d v="2023-01-16T00:00:00"/>
    <d v="2023-01-16T00:00:00"/>
    <n v="4"/>
    <s v="CCE-16 Contratación directa "/>
    <x v="0"/>
    <s v="O232020200883990_Otros servicios profesionales, técnicos y empresariales n.c.p."/>
    <n v="19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3"/>
    <x v="3"/>
    <s v="O23011602300000007658 - Fortalecimiento del Cuerpo Oficial de Bomberos Bogotá"/>
    <s v="Subdirección de Gestión del Riesgo"/>
    <n v="80111600"/>
    <s v="Prestar servicios profesionales en los procesos de formacion y capacitacion de la subdirección de gestión del riesgo._SGR"/>
    <d v="2023-01-16T00:00:00"/>
    <d v="2023-01-16T00:00:00"/>
    <n v="8"/>
    <s v="CCE-16 Contratación directa "/>
    <x v="0"/>
    <s v="O232020200883990_Otros servicios profesionales, técnicos y empresariales n.c.p."/>
    <n v="216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4"/>
    <x v="3"/>
    <s v="O23011602300000007658 - Fortalecimiento del Cuerpo Oficial de Bomberos Bogotá"/>
    <s v="Subdirección de Gestión del Riesgo"/>
    <n v="80111600"/>
    <s v="Prestar servicios profesionales en los procesos de formacion y capacitacion de la subdirección de gestión del riesgo._SGR"/>
    <d v="2023-01-16T00:00:00"/>
    <d v="2023-01-16T00:00:00"/>
    <n v="10"/>
    <s v="CCE-16 Contratación directa "/>
    <x v="0"/>
    <s v="O232020200883990_Otros servicios profesionales, técnicos y empresariales n.c.p."/>
    <n v="208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5"/>
    <x v="3"/>
    <s v="O23011602300000007658 - Fortalecimiento del Cuerpo Oficial de Bomberos Bogotá"/>
    <s v="Subdirección de Gestión del Riesgo"/>
    <n v="80111600"/>
    <s v="Prestación de servicios profesionales en temas de sostenibilidad, desarrollo social ambiental y económico de los diferentes procesos y procedimientos de la UAE Cuerpo Oficial de Bomberos._SGR"/>
    <d v="2023-01-16T00:00:00"/>
    <d v="2023-01-16T00:00:00"/>
    <n v="3"/>
    <s v="CCE-16 Contratación directa "/>
    <x v="0"/>
    <s v="O232020200883990_Otros servicios profesionales, técnicos y empresariales n.c.p."/>
    <n v="21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6"/>
    <x v="3"/>
    <s v="O23011602300000007658 - Fortalecimiento del Cuerpo Oficial de Bomberos Bogotá"/>
    <s v="Subdirección de Gestión del Riesgo"/>
    <n v="80111600"/>
    <s v="Prestación de servicios profesionales en temas de sostenibilidad, desarrollo social ambiental y económico de los diferentes procesos y procedimientos de la UAE Cuerpo Oficial de Bomberos._SGR"/>
    <d v="2023-01-16T00:00:00"/>
    <d v="2023-01-16T00:00:00"/>
    <n v="4"/>
    <s v="CCE-16 Contratación directa "/>
    <x v="0"/>
    <s v="O232020200883990_Otros servicios profesionales, técnicos y empresariales n.c.p."/>
    <n v="21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7"/>
    <x v="3"/>
    <s v="O23011602300000007658 - Fortalecimiento del Cuerpo Oficial de Bomberos Bogotá"/>
    <s v="Subdirección de Gestión del Riesgo"/>
    <n v="80111600"/>
    <s v="Prestación de servicios profesionales en temas de sostenibilidad, desarrollo social ambiental y económico de los diferentes procesos y procedimientos de la UAE Cuerpo Oficial de Bomberos._SGR"/>
    <d v="2023-01-16T00:00:00"/>
    <d v="2023-01-16T00:00:00"/>
    <n v="4"/>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8"/>
    <x v="3"/>
    <s v="O23011602300000007658 - Fortalecimiento del Cuerpo Oficial de Bomberos Bogotá"/>
    <s v="Subdirección de Gestión del Riesgo"/>
    <n v="80111600"/>
    <s v="Prestar servicios profesionales para la estructuracion y seguimiento de los procesos contractuales y demas aspectos juridicos de la Subdirección de Gestión del riesgo._SGR"/>
    <d v="2023-05-17T00:00:00"/>
    <d v="2023-05-17T00:00:00"/>
    <n v="2"/>
    <s v="CCE-16 Contratación directa "/>
    <x v="0"/>
    <s v="O232020200883990_Otros servicios profesionales, técnicos y empresariales n.c.p."/>
    <n v="14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19"/>
    <x v="3"/>
    <s v="O23011602300000007658 - Fortalecimiento del Cuerpo Oficial de Bomberos Bogotá"/>
    <s v="Subdirección de Gestión del Riesgo"/>
    <n v="80111600"/>
    <s v="Prestar servicios profesionales para el apoyo en la gestión administrativa y análisis financiero de la subdirección de gestión del riesgo._SGR"/>
    <d v="2023-05-17T00:00:00"/>
    <d v="2023-05-17T00:00:00"/>
    <n v="7"/>
    <s v="CCE-16 Contratación directa "/>
    <x v="0"/>
    <s v="O232020200883990_Otros servicios profesionales, técnicos y empresariales n.c.p."/>
    <n v="29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0"/>
    <x v="3"/>
    <s v="O23011602300000007658 - Fortalecimiento del Cuerpo Oficial de Bomberos Bogotá"/>
    <s v="Subdirección de Gestión del Riesgo"/>
    <n v="80111600"/>
    <s v="Apoyar las actividades de la Subdirección de Gestión del Riesgo relacionadas con el seguimiento y control de sus solicitudes y peticiones._SGR "/>
    <d v="2023-05-17T00:00:00"/>
    <d v="2023-05-17T00:00:00"/>
    <n v="7"/>
    <s v="CCE-16 Contratación directa "/>
    <x v="0"/>
    <s v="O232020200883990_Otros servicios profesionales, técnicos y empresariales n.c.p."/>
    <n v="199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1"/>
    <x v="3"/>
    <s v="O23011602300000007658 - Fortalecimiento del Cuerpo Oficial de Bomberos Bogotá"/>
    <s v="Subdirección de Gestión del Riesgo"/>
    <n v="80111600"/>
    <s v="Prestar servicios de apoyo a la gestión en las actividades de soporte operacional de la UAECOB._SGR"/>
    <d v="2023-05-17T00:00:00"/>
    <d v="2023-05-17T00:00:00"/>
    <n v="7"/>
    <s v="CCE-16 Contratación directa "/>
    <x v="0"/>
    <s v="O232020200883990_Otros servicios profesionales, técnicos y empresariales n.c.p."/>
    <n v="196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2"/>
    <x v="3"/>
    <s v="O23011602300000007658 - Fortalecimiento del Cuerpo Oficial de Bomberos Bogotá"/>
    <s v="Subdirección de Gestión del Riesgo"/>
    <n v="80111600"/>
    <s v="Prestar servicios de apoyo a la gestión en las actividades de soporte operacional de la UAECOB._SGR"/>
    <d v="2023-05-17T00:00:00"/>
    <d v="2023-05-17T00:00:00"/>
    <n v="7"/>
    <s v="CCE-16 Contratación directa "/>
    <x v="0"/>
    <s v="O232020200883990_Otros servicios profesionales, técnicos y empresariales n.c.p."/>
    <n v="196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3"/>
    <x v="3"/>
    <s v="O23011602300000007658 - Fortalecimiento del Cuerpo Oficial de Bomberos Bogotá"/>
    <s v="Subdirección de Gestión del Riesgo"/>
    <n v="80111600"/>
    <s v="Prestar servicios de apoyo a la gestión en las actividades de soporte operacional de la UAECOB._SGR"/>
    <d v="2023-05-17T00:00:00"/>
    <d v="2023-05-17T00:00:00"/>
    <n v="7"/>
    <s v="CCE-16 Contratación directa "/>
    <x v="0"/>
    <s v="O232020200883990_Otros servicios profesionales, técnicos y empresariales n.c.p."/>
    <n v="196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4"/>
    <x v="3"/>
    <s v="O23011602300000007658 - Fortalecimiento del Cuerpo Oficial de Bomberos Bogotá"/>
    <s v="Subdirección de Gestión del Riesgo"/>
    <n v="80111600"/>
    <s v="Prestar servicios de apoyo a la gestión en las actividades de soporte operacional de la UAECOB._SGR"/>
    <d v="2023-05-17T00:00:00"/>
    <d v="2023-05-17T00:00:00"/>
    <n v="7"/>
    <s v="CCE-16 Contratación directa "/>
    <x v="0"/>
    <s v="O232020200883990_Otros servicios profesionales, técnicos y empresariales n.c.p."/>
    <n v="196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5"/>
    <x v="3"/>
    <s v="O23011602300000007658 - Fortalecimiento del Cuerpo Oficial de Bomberos Bogotá"/>
    <s v="Subdirección de Gestión del Riesgo"/>
    <n v="80111600"/>
    <s v="Prestar servicios de apoyo a la gestión en las actividades de soporte operacional de la UAECOB._SGR"/>
    <d v="2023-05-17T00:00:00"/>
    <d v="2023-05-17T00:00:00"/>
    <n v="6.5"/>
    <s v="CCE-16 Contratación directa "/>
    <x v="0"/>
    <s v="O232020200883990_Otros servicios profesionales, técnicos y empresariales n.c.p."/>
    <n v="182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6"/>
    <x v="3"/>
    <s v="O23011602300000007658 - Fortalecimiento del Cuerpo Oficial de Bomberos Bogotá"/>
    <s v="Subdirección de Gestión del Riesgo"/>
    <n v="80111600"/>
    <s v="Prestar servicios de apoyo a la gestión en las actividades de soporte operacional de la UAECOB._SGR"/>
    <d v="2023-05-17T00:00:00"/>
    <d v="2023-05-17T00:00:00"/>
    <n v="2"/>
    <s v="CCE-16 Contratación directa "/>
    <x v="0"/>
    <s v="O232020200883990_Otros servicios profesionales, técnicos y empresariales n.c.p."/>
    <n v="15959141"/>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7"/>
    <x v="3"/>
    <s v="O23011602300000007658 - Fortalecimiento del Cuerpo Oficial de Bomberos Bogotá"/>
    <s v="Subdirección de Gestión del Riesgo"/>
    <n v="80111600"/>
    <s v="Prestar servicios de apoyo a la gestión en las actividades de soporte operacional de la UAECOB._SGR"/>
    <d v="2023-05-17T00:00:00"/>
    <d v="2023-05-17T00:00:00"/>
    <n v="6"/>
    <s v="CCE-16 Contratación directa "/>
    <x v="0"/>
    <s v="O232020200883990_Otros servicios profesionales, técnicos y empresariales n.c.p."/>
    <n v="16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8"/>
    <x v="3"/>
    <s v="O23011602300000007658 - Fortalecimiento del Cuerpo Oficial de Bomberos Bogotá"/>
    <s v="Subdirección de Gestión del Riesgo"/>
    <n v="80111600"/>
    <s v="Prestar servicios de apoyo a la gestión como conductor en la Subdirección de Gestión del Riesgo._SGR"/>
    <d v="2023-05-17T00:00:00"/>
    <d v="2023-05-17T00:00:00"/>
    <n v="6"/>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29"/>
    <x v="3"/>
    <s v="O23011602300000007658 - Fortalecimiento del Cuerpo Oficial de Bomberos Bogotá"/>
    <s v="Subdirección de Gestión del Riesgo"/>
    <n v="80111600"/>
    <s v="Prestar servicios de apoyo a la gestion en las actividades de monitoreo del riesgo para la Subdirección de Gestión del Riesgo._SGR Analista"/>
    <d v="2023-05-17T00:00:00"/>
    <d v="2023-05-17T00:00:00"/>
    <n v="7"/>
    <s v="CCE-16 Contratación directa "/>
    <x v="0"/>
    <s v="O232020200883990_Otros servicios profesionales, técnicos y empresariales n.c.p."/>
    <n v="21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0"/>
    <x v="3"/>
    <s v="O23011602300000007658 - Fortalecimiento del Cuerpo Oficial de Bomberos Bogotá"/>
    <s v="Subdirección de Gestión del Riesgo"/>
    <n v="80111600"/>
    <s v="Prestar servicios de apoyo a la gestion en las actividades de monitoreo del riesgo para la Subdirección de Gestión del Riesgo._SGR Analista"/>
    <d v="2023-05-17T00:00:00"/>
    <d v="2023-05-17T00:00:00"/>
    <n v="1"/>
    <s v="CCE-16 Contratación directa "/>
    <x v="0"/>
    <s v="O232020200883990_Otros servicios profesionales, técnicos y empresariales n.c.p."/>
    <n v="7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1"/>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5-17T00:00:00"/>
    <d v="2023-05-17T00:00:00"/>
    <n v="7"/>
    <s v="CCE-16 Contratación directa "/>
    <x v="0"/>
    <s v="O232020200883990_Otros servicios profesionales, técnicos y empresariales n.c.p."/>
    <n v="17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2"/>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5-17T00:00:00"/>
    <d v="2023-05-17T00:00:00"/>
    <n v="7"/>
    <s v="CCE-16 Contratación directa "/>
    <x v="0"/>
    <s v="O232020200883990_Otros servicios profesionales, técnicos y empresariales n.c.p."/>
    <n v="17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3"/>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5-17T00:00:00"/>
    <d v="2023-05-17T00:00:00"/>
    <n v="7"/>
    <s v="CCE-16 Contratación directa "/>
    <x v="0"/>
    <s v="O232020200883990_Otros servicios profesionales, técnicos y empresariales n.c.p."/>
    <n v="104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4"/>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5-17T00:00:00"/>
    <d v="2023-05-17T00:00:00"/>
    <n v="7"/>
    <s v="CCE-16 Contratación directa "/>
    <x v="0"/>
    <s v="O232020200883990_Otros servicios profesionales, técnicos y empresariales n.c.p."/>
    <n v="17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5"/>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5-17T00:00:00"/>
    <d v="2023-05-17T00:00:00"/>
    <n v="6"/>
    <s v="CCE-16 Contratación directa "/>
    <x v="0"/>
    <s v="O232020200883990_Otros servicios profesionales, técnicos y empresariales n.c.p."/>
    <n v="12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6"/>
    <x v="3"/>
    <s v="O23011602300000007658 - Fortalecimiento del Cuerpo Oficial de Bomberos Bogotá"/>
    <s v="Subdirección de Gestión del Riesgo"/>
    <n v="80111600"/>
    <s v="Prestar servicios de apoyo a la gestion en las actividades de monitoreo del riesgo para la Subdirección de Gestión del Riesgo._SGR Auxiliar"/>
    <d v="2023-05-17T00:00:00"/>
    <d v="2023-05-17T00:00:00"/>
    <n v="5"/>
    <s v="CCE-16 Contratación directa "/>
    <x v="0"/>
    <s v="O232020200883990_Otros servicios profesionales, técnicos y empresariales n.c.p."/>
    <n v="12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7"/>
    <x v="3"/>
    <s v="O23011602300000007658 - Fortalecimiento del Cuerpo Oficial de Bomberos Bogotá"/>
    <s v="Subdirección de Gestión del Riesgo"/>
    <n v="80111600"/>
    <s v="Prestar servicios profesionales en las actividades de identificacion de escenarios a cargo de la Subdirección de Gestión del Riesgo._SGR"/>
    <d v="2023-05-17T00:00:00"/>
    <d v="2023-05-17T00:00:00"/>
    <n v="6"/>
    <s v="CCE-16 Contratación directa "/>
    <x v="0"/>
    <s v="O232020200883990_Otros servicios profesionales, técnicos y empresariales n.c.p."/>
    <n v="27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8"/>
    <x v="3"/>
    <s v="O23011602300000007658 - Fortalecimiento del Cuerpo Oficial de Bomberos Bogotá"/>
    <s v="Subdirección de Gestión del Riesgo"/>
    <n v="80111600"/>
    <s v="Prestar servicios profesionales en las actividades de análisis de información de escenarios a cargo de la Subdirección de Gestión del Riesgo.._SGR"/>
    <d v="2023-05-17T00:00:00"/>
    <d v="2023-05-17T00:00:00"/>
    <n v="6"/>
    <s v="CCE-16 Contratación directa "/>
    <x v="0"/>
    <s v="O232020200883990_Otros servicios profesionales, técnicos y empresariales n.c.p."/>
    <n v="27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39"/>
    <x v="3"/>
    <s v="O23011602300000007658 - Fortalecimiento del Cuerpo Oficial de Bomberos Bogotá"/>
    <s v="Subdirección de Gestión del Riesgo"/>
    <n v="80111600"/>
    <s v="Prestar  servicios profesionales en las actividades de proyeccion e innovacion para la Subdirección de Gestión del Riesgo._SGR"/>
    <d v="2023-05-17T00:00:00"/>
    <d v="2023-05-17T00:00:00"/>
    <n v="7"/>
    <s v="CCE-16 Contratación directa "/>
    <x v="0"/>
    <s v="O232020200883990_Otros servicios profesionales, técnicos y empresariales n.c.p."/>
    <n v="339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0"/>
    <x v="3"/>
    <s v="O23011602300000007658 - Fortalecimiento del Cuerpo Oficial de Bomberos Bogotá"/>
    <s v="Subdirección de Gestión del Riesgo"/>
    <n v="80111600"/>
    <s v="Prestar  servicios profesionales en las actividades de proyeccion e innovacion para la Subdirección de Gestión del Riesgo._SGR"/>
    <d v="2023-05-17T00:00:00"/>
    <d v="2023-05-17T00:00:00"/>
    <n v="7"/>
    <s v="CCE-16 Contratación directa "/>
    <x v="0"/>
    <s v="O232020200883990_Otros servicios profesionales, técnicos y empresariales n.c.p."/>
    <n v="339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1"/>
    <x v="3"/>
    <s v="O23011602300000007658 - Fortalecimiento del Cuerpo Oficial de Bomberos Bogotá"/>
    <s v="Subdirección de Gestión del Riesgo"/>
    <n v="80111600"/>
    <s v="Prestar  servicios profesionales en las actividades de proyeccion e innovacion para la Subdirección de Gestión del Riesgo._SGR"/>
    <d v="2023-05-17T00:00:00"/>
    <d v="2023-05-17T00:00:00"/>
    <n v="7"/>
    <s v="CCE-16 Contratación directa "/>
    <x v="0"/>
    <s v="O232020200883990_Otros servicios profesionales, técnicos y empresariales n.c.p."/>
    <n v="339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2"/>
    <x v="3"/>
    <s v="O23011602300000007658 - Fortalecimiento del Cuerpo Oficial de Bomberos Bogotá"/>
    <s v="Subdirección de Gestión del Riesgo"/>
    <n v="80111600"/>
    <s v="Prestar sus servicios profesionales en las actividades relacionadas con la emision de conceptos a cargo de la Subdirección de Gestión del Riesgo._SGR"/>
    <d v="2023-05-17T00:00:00"/>
    <d v="2023-05-17T00:00:00"/>
    <n v="6.5"/>
    <s v="CCE-16 Contratación directa "/>
    <x v="0"/>
    <s v="O232020200883990_Otros servicios profesionales, técnicos y empresariales n.c.p."/>
    <n v="357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3"/>
    <x v="3"/>
    <s v="O23011602300000007658 - Fortalecimiento del Cuerpo Oficial de Bomberos Bogotá"/>
    <s v="Subdirección de Gestión del Riesgo"/>
    <n v="80111600"/>
    <s v="Prestar sus servicios profesionales en las actividades relacionadas con la emision de conceptos a cargo de la Subdirección de Gestión del Riesgo._SGR"/>
    <d v="2023-05-17T00:00:00"/>
    <d v="2023-05-17T00:00:00"/>
    <n v="7"/>
    <s v="CCE-16 Contratación directa "/>
    <x v="0"/>
    <s v="O232020200883990_Otros servicios profesionales, técnicos y empresariales n.c.p."/>
    <n v="38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4"/>
    <x v="3"/>
    <s v="O23011602300000007658 - Fortalecimiento del Cuerpo Oficial de Bomberos Bogotá"/>
    <s v="Subdirección de Gestión del Riesgo"/>
    <n v="80111600"/>
    <s v="Prestar servicios de apoyo a la gestión en las actividades de soporte operacional de la UAECOB._SGR"/>
    <d v="2023-05-17T00:00:00"/>
    <d v="2023-05-17T00:00:00"/>
    <n v="6"/>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5"/>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6"/>
    <s v="CCE-16 Contratación directa "/>
    <x v="0"/>
    <s v="O232020200883990_Otros servicios profesionales, técnicos y empresariales n.c.p."/>
    <n v="168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6"/>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6"/>
    <s v="CCE-16 Contratación directa "/>
    <x v="0"/>
    <s v="O232020200883990_Otros servicios profesionales, técnicos y empresariales n.c.p."/>
    <n v="168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7"/>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6"/>
    <s v="CCE-16 Contratación directa "/>
    <x v="0"/>
    <s v="O232020200883990_Otros servicios profesionales, técnicos y empresariales n.c.p."/>
    <n v="168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8"/>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6"/>
    <s v="CCE-16 Contratación directa "/>
    <x v="0"/>
    <s v="O232020200883990_Otros servicios profesionales, técnicos y empresariales n.c.p."/>
    <n v="168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49"/>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6"/>
    <s v="CCE-16 Contratación directa "/>
    <x v="0"/>
    <s v="O232020200883990_Otros servicios profesionales, técnicos y empresariales n.c.p."/>
    <n v="168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0"/>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6"/>
    <s v="CCE-16 Contratación directa "/>
    <x v="0"/>
    <s v="O232020200883990_Otros servicios profesionales, técnicos y empresariales n.c.p."/>
    <n v="168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1"/>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6"/>
    <s v="CCE-16 Contratación directa "/>
    <x v="0"/>
    <s v="O232020200883990_Otros servicios profesionales, técnicos y empresariales n.c.p."/>
    <n v="448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2"/>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1"/>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3"/>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1"/>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4"/>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6"/>
    <s v="CCE-16 Contratación directa "/>
    <x v="0"/>
    <s v="O232020200883990_Otros servicios profesionales, técnicos y empresariales n.c.p."/>
    <n v="14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5"/>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1"/>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6"/>
    <x v="3"/>
    <s v="O23011602300000007658 - Fortalecimiento del Cuerpo Oficial de Bomberos Bogotá"/>
    <s v="Subdirección de Gestión del Riesgo"/>
    <n v="80111600"/>
    <s v="Prestar sus servicios de apoyo tecnico para realizar las inspecciones relacionadas con la emision de conceptos a cargo de la Subdirección de Gestión del Riesgo._SGR"/>
    <d v="2023-05-17T00:00:00"/>
    <d v="2023-05-17T00:00:00"/>
    <n v="1"/>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7"/>
    <x v="3"/>
    <s v="O23011602300000007658 - Fortalecimiento del Cuerpo Oficial de Bomberos Bogotá"/>
    <s v="Subdirección de Gestión del Riesgo"/>
    <n v="80111600"/>
    <s v="Prestar servicios profesionales en las actividades de Programas y Campañas de Prevención para la Subdirección de Gestión del Riesgo._SGR"/>
    <d v="2023-05-17T00:00:00"/>
    <d v="2023-05-17T00:00:00"/>
    <n v="6"/>
    <s v="CCE-16 Contratación directa "/>
    <x v="0"/>
    <s v="O232020200883990_Otros servicios profesionales, técnicos y empresariales n.c.p."/>
    <n v="27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8"/>
    <x v="3"/>
    <s v="O23011602300000007658 - Fortalecimiento del Cuerpo Oficial de Bomberos Bogotá"/>
    <s v="Subdirección de Gestión del Riesgo"/>
    <n v="80111600"/>
    <s v="Prestar servicios profesionales en las actividades de Programas y Campañas de Prevención para la Subdirección de Gestión del Riesgo._SGR"/>
    <d v="2023-05-17T00:00:00"/>
    <d v="2023-05-17T00:00:00"/>
    <n v="6"/>
    <s v="CCE-16 Contratación directa "/>
    <x v="0"/>
    <s v="O232020200883990_Otros servicios profesionales, técnicos y empresariales n.c.p."/>
    <n v="27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59"/>
    <x v="3"/>
    <s v="O23011602300000007658 - Fortalecimiento del Cuerpo Oficial de Bomberos Bogotá"/>
    <s v="Subdirección de Gestión del Riesgo"/>
    <n v="80111600"/>
    <s v="Prestar servicios profesionales en las actividades de Programas y Campañas de Prevención para la Subdirección de Gestión del Riesgo._SGR"/>
    <d v="2023-05-17T00:00:00"/>
    <d v="2023-05-17T00:00:00"/>
    <n v="1"/>
    <s v="CCE-16 Contratación directa "/>
    <x v="0"/>
    <s v="O232020200883990_Otros servicios profesionales, técnicos y empresariales n.c.p."/>
    <n v="339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60"/>
    <x v="3"/>
    <s v="O23011602300000007658 - Fortalecimiento del Cuerpo Oficial de Bomberos Bogotá"/>
    <s v="Subdirección de Gestión del Riesgo"/>
    <n v="80111600"/>
    <s v="Prestación de servicios profesionales en temas de sostenibilidad, desarrollo social ambiental y económico de los diferentes procesos y procedimientos de la UAE Cuerpo Oficial de Bomberos._SGR"/>
    <d v="2023-05-17T00:00:00"/>
    <d v="2023-05-17T00:00:00"/>
    <n v="6"/>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61"/>
    <x v="3"/>
    <s v="O23011602300000007658 - Fortalecimiento del Cuerpo Oficial de Bomberos Bogotá"/>
    <s v="Subdirección de Gestión del Riesgo"/>
    <n v="80111600"/>
    <s v="Prestación de servicios profesionales en temas de sostenibilidad, desarrollo social ambiental y económico de los diferentes procesos y procedimientos de la UAE Cuerpo Oficial de Bomberos._SGR"/>
    <d v="2023-05-17T00:00:00"/>
    <d v="2023-05-17T00:00:00"/>
    <n v="6"/>
    <s v="CCE-16 Contratación directa "/>
    <x v="0"/>
    <s v="O232020200883990_Otros servicios profesionales, técnicos y empresariales n.c.p."/>
    <n v="333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362"/>
    <x v="0"/>
    <s v="O23011605560000007655 - Fortalecimiento de la Planeación y Gestión de la UAECOB Bogotá"/>
    <s v="Subdirección de Gestión Corporativa"/>
    <n v="80111600"/>
    <s v="Prestación de servicios de apoyo a la gestión para desarrollar actividades de tipo administrativo relacionadas con las funciones propias de la Subdirección de Gestión Corporativa-SGC"/>
    <d v="2023-01-01T00:00:00"/>
    <d v="2023-01-15T00:00:00"/>
    <n v="9"/>
    <s v="CCE-16 Contratación directa "/>
    <x v="0"/>
    <s v="O232020200883990_Otros servicios profesionales, técnicos y empresariales n.c.p."/>
    <n v="30150000"/>
    <s v="1-Implementar 1 plan de ajuste y sostenibilidad del MIPG en la UAECOB"/>
    <s v="516-Gestionar el 100% de un (1) plan de adecuación y sostenibilidad de los sistemas de gestión de la Unidad Administrativa Especial Cuerpo Oficial de Bomberos"/>
    <s v="SI SECOP"/>
  </r>
  <r>
    <n v="2023363"/>
    <x v="0"/>
    <s v="O23011605560000007655 - Fortalecimiento de la Planeación y Gestión de la UAECOB Bogotá"/>
    <s v="Subdirección de Gestión Corporativa"/>
    <n v="80111600"/>
    <s v="Prestar los servicios como conductor de  la Subdireccion de Gestion Corporativa -SGC"/>
    <d v="2023-01-01T00:00:00"/>
    <d v="2023-01-15T00:00:00"/>
    <n v="8"/>
    <s v="CCE-16 Contratación directa "/>
    <x v="0"/>
    <s v="O232020200883990_Otros servicios profesionales, técnicos y empresariales n.c.p."/>
    <n v="25338880"/>
    <s v="1-Implementar 1 plan de ajuste y sostenibilidad del MIPG en la UAECOB"/>
    <s v="516-Gestionar el 100% de un (1) plan de adecuación y sostenibilidad de los sistemas de gestión de la Unidad Administrativa Especial Cuerpo Oficial de Bomberos"/>
    <s v="SI SECOP"/>
  </r>
  <r>
    <n v="2023364"/>
    <x v="0"/>
    <s v="O23011605560000007655 - Fortalecimiento de la Planeación y Gestión de la UAECOB Bogotá"/>
    <s v="Subdirección de Gestión Corporativa"/>
    <n v="80111600"/>
    <s v="Prestación de Servicios Profesionales para la formulación de estrategias, indicadores y acciones requeridas por la Subdirección de Gestión Corporativa en relación con los proyectos administrativos y misionales de la UAE Cuerpo oficial de Bomberos .-SGC"/>
    <d v="2023-01-01T00:00:00"/>
    <d v="2023-01-15T00:00:00"/>
    <n v="7"/>
    <s v="CCE-16 Contratación directa "/>
    <x v="0"/>
    <s v="O232020200883990_Otros servicios profesionales, técnicos y empresariales n.c.p."/>
    <n v="40600000"/>
    <s v="1-Implementar 1 plan de ajuste y sostenibilidad del MIPG en la UAECOB"/>
    <s v="516-Gestionar el 100% de un (1) plan de adecuación y sostenibilidad de los sistemas de gestión de la Unidad Administrativa Especial Cuerpo Oficial de Bomberos"/>
    <s v="SI SECOP"/>
  </r>
  <r>
    <n v="2023365"/>
    <x v="0"/>
    <s v="O23011605560000007655 - Fortalecimiento de la Planeación y Gestión de la UAECOB Bogotá"/>
    <s v="Subdirección de Gestión Corporativa"/>
    <n v="80111600"/>
    <s v="Prestar los servicios de tipo administrativo para cuadyuvar en las actividades propias de la Subdirección- SGC"/>
    <d v="2023-01-01T00:00:00"/>
    <d v="2023-01-15T00:00:00"/>
    <n v="10"/>
    <s v="CCE-16 Contratación directa "/>
    <x v="0"/>
    <s v="O232020200883990_Otros servicios profesionales, técnicos y empresariales n.c.p."/>
    <n v="18000000"/>
    <s v="1-Implementar 1 plan de ajuste y sostenibilidad del MIPG en la UAECOB"/>
    <s v="516-Gestionar el 100% de un (1) plan de adecuación y sostenibilidad de los sistemas de gestión de la Unidad Administrativa Especial Cuerpo Oficial de Bomberos"/>
    <s v="SI SECOP"/>
  </r>
  <r>
    <n v="2023366"/>
    <x v="0"/>
    <s v="O23011605560000007655 - Fortalecimiento de la Planeación y Gestión de la UAECOB Bogotá"/>
    <s v="Subdirección de Gestión Corporativa"/>
    <n v="80111600"/>
    <s v="Prestar los servicios profesionales especializados para acompañar las actividades jurídicas relacionadas con la gestión contractual en las etapas precontractual, contractual y postcontractual del área administrativa de la Subdirección de Gestión Corporati"/>
    <d v="2023-01-01T00:00:00"/>
    <d v="2023-01-15T00:00:00"/>
    <n v="9"/>
    <s v="CCE-16 Contratación directa "/>
    <x v="0"/>
    <s v="O232020200882199_Otros servicios jurídicos n.c.p."/>
    <n v="72000000"/>
    <s v="1-Implementar 1 plan de ajuste y sostenibilidad del MIPG en la UAECOB"/>
    <s v="516-Gestionar el 100% de un (1) plan de adecuación y sostenibilidad de los sistemas de gestión de la Unidad Administrativa Especial Cuerpo Oficial de Bomberos"/>
    <s v="SI SECOP"/>
  </r>
  <r>
    <n v="2023368"/>
    <x v="0"/>
    <s v="O23011605560000007655 - Fortalecimiento de la Planeación y Gestión de la UAECOB Bogotá"/>
    <s v="Subdirección de Gestión Corporativa"/>
    <n v="80111600"/>
    <s v="Prestar los servicios profesionales para la gestión administrativa y operativa de la Subdirección de Gestión Corporativa en el proceso de adquisición de bienes y servicios-SGC"/>
    <d v="2023-01-01T00:00:00"/>
    <d v="2023-01-15T00:00:00"/>
    <n v="8"/>
    <s v="CCE-16 Contratación directa "/>
    <x v="0"/>
    <s v="O232020200883990_Otros servicios profesionales, técnicos y empresariales n.c.p."/>
    <n v="34840960"/>
    <s v="1-Implementar 1 plan de ajuste y sostenibilidad del MIPG en la UAECOB"/>
    <s v="516-Gestionar el 100% de un (1) plan de adecuación y sostenibilidad de los sistemas de gestión de la Unidad Administrativa Especial Cuerpo Oficial de Bomberos"/>
    <s v="SI SECOP"/>
  </r>
  <r>
    <n v="2023369"/>
    <x v="0"/>
    <s v="O23011605560000007655 - Fortalecimiento de la Planeación y Gestión de la UAECOB Bogotá"/>
    <s v="Subdirección de Gestión Corporativa"/>
    <n v="80111600"/>
    <s v="Prestar servicios profesionales como enlace con la oficina de comunicaciones para la correcta divulgación de las actividades desarrolladas por la Subdirección de Gestión Corporativa-SGC"/>
    <d v="2023-01-01T00:00:00"/>
    <d v="2023-01-15T00:00:00"/>
    <n v="9"/>
    <s v="CCE-16 Contratación directa "/>
    <x v="0"/>
    <s v="O232020200883990_Otros servicios profesionales, técnicos y empresariales n.c.p."/>
    <n v="40500000"/>
    <s v="1-Implementar 1 plan de ajuste y sostenibilidad del MIPG en la UAECOB"/>
    <s v="516-Gestionar el 100% de un (1) plan de adecuación y sostenibilidad de los sistemas de gestión de la Unidad Administrativa Especial Cuerpo Oficial de Bomberos"/>
    <s v="SI SECOP"/>
  </r>
  <r>
    <n v="2023370"/>
    <x v="0"/>
    <s v="O23011605560000007655 - Fortalecimiento de la Planeación y Gestión de la UAECOB Bogotá"/>
    <s v="Subdirección de Gestión Corporativa"/>
    <n v="80111600"/>
    <s v="Prestar servicios profesionales especializados a la Subdirección de Gestión Corporativa y Dirección General de la UAECOB en la construcción ,acompañamiento, seguimiento y fortalecimiento de las estrategias de comunicación que adelante la entidad dentro de"/>
    <d v="2023-01-01T00:00:00"/>
    <d v="2023-01-15T00:00:00"/>
    <n v="11"/>
    <s v="CCE-16 Contratación directa "/>
    <x v="0"/>
    <s v="O232020200883990_Otros servicios profesionales, técnicos y empresariales n.c.p."/>
    <n v="99000000"/>
    <s v="1-Implementar 1 plan de ajuste y sostenibilidad del MIPG en la UAECOB"/>
    <s v="516-Gestionar el 100% de un (1) plan de adecuación y sostenibilidad de los sistemas de gestión de la Unidad Administrativa Especial Cuerpo Oficial de Bomberos"/>
    <s v="SI SECOP"/>
  </r>
  <r>
    <n v="2023371"/>
    <x v="0"/>
    <s v="O23011605560000007655 - Fortalecimiento de la Planeación y Gestión de la UAECOB Bogotá"/>
    <s v="Subdirección de Gestión Corporativa"/>
    <n v="80111600"/>
    <s v="Prestación de servicios profesionales para apoyar a la Subdirección de Gestión Corporativa en las actividades administrativas, seguros, compras e inventarios-SGC"/>
    <d v="2023-01-01T00:00:00"/>
    <d v="2023-01-15T00:00:00"/>
    <n v="9"/>
    <s v="CCE-16 Contratación directa "/>
    <x v="0"/>
    <s v="O232020200883990_Otros servicios profesionales, técnicos y empresariales n.c.p."/>
    <n v="34650000"/>
    <s v="1-Implementar 1 plan de ajuste y sostenibilidad del MIPG en la UAECOB"/>
    <s v="516-Gestionar el 100% de un (1) plan de adecuación y sostenibilidad de los sistemas de gestión de la Unidad Administrativa Especial Cuerpo Oficial de Bomberos"/>
    <s v="SI SECOP"/>
  </r>
  <r>
    <n v="2023374"/>
    <x v="0"/>
    <s v="O23011605560000007655 - Fortalecimiento de la Planeación y Gestión de la UAECOB Bogotá"/>
    <s v="Subdirección de Gestión Corporativa"/>
    <n v="80111600"/>
    <s v="Prestar servicios profesionales en la Subdirección de Gestión Corporativa en lo relacionado con los procesos de inventarios.-SGC"/>
    <d v="2023-01-01T00:00:00"/>
    <d v="2023-01-15T00:00:00"/>
    <n v="9"/>
    <s v="CCE-16 Contratación directa "/>
    <x v="0"/>
    <s v="O232020200883990_Otros servicios profesionales, técnicos y empresariales n.c.p."/>
    <n v="45000000"/>
    <s v="1-Implementar 1 plan de ajuste y sostenibilidad del MIPG en la UAECOB"/>
    <s v="516-Gestionar el 100% de un (1) plan de adecuación y sostenibilidad de los sistemas de gestión de la Unidad Administrativa Especial Cuerpo Oficial de Bomberos"/>
    <s v="SI SECOP"/>
  </r>
  <r>
    <n v="2023375"/>
    <x v="0"/>
    <s v="O23011605560000007655 - Fortalecimiento de la Planeación y Gestión de la UAECOB Bogotá"/>
    <s v="Subdirección de Gestión Corporativa"/>
    <n v="80111600"/>
    <s v="Prestar servicios profesionales para realizar acompañamiento en la elaboración y revisión de actas de liquidación y demás actuaciones administrativas requeridas en la etapa postcontractual del proceso de contratación adelantados por la Subdirección Gestió"/>
    <d v="2023-01-01T00:00:00"/>
    <d v="2023-01-15T00:00:00"/>
    <n v="9"/>
    <s v="CCE-16 Contratación directa "/>
    <x v="0"/>
    <s v="O232020200882199_Otros servicios jurídicos n.c.p."/>
    <n v="49500000"/>
    <s v="1-Implementar 1 plan de ajuste y sostenibilidad del MIPG en la UAECOB"/>
    <s v="516-Gestionar el 100% de un (1) plan de adecuación y sostenibilidad de los sistemas de gestión de la Unidad Administrativa Especial Cuerpo Oficial de Bomberos"/>
    <s v="SI SECOP"/>
  </r>
  <r>
    <n v="2023376"/>
    <x v="0"/>
    <s v="O23011605560000007655 - Fortalecimiento de la Planeación y Gestión de la UAECOB Bogotá"/>
    <s v="Subdirección de Gestión Corporativa"/>
    <n v="80111600"/>
    <s v="Prestación de servicios profesionales en la Subdirección de Gestión Corporativa adelantando las actividades necesarias para la ejecución del programa y los procesos de seguros de la Entidad-SGC"/>
    <d v="2023-01-15T00:00:00"/>
    <d v="2023-01-15T00:00:00"/>
    <n v="10"/>
    <s v="CCE-16 Contratación directa "/>
    <x v="0"/>
    <s v="O232020200883990_Otros servicios profesionales, técnicos y empresariales n.c.p."/>
    <n v="65000000"/>
    <s v="1-Implementar 1 plan de ajuste y sostenibilidad del MIPG en la UAECOB"/>
    <s v="516-Gestionar el 100% de un (1) plan de adecuación y sostenibilidad de los sistemas de gestión de la Unidad Administrativa Especial Cuerpo Oficial de Bomberos"/>
    <s v="SI SECOP"/>
  </r>
  <r>
    <n v="2023377"/>
    <x v="0"/>
    <s v="O23011605560000007655 - Fortalecimiento de la Planeación y Gestión de la UAECOB Bogotá"/>
    <s v="Subdirección de Gestión Corporativa"/>
    <n v="80111600"/>
    <s v="Prestación de servicios de apoyo a la gestión de seguros de la Subdirección de Gestión Corporativa. –SGC."/>
    <d v="2023-01-15T00:00:00"/>
    <d v="2023-01-15T00:00:00"/>
    <n v="4"/>
    <s v="CCE-16 Contratación directa "/>
    <x v="0"/>
    <s v="O232020200883990_Otros servicios profesionales, técnicos y empresariales n.c.p."/>
    <n v="9800000"/>
    <s v="1-Implementar 1 plan de ajuste y sostenibilidad del MIPG en la UAECOB"/>
    <s v="516-Gestionar el 100% de un (1) plan de adecuación y sostenibilidad de los sistemas de gestión de la Unidad Administrativa Especial Cuerpo Oficial de Bomberos"/>
    <s v="SI SECOP"/>
  </r>
  <r>
    <n v="2023379"/>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80"/>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81"/>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82"/>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83"/>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84"/>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8"/>
    <s v="CCE-16 Contratación directa "/>
    <x v="0"/>
    <s v="O232020200883990_Otros servicios profesionales, técnicos y empresariales n.c.p."/>
    <n v="19600000"/>
    <s v="1-Implementar 1 plan de ajuste y sostenibilidad del MIPG en la UAECOB"/>
    <s v="516-Gestionar el 100% de un (1) plan de adecuación y sostenibilidad de los sistemas de gestión de la Unidad Administrativa Especial Cuerpo Oficial de Bomberos"/>
    <s v="SI SECOP"/>
  </r>
  <r>
    <n v="2023385"/>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5"/>
    <s v="CCE-16 Contratación directa "/>
    <x v="0"/>
    <s v="O232020200883990_Otros servicios profesionales, técnicos y empresariales n.c.p."/>
    <n v="12250000"/>
    <s v="1-Implementar 1 plan de ajuste y sostenibilidad del MIPG en la UAECOB"/>
    <s v="516-Gestionar el 100% de un (1) plan de adecuación y sostenibilidad de los sistemas de gestión de la Unidad Administrativa Especial Cuerpo Oficial de Bomberos"/>
    <s v="SI SECOP"/>
  </r>
  <r>
    <n v="2023386"/>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87"/>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88"/>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89"/>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490000"/>
    <s v="1-Implementar 1 plan de ajuste y sostenibilidad del MIPG en la UAECOB"/>
    <s v="516-Gestionar el 100% de un (1) plan de adecuación y sostenibilidad de los sistemas de gestión de la Unidad Administrativa Especial Cuerpo Oficial de Bomberos"/>
    <s v="SI SECOP"/>
  </r>
  <r>
    <n v="2023390"/>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91"/>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92"/>
    <x v="0"/>
    <s v="O23011605560000007655 - Fortalecimiento de la Planeación y Gestión de la UAECOB Bogotá"/>
    <s v="Subdirección de Gestión Corporativa"/>
    <n v="80111600"/>
    <s v="Prestación de servicios profesionales para articular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65700000"/>
    <s v="1-Implementar 1 plan de ajuste y sostenibilidad del MIPG en la UAECOB"/>
    <s v="516-Gestionar el 100% de un (1) plan de adecuación y sostenibilidad de los sistemas de gestión de la Unidad Administrativa Especial Cuerpo Oficial de Bomberos"/>
    <s v="SI SECOP"/>
  </r>
  <r>
    <n v="2023393"/>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394"/>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10"/>
    <s v="CCE-16 Contratación directa "/>
    <x v="0"/>
    <s v="O232020200883990_Otros servicios profesionales, técnicos y empresariales n.c.p."/>
    <n v="24500000"/>
    <s v="1-Implementar 1 plan de ajuste y sostenibilidad del MIPG en la UAECOB"/>
    <s v="516-Gestionar el 100% de un (1) plan de adecuación y sostenibilidad de los sistemas de gestión de la Unidad Administrativa Especial Cuerpo Oficial de Bomberos"/>
    <s v="SI SECOP"/>
  </r>
  <r>
    <n v="2023396"/>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5"/>
    <s v="CCE-16 Contratación directa "/>
    <x v="0"/>
    <s v="O232020200883990_Otros servicios profesionales, técnicos y empresariales n.c.p."/>
    <n v="12250000"/>
    <s v="1-Implementar 1 plan de ajuste y sostenibilidad del MIPG en la UAECOB"/>
    <s v="516-Gestionar el 100% de un (1) plan de adecuación y sostenibilidad de los sistemas de gestión de la Unidad Administrativa Especial Cuerpo Oficial de Bomberos"/>
    <s v="SI SECOP"/>
  </r>
  <r>
    <n v="2023397"/>
    <x v="0"/>
    <s v="O23011605560000007655 - Fortalecimiento de la Planeación y Gestión de la UAECOB Bogotá"/>
    <s v="Subdirección de Gestión Corporativa"/>
    <n v="80111600"/>
    <s v="Prestación de servicios profesionales en la Subdirección de Gestión Corporativa en las actividades relacionadas con MIPG-SGC"/>
    <d v="2023-01-01T00:00:00"/>
    <d v="2023-01-15T00:00:00"/>
    <n v="9"/>
    <s v="CCE-16 Contratación directa "/>
    <x v="0"/>
    <s v="O232020200883990_Otros servicios profesionales, técnicos y empresariales n.c.p."/>
    <n v="50715000"/>
    <s v="1-Implementar 1 plan de ajuste y sostenibilidad del MIPG en la UAECOB"/>
    <s v="516-Gestionar el 100% de un (1) plan de adecuación y sostenibilidad de los sistemas de gestión de la Unidad Administrativa Especial Cuerpo Oficial de Bomberos"/>
    <s v="SI SECOP"/>
  </r>
  <r>
    <n v="2023399"/>
    <x v="3"/>
    <s v="O23011602300000007658 - Fortalecimiento del Cuerpo Oficial de Bomberos Bogotá"/>
    <s v="Subdirección de Gestión Corporativa"/>
    <s v="72151800;_x000a_72151505;_x000a_73152108;"/>
    <s v="Mantenimiento preventivo y correctivo, que incluye el suministro de insumos y repuestos de las plantas eléctricas ubicadas en los diferentes edificios de la Unidad Administrativa Especial del Cuerpo Oficial de Bomberos Bogotá D.C -SGC"/>
    <d v="2023-03-30T00:00:00"/>
    <d v="2023-04-15T00:00:00"/>
    <n v="8"/>
    <s v="CCE-10 Mínima cuantía"/>
    <x v="0"/>
    <s v="O23202020088715999_Servicio de mantenimiento y reparación de otros equipos n.c.p."/>
    <n v="20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00"/>
    <x v="3"/>
    <s v="O23011602300000007658 - Fortalecimiento del Cuerpo Oficial de Bomberos Bogotá"/>
    <s v="Subdirección de Gestión Corporativa"/>
    <s v="47111500;_x000a_73152100;"/>
    <s v="Mantenimiento preventivo y correctivo, que incluye el suministro de insumos y repuestos de las lavadoras y secadoras industriales ubicadas en las estaciones de bomberos de la UAE Cuerpo Oficial de Bomberos de Bogotá-SGC"/>
    <d v="2023-02-28T00:00:00"/>
    <d v="2023-03-15T00:00:00"/>
    <n v="12"/>
    <s v="CCE-10 Mínima cuantía"/>
    <x v="0"/>
    <s v="O23202020088715999_Servicio de mantenimiento y reparación de otros equipos n.c.p."/>
    <n v="32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01"/>
    <x v="3"/>
    <s v="O23011602300000007658 - Fortalecimiento del Cuerpo Oficial de Bomberos Bogotá"/>
    <s v="Subdirección de Gestión Corporativa"/>
    <s v="72121400;_x000a_72151700;_x000a_95121700;"/>
    <s v="Mantenimiento preventivo y correctivo de los equipos gasodomésticos y solares, adecuación de las redes de gas natural y repuestos para las Estaciones de Bomberos de UAE Cuerpo Oficial de Bomberos SGC"/>
    <d v="2023-03-30T00:00:00"/>
    <d v="2023-04-15T00:00:00"/>
    <n v="12"/>
    <s v="CCE-06 Selección abreviada menor cuantía"/>
    <x v="0"/>
    <s v="O23202020088715999_Servicio de mantenimiento y reparación de otros equipos n.c.p."/>
    <n v="50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02"/>
    <x v="3"/>
    <s v="O23011602300000007658 - Fortalecimiento del Cuerpo Oficial de Bomberos Bogotá"/>
    <s v="Subdirección de Gestión Corporativa"/>
    <s v="49201501;_x000a_49201503;_x000a_49201516;_x000a_49201603;_x000a_49201605;_x000a_49201611 "/>
    <s v="Realizar el mantenimiento preventivo, correctivo y suministro de repuestos para los equipos de gimnasio instalados en las diferentes estaciones de la UAE Cuerpo Oficiales de Bomberos.-SGC"/>
    <d v="2023-04-30T00:00:00"/>
    <d v="2023-04-15T00:00:00"/>
    <n v="12"/>
    <s v="CCE-10 Mínima cuantía"/>
    <x v="0"/>
    <s v="O23202020088715999_Servicio de mantenimiento y reparación de otros equipos n.c.p."/>
    <n v="20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03"/>
    <x v="3"/>
    <s v="O23011602300000007658 - Fortalecimiento del Cuerpo Oficial de Bomberos Bogotá"/>
    <s v="Subdirección de Gestión Corporativa"/>
    <s v="40151510; 40151531; 40151721; 72121402; 72151800; 72154103; 72154108; 72154109; 73152108"/>
    <s v="Mantenimiento correctivo y/o preventivo, suministros y repuestos de los equipos hidroneumáticos, motobombas eléctricas, bombas sumergibles, tableros de control y fuerza y demás equipos de bombeo instalados en las estaciones de bomberos de la UAE Cuerpo of"/>
    <d v="2023-02-28T00:00:00"/>
    <d v="2023-04-15T00:00:00"/>
    <n v="12"/>
    <s v="CCE-10 Mínima cuantía"/>
    <x v="0"/>
    <s v="O23202020088715999_Servicio de mantenimiento y reparación de otros equipos n.c.p."/>
    <n v="30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04"/>
    <x v="3"/>
    <s v="O23011602300000007658 - Fortalecimiento del Cuerpo Oficial de Bomberos Bogotá"/>
    <s v="Subdirección de Gestión Corporativa"/>
    <s v="72101500:_x000a_92101600;"/>
    <s v="Mantenimiento preventivo y correctivo de la red contraincendios  y sistemas de detección de alarmas contra incendios de las intalaciones de la UAE- Cuerpo Oficial de Bomberos Bogota SGC"/>
    <d v="2023-03-30T00:00:00"/>
    <d v="2023-04-15T00:00:00"/>
    <n v="6"/>
    <s v="CCE-06 Selección abreviada menor cuantía"/>
    <x v="0"/>
    <s v="O23202020088715999_Servicio de mantenimiento y reparación de otros equipos n.c.p."/>
    <n v="9295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05"/>
    <x v="3"/>
    <s v="O23011602300000007658 - Fortalecimiento del Cuerpo Oficial de Bomberos Bogotá"/>
    <s v="Subdirección de Gestión Corporativa"/>
    <n v="73152100"/>
    <s v="Mantenimiento preventivo y correctivo, que incluye el suministro de insumos y repuestos de los eléctrodomesticos de las estaciones a cargo de la UAE Cuerpo Oficial de Bomberos Bogotá-SGC "/>
    <d v="2023-03-30T00:00:00"/>
    <d v="2023-04-15T00:00:00"/>
    <n v="11"/>
    <s v="CCE-10 Mínima cuantía"/>
    <x v="0"/>
    <s v="O23202020088715999_Servicio de mantenimiento y reparación de otros equipos n.c.p."/>
    <n v="5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06"/>
    <x v="3"/>
    <s v="O23011602300000007658 - Fortalecimiento del Cuerpo Oficial de Bomberos Bogotá"/>
    <s v="Subdirección de Gestión Corporativa"/>
    <s v="72121400;_x000a_72151700;_x000a_72154109;_x000a_95121700;"/>
    <s v="Realizar el mantenimiento preventivo, correctivo de puertas automatizadas para las salas de máquinas de las estaciones de la UAE Cuerpo Oficial de Bomberos -SGC"/>
    <d v="2023-02-28T00:00:00"/>
    <d v="2023-04-15T00:00:00"/>
    <n v="10"/>
    <s v="CCE-06 Selección abreviada menor cuantía"/>
    <x v="0"/>
    <s v="O23202020088715999_Servicio de mantenimiento y reparación de otros equipos n.c.p."/>
    <n v="100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07"/>
    <x v="3"/>
    <s v="O23011602300000007658 - Fortalecimiento del Cuerpo Oficial de Bomberos Bogotá"/>
    <s v="Subdirección de Gestión Corporativa"/>
    <s v="23271800;_x000a_26111700;_x000a_26121500;_x000a_26121600;_x000a_27111800:_x000a_27111900:_x000a_27112000;_x000a_27112100;_x000a_27112800;_x000a__x000a_"/>
    <s v="Suministro de materiales, equipos y herramientas para el mejoramiento integral de las instalaciones de la UAE Cuerpo Oficial de Bomberos -SGC"/>
    <d v="2023-02-28T00:00:00"/>
    <d v="2023-03-15T00:00:00"/>
    <n v="12"/>
    <s v="CCE-99 Seléccion abreviada - acuerdo marco"/>
    <x v="0"/>
    <s v="O23201010030208 Otra maquinaria para usos especiales y sus partes y piezas"/>
    <n v="105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08"/>
    <x v="3"/>
    <s v="O23011602300000007658 - Fortalecimiento del Cuerpo Oficial de Bomberos Bogotá"/>
    <s v="Subdirección de Gestión Corporativa"/>
    <s v="72121400;_x000a_72151700;"/>
    <s v="Realizar el mantenimiento predictivo, preventivo, correctivo, mejoras y dotación a las instalaciones de las dependencias de la Unidad Administrativa Especial Cuerpo Oficial de Bomberos de Bogotá D.C. - SGC"/>
    <d v="2023-04-30T00:00:00"/>
    <d v="2023-06-18T00:00:00"/>
    <n v="8"/>
    <s v="CCE-06 Selección abreviada menor cuantía"/>
    <x v="0"/>
    <s v="O2320202005040554590_Otros servicios especializados de la construcción "/>
    <n v="300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10"/>
    <x v="3"/>
    <s v="O23011602300000007658 - Fortalecimiento del Cuerpo Oficial de Bomberos Bogotá"/>
    <s v="Subdirección de Gestión Corporativa"/>
    <s v="76111500;_x000a_70101502;_x000a_70101503;_x000a_90101700;_x000a_50201700; _x000a_52151500;_x000a_14111700;"/>
    <s v="Contratar la prestación del servicio de aseo y cafetería incluído insumos para la UAE Cuerpo Oficial de Bomberos-SGC"/>
    <d v="2023-01-01T00:00:00"/>
    <d v="2023-01-15T00:00:00"/>
    <n v="12"/>
    <s v="CCE-02 Licitación pública"/>
    <x v="0"/>
    <s v="O232020200885330_Servicios de limpieza general"/>
    <n v="132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11"/>
    <x v="3"/>
    <s v="O23011602300000007658 - Fortalecimiento del Cuerpo Oficial de Bomberos Bogotá"/>
    <s v="Subdirección de Gestión Corporativa"/>
    <s v="92121500;_x000a_92121700;_x000a_32151800;"/>
    <s v="Adición  No. 1 al contrato 444 de 2022 que tiene como objeto  &quot;Prestar el servicio de vigilancia y seguridad privada en la modalidad devigilancia fija, según especificaciones técnicas, en las instalaciones donde la UAE Especial Cuerpo Oficial de Bomberos "/>
    <d v="2023-01-02T00:00:00"/>
    <d v="2023-01-09T00:00:00"/>
    <n v="2"/>
    <s v="CCE-02 Licitación pública"/>
    <x v="0"/>
    <s v="O232020200885250_Servicios de protección (guardas de_x000a_seguridad)"/>
    <n v="193164075"/>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412"/>
    <x v="3"/>
    <s v="O23011602300000007658 - Fortalecimiento del Cuerpo Oficial de Bomberos Bogotá"/>
    <s v="Subdirección de Gestión Corporativa"/>
    <s v="92121500;_x000a_92121700;_x000a_32151800;"/>
    <s v="Prestar el servicio de vigilancia y seguridad privada en la modalidad de vigilancia fija, según especificaciones técnicas, en las instalaciones que la UAE especial cuerpo oficial de bomberos requiera-SGC"/>
    <d v="2023-01-01T00:00:00"/>
    <d v="2023-03-15T00:00:00"/>
    <n v="12"/>
    <s v="CCE-02 Licitación pública"/>
    <x v="0"/>
    <s v="O232020200885250_Servicios de protección (guardas de_x000a_seguridad)"/>
    <n v="700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13"/>
    <x v="3"/>
    <s v="O23011602300000007658 - Fortalecimiento del Cuerpo Oficial de Bomberos Bogotá"/>
    <s v="Subdirección de Gestión Corporativa"/>
    <n v="80111600"/>
    <s v="Prestar servicios profesionales para acompañar jurídicamente los procesos y procedimientos del  areá de infraestructura de la  Subdirección de Gestión Corporativa.SGC"/>
    <d v="2023-01-01T00:00:00"/>
    <d v="2023-01-15T00:00:00"/>
    <n v="7"/>
    <s v="CCE-16 Contratación directa "/>
    <x v="0"/>
    <s v="O232020200882199_Otros servicios jurídicos n.c.p."/>
    <n v="63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14"/>
    <x v="3"/>
    <s v="O23011602300000007658 - Fortalecimiento del Cuerpo Oficial de Bomberos Bogotá"/>
    <s v="Subdirección de Gestión Corporativa"/>
    <n v="80111600"/>
    <s v="Prestar los servicios como conductor del area de infraestructura de la Subdireccion de Gestion Corporativa-SGC "/>
    <d v="2023-01-01T00:00:00"/>
    <d v="2023-01-15T00:00:00"/>
    <n v="10"/>
    <s v="CCE-16 Contratación directa "/>
    <x v="0"/>
    <s v="O232020200883990_Otros servicios profesionales, técnicos y empresariales n.c.p."/>
    <n v="2850624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15"/>
    <x v="3"/>
    <s v="O23011602300000007658 - Fortalecimiento del Cuerpo Oficial de Bomberos Bogotá"/>
    <s v="Subdirección de Gestión Corporativa"/>
    <n v="80111600"/>
    <s v="Prestación de servicios profesionales especializados para apoyar las actividades técnicas del Área de Infraestructura de la Subdirección de Gestión Corporativa-SGC"/>
    <d v="2023-01-01T00:00:00"/>
    <d v="2023-01-15T00:00:00"/>
    <n v="10"/>
    <s v="CCE-16 Contratación directa "/>
    <x v="0"/>
    <s v="O232020200883990_Otros servicios profesionales, técnicos y empresariales n.c.p."/>
    <n v="73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16"/>
    <x v="3"/>
    <s v="O23011602300000007658 - Fortalecimiento del Cuerpo Oficial de Bomberos Bogotá"/>
    <s v="Subdirección de Gestión Corporativa"/>
    <n v="80111600"/>
    <s v="Prestación de servicios profesionales especializados para apoyar las actividades técnicas del Área de Infraestructura de la Subdirección de Gestión Corporativa-SGC"/>
    <d v="2023-01-01T00:00:00"/>
    <d v="2023-01-15T00:00:00"/>
    <n v="10"/>
    <s v="CCE-16 Contratación directa "/>
    <x v="0"/>
    <s v="O232020200883990_Otros servicios profesionales, técnicos y empresariales n.c.p."/>
    <n v="292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17"/>
    <x v="3"/>
    <s v="O23011602300000007658 - Fortalecimiento del Cuerpo Oficial de Bomberos Bogotá"/>
    <s v="Subdirección de Gestión Corporativa"/>
    <n v="80111600"/>
    <s v="Prestación de servicios profesionales especializados para apoyar las actividades técnicas del Área de Infraestructura de la Subdirección de Gestión Corporativa-SGC"/>
    <d v="2023-01-01T00:00:00"/>
    <d v="2023-01-15T00:00:00"/>
    <n v="10"/>
    <s v="CCE-16 Contratación directa "/>
    <x v="0"/>
    <s v="O232020200883990_Otros servicios profesionales, técnicos y empresariales n.c.p."/>
    <n v="73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18"/>
    <x v="3"/>
    <s v="O23011602300000007658 - Fortalecimiento del Cuerpo Oficial de Bomberos Bogotá"/>
    <s v="Subdirección de Gestión Corporativa"/>
    <n v="80111600"/>
    <s v="Prestación de servicios profesionales especializados para apoyar las actividades técnicas del Área de Infraestructura de la Subdirección de Gestión Corporativa-SGC"/>
    <d v="2023-03-15T00:00:00"/>
    <d v="2023-03-30T00:00:00"/>
    <n v="9"/>
    <s v="CCE-16 Contratación directa "/>
    <x v="0"/>
    <s v="O232020200883990_Otros servicios profesionales, técnicos y empresariales n.c.p."/>
    <n v="657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19"/>
    <x v="3"/>
    <s v="O23011602300000007658 - Fortalecimiento del Cuerpo Oficial de Bomberos Bogotá"/>
    <s v="Subdirección de Gestión Corporativa"/>
    <n v="80111600"/>
    <s v="Prestación de servicios profesionales especializados para articular y revisar los procesos y procedimientos del área de infraestructura, así como en el apoyo a la supervisión de los contratos que le sean asignados-SGC. "/>
    <d v="2023-03-15T00:00:00"/>
    <d v="2023-03-30T00:00:00"/>
    <n v="10"/>
    <s v="CCE-16 Contratación directa "/>
    <x v="0"/>
    <s v="O232020200883990_Otros servicios profesionales, técnicos y empresariales n.c.p."/>
    <n v="82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0"/>
    <x v="3"/>
    <s v="O23011602300000007658 - Fortalecimiento del Cuerpo Oficial de Bomberos Bogotá"/>
    <s v="Subdirección de Gestión Corporativa"/>
    <n v="80111600"/>
    <s v="Prestación de servicios profesionales para adelantar  actividades tecnicas  y tramites administrativos  del Área de Infraestructura de la Subdirección de Gestión Corporativa-SGC"/>
    <d v="2023-01-01T00:00:00"/>
    <d v="2023-01-15T00:00:00"/>
    <n v="7"/>
    <s v="CCE-16 Contratación directa "/>
    <x v="0"/>
    <s v="O232020200883990_Otros servicios profesionales, técnicos y empresariales n.c.p."/>
    <n v="3465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1"/>
    <x v="3"/>
    <s v="O23011602300000007658 - Fortalecimiento del Cuerpo Oficial de Bomberos Bogotá"/>
    <s v="Subdirección de Gestión Corporativa"/>
    <n v="80111600"/>
    <s v="Prestación de Servicios Profesionales en temas financieros, administrativas y misionales para apoyar los proyectos de infraestructura de la Subdirección de Gestión Corporativa.-SGC"/>
    <d v="2023-01-01T00:00:00"/>
    <d v="2023-01-15T00:00:00"/>
    <n v="10"/>
    <s v="CCE-16 Contratación directa "/>
    <x v="0"/>
    <s v="O232020200883990_Otros servicios profesionales, técnicos y empresariales n.c.p."/>
    <n v="55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2"/>
    <x v="3"/>
    <s v="O23011602300000007658 - Fortalecimiento del Cuerpo Oficial de Bomberos Bogotá"/>
    <s v="Subdirección de Gestión Corporativa"/>
    <n v="80111600"/>
    <s v="Prestación de Servicios Profesionales para la formulación, seguimiento y ejecución de procesos  presupuestales y financieros a cargo de la Subdirección de Gestión Corporativa -SGC."/>
    <d v="2023-01-01T00:00:00"/>
    <d v="2023-01-15T00:00:00"/>
    <n v="9"/>
    <s v="CCE-16 Contratación directa "/>
    <x v="0"/>
    <s v="O232020200883990_Otros servicios profesionales, técnicos y empresariales n.c.p."/>
    <n v="7431984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3"/>
    <x v="3"/>
    <s v="O23011602300000007658 - Fortalecimiento del Cuerpo Oficial de Bomberos Bogotá"/>
    <s v="Subdirección de Gestión Corporativa"/>
    <n v="80111600"/>
    <s v="Prestación de servicios profesionales especializados para apoyar las actividades técnicas del Área de Infraestructura de la Subdirección de Gestión Corporativa-SGC"/>
    <d v="2023-03-15T00:00:00"/>
    <d v="2023-03-30T00:00:00"/>
    <n v="8"/>
    <s v="CCE-16 Contratación directa "/>
    <x v="0"/>
    <s v="O232020200883990_Otros servicios profesionales, técnicos y empresariales n.c.p."/>
    <n v="584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4"/>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1-01T00:00:00"/>
    <d v="2023-01-15T00:00:00"/>
    <n v="10"/>
    <s v="CCE-16 Contratación directa "/>
    <x v="0"/>
    <s v="O232020200883990_Otros servicios profesionales, técnicos y empresariales n.c.p."/>
    <n v="24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5"/>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1-01T00:00:00"/>
    <d v="2023-01-15T00:00:00"/>
    <n v="10"/>
    <s v="CCE-16 Contratación directa "/>
    <x v="0"/>
    <s v="O232020200883990_Otros servicios profesionales, técnicos y empresariales n.c.p."/>
    <n v="24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6"/>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1-01T00:00:00"/>
    <d v="2023-01-15T00:00:00"/>
    <n v="10"/>
    <s v="CCE-16 Contratación directa "/>
    <x v="0"/>
    <s v="O232020200883990_Otros servicios profesionales, técnicos y empresariales n.c.p."/>
    <n v="24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7"/>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1-01T00:00:00"/>
    <d v="2023-01-15T00:00:00"/>
    <n v="10"/>
    <s v="CCE-16 Contratación directa "/>
    <x v="0"/>
    <s v="O232020200883990_Otros servicios profesionales, técnicos y empresariales n.c.p."/>
    <n v="24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8"/>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1-01T00:00:00"/>
    <d v="2023-01-15T00:00:00"/>
    <n v="10"/>
    <s v="CCE-16 Contratación directa "/>
    <x v="0"/>
    <s v="O232020200883990_Otros servicios profesionales, técnicos y empresariales n.c.p."/>
    <n v="24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29"/>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1-01T00:00:00"/>
    <d v="2023-01-15T00:00:00"/>
    <n v="10"/>
    <s v="CCE-16 Contratación directa "/>
    <x v="0"/>
    <s v="O232020200883990_Otros servicios profesionales, técnicos y empresariales n.c.p."/>
    <n v="24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30"/>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1-01T00:00:00"/>
    <d v="2023-01-15T00:00:00"/>
    <n v="10"/>
    <s v="CCE-16 Contratación directa "/>
    <x v="0"/>
    <s v="O232020200883990_Otros servicios profesionales, técnicos y empresariales n.c.p."/>
    <n v="24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31"/>
    <x v="3"/>
    <s v="O23011602300000007658 - Fortalecimiento del Cuerpo Oficial de Bomberos Bogotá"/>
    <s v="Subdirección de Gestión Corporativa"/>
    <n v="80111600"/>
    <s v="Prestación de servicios profesionales especializados para atender las necesidades de mantenimiento de las instalaciones y las actividades técnicas de competencia del Área de Infraestructura de la Subdirección de Gestión Corporativa-SGC"/>
    <d v="2023-03-01T00:00:00"/>
    <d v="2023-03-15T00:00:00"/>
    <n v="8"/>
    <s v="CCE-16 Contratación directa "/>
    <x v="0"/>
    <s v="O232020200883990_Otros servicios profesionales, técnicos y empresariales n.c.p."/>
    <n v="544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32"/>
    <x v="3"/>
    <s v="O23011602300000007658 - Fortalecimiento del Cuerpo Oficial de Bomberos Bogotá"/>
    <s v="Subdirección de Gestión Corporativa"/>
    <n v="80111600"/>
    <s v="Prestación de servicios profesionales para atender las necesidades de mantenimiento de las instalaciones y las actividades técnicas y administrativas de competencia del Área de Infraestructura de la Subdirección de Gestión Corporativa-SGC"/>
    <d v="2023-03-01T00:00:00"/>
    <d v="2023-03-15T00:00:00"/>
    <n v="8"/>
    <s v="CCE-16 Contratación directa "/>
    <x v="0"/>
    <s v="O232020200883990_Otros servicios profesionales, técnicos y empresariales n.c.p."/>
    <n v="40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433"/>
    <x v="3"/>
    <s v="O23011602300000007658 - Fortalecimiento del Cuerpo Oficial de Bomberos Bogotá"/>
    <s v="Subdirección de Gestión Corporativa"/>
    <s v="44121700;_x000a_44111500;_x000a_44122000;_x000a_44122100;_x000a_14111500;"/>
    <s v="Adición y prórroga No. 2 al contrato 422 de 2022 que tiene como objeto &quot; Contratar la prestación del servicio de aseo y cafetería incluido insumos para la UAE Cuerpo Oficial de Bomberos-SGC"/>
    <d v="2023-01-02T00:00:00"/>
    <d v="2023-02-15T00:00:00"/>
    <n v="2"/>
    <s v="CCE-99 Seléccion abreviada - acuerdo marco"/>
    <x v="0"/>
    <s v="O232020200885330_Servicios de limpieza general"/>
    <n v="23970304"/>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434"/>
    <x v="3"/>
    <s v="O23011602300000007658 - Fortalecimiento del Cuerpo Oficial de Bomberos Bogotá"/>
    <s v="Subdirección de Gestión Corporativa"/>
    <s v="72102900_x000a_72121400;_x000a_72151700;"/>
    <s v="Realizar la adecuación y mejoramiento de las instalaciones de la estación Venecia de la UAE Cuerpo oficial de Bomberos Bogotá-SGC"/>
    <d v="2023-02-15T00:00:00"/>
    <d v="2023-04-17T00:00:00"/>
    <n v="6"/>
    <s v="CCE-17 Licitación pública (Obra pública)"/>
    <x v="0"/>
    <s v="O2320202005040554590_Otros servicios especializados de la construcción "/>
    <n v="350000000"/>
    <s v="4-Adecuar seis (6) estaciones de Bomberos"/>
    <s v="226-Reforzar, Adecuar y Ampliar  6 estaciones de Bomberos"/>
    <s v="SI SECOP"/>
  </r>
  <r>
    <n v="2023435"/>
    <x v="3"/>
    <s v="O23011602300000007658 - Fortalecimiento del Cuerpo Oficial de Bomberos Bogotá"/>
    <s v="Subdirección de Gestión Corporativa"/>
    <s v="80101600;_x000a_81101500;_x000a_72101500;"/>
    <s v="Realizar la interventoría técnica, administrativa, legal, financiera, contable, seguridad y salud en el trabajo, social y ambiental del contrato con objeto &quot;realizar la adecuación y mejoramiento de las instalaciones de la estación Venecia de la UAE Cuerpo"/>
    <d v="2023-01-30T00:00:00"/>
    <d v="2023-03-15T00:00:00"/>
    <n v="6"/>
    <s v="CCE-20 Concurso de méritos abierto"/>
    <x v="0"/>
    <s v="O2320202005040554590_Otros servicios especializados de la construcción "/>
    <n v="67876745"/>
    <s v="4-Adecuar seis (6) estaciones de Bomberos"/>
    <s v="226-Reforzar, Adecuar y Ampliar  6 estaciones de Bomberos"/>
    <s v="SI SECOP"/>
  </r>
  <r>
    <n v="2023437"/>
    <x v="3"/>
    <s v="O23011602300000007658 - Fortalecimiento del Cuerpo Oficial de Bomberos Bogotá"/>
    <s v="Subdirección de Gestión Corporativa"/>
    <n v="80111600"/>
    <s v="Prestación de servicios profesionales especializados para apoyar las actividades técnicas y gestión predial del Área de Infraestructura de la Subdirección de Gestión Corporativa-SGC"/>
    <d v="2023-04-01T00:00:00"/>
    <d v="2023-05-01T00:00:00"/>
    <n v="6"/>
    <s v="CCE-16 Contratación directa "/>
    <x v="0"/>
    <s v="O232020200883990_Otros servicios profesionales, técnicos y empresariales n.c.p."/>
    <n v="21900000"/>
    <s v="3-Poner tres (3) espacios nuevos en funcionamiento para la gestión integral de riesgos, incendios, incidentes con materiales peligrosos y rescates en todas sus modalidades"/>
    <s v="225-Poner en funcionamiento tres (3) nuevos espacios para la gestión integral de riesgos, incendios, incidentes con materiales peligrosos y rescates en todas sus modalidades."/>
    <s v="SI SECOP"/>
  </r>
  <r>
    <n v="2023438"/>
    <x v="1"/>
    <s v="Funcionamiento"/>
    <s v="Subdirección de Gestión Corporativa"/>
    <s v="14111500; 14111800;_x000a_44121700; _x000a_44121800;_x000a_44122000; _x000a_44122100;_x000a_44121600;_x000a_60101903;_x000a_27112300;_x000a_60105704;"/>
    <s v="Suministro  de implementos  de  papelería y oficina para las dependencias de la UAE Cuerpo  Oficial de Bomberos-SGC"/>
    <d v="2023-01-02T00:00:00"/>
    <d v="2023-02-15T00:00:00"/>
    <n v="12"/>
    <s v="CCE-07 Selección abreviada subasta inversa"/>
    <x v="0"/>
    <s v="N/A funcionamiento"/>
    <n v="100000000"/>
    <s v="N/A funcionamiento"/>
    <s v="N/A funcionamiento"/>
    <s v="SI SECOP"/>
  </r>
  <r>
    <n v="2023439"/>
    <x v="1"/>
    <s v="Funcionamiento"/>
    <s v="Subdirección de Gestión Corporativa"/>
    <s v="76111500;_x000a_70101502;_x000a_70101503;_x000a_90101700;_x000a_50201700; _x000a_52151500;_x000a_14111700;"/>
    <s v="Contratar la prestación del servicio de aseo y cafetería incluído insumos para la UAE Cuerpo Oficial de Bomberos -SGC"/>
    <d v="2023-01-01T00:00:00"/>
    <d v="2023-01-15T00:00:00"/>
    <n v="12"/>
    <s v="CCE-02 Licitación pública"/>
    <x v="0"/>
    <s v="N/A funcionamiento"/>
    <n v="180000000"/>
    <s v="N/A funcionamiento"/>
    <s v="N/A funcionamiento"/>
    <s v="SI SECOP"/>
  </r>
  <r>
    <n v="2023440"/>
    <x v="1"/>
    <s v="Funcionamiento"/>
    <s v="Subdirección de Gestión Corporativa"/>
    <s v="76111500;_x000a_70101502;_x000a_70101503;_x000a_90101700;_x000a_50201700; _x000a_52151500;_x000a_14111700;"/>
    <s v="Contratar la prestación del servicio de aseo y cafetería incluído insumos para la UAE Cuerpo Oficial de Bomberos -SGC"/>
    <d v="2023-01-01T00:00:00"/>
    <d v="2023-01-15T00:00:00"/>
    <n v="12"/>
    <s v="CCE-02 Licitación pública"/>
    <x v="0"/>
    <s v="N/A funcionamiento"/>
    <n v="479004304"/>
    <s v="N/A funcionamiento"/>
    <s v="N/A funcionamiento"/>
    <s v="SI SECOP"/>
  </r>
  <r>
    <n v="2023441"/>
    <x v="1"/>
    <s v="Funcionamiento"/>
    <s v="Subdirección de Gestión Corporativa"/>
    <s v="44103100;_x000a_44103101;_x000a_44103103;_x000a_44103105;_x000a_44103106;_x000a_44103108;_x000a_44103110;_x000a_44103111;"/>
    <s v="Suministro de insumos para computador e impresoras para las dependenciasde la UAE Cuerpo Oficial de Bomberos.-SGC"/>
    <d v="2023-01-02T00:00:00"/>
    <d v="2023-01-15T00:00:00"/>
    <n v="8"/>
    <s v="CCE-99 Seléccion abreviada - acuerdo marco"/>
    <x v="0"/>
    <s v="N/A funcionamiento"/>
    <n v="73570887"/>
    <s v="N/A funcionamiento"/>
    <s v="N/A funcionamiento"/>
    <s v="SI SECOP"/>
  </r>
  <r>
    <n v="2023442"/>
    <x v="1"/>
    <s v="Funcionamiento"/>
    <s v="Subdirección de Gestión Corporativa"/>
    <s v="55101500; "/>
    <s v="Suministro de insumos para las impresoras de las estaciones de la UAE Cuerpo Oficial de Bomberos -SGC"/>
    <d v="2023-01-02T00:00:00"/>
    <d v="2023-01-15T00:00:00"/>
    <n v="8"/>
    <s v="CCE-10 Mínima cuantía"/>
    <x v="0"/>
    <s v="N/A funcionamiento"/>
    <n v="32000000"/>
    <s v="N/A funcionamiento"/>
    <s v="N/A funcionamiento"/>
    <s v="SI SECOP"/>
  </r>
  <r>
    <n v="2023443"/>
    <x v="1"/>
    <s v="Funcionamiento"/>
    <s v="Subdirección de Gestión Corporativa"/>
    <s v="781318;_x000a_801615;"/>
    <s v="Adición y prórroga No. 2 al contrato 409 de 2021 que tiene como objeto  &quot; Prestar los servicios para la administración integral, conservación y custodia del archivo central, incluyendo digitalización de documentos requeridos por la UAECOB -SGC"/>
    <d v="2023-04-14T00:00:00"/>
    <d v="2023-04-27T00:00:00"/>
    <n v="8"/>
    <s v="CCE-02 Licitación pública"/>
    <x v="0"/>
    <s v="N/A funcionamiento"/>
    <n v="28879234"/>
    <s v="N/A funcionamiento"/>
    <s v="N/A funcionamiento"/>
    <s v="SI SECOP"/>
  </r>
  <r>
    <n v="2023444"/>
    <x v="1"/>
    <s v="Funcionamiento"/>
    <s v="Subdirección de Gestión Corporativa"/>
    <s v="80161506;_x000a_811117;"/>
    <s v="Adición y prórroga No. 1 al contrato 409 de 2021 que tiene como objeto  &quot; Prestar los servicios para la administración integral, conservación y custodia del archivo central, incluyendo digitalización de documentos requeridos por la UAECOB -SGC"/>
    <d v="2023-01-15T00:00:00"/>
    <d v="2023-01-20T00:00:00"/>
    <n v="4"/>
    <s v="CCE-02 Licitación pública"/>
    <x v="0"/>
    <s v="N/A funcionamiento"/>
    <n v="15000000"/>
    <s v="N/A funcionamiento"/>
    <s v="N/A funcionamiento"/>
    <s v="NO SECOP"/>
  </r>
  <r>
    <n v="2023445"/>
    <x v="1"/>
    <s v="Funcionamiento"/>
    <s v="Subdirección de Gestión Corporativa"/>
    <s v="78102206;"/>
    <s v="Prestar a la UAE Cuerpo Oficial de Bomberos Bogotá  los servicios postales, la radicación, digitalización de correspondencia, el servicio de alistamiento básico, elaboración de guías, recolección, transporte y entrega de correo (sobres y/o paquetes) a niv"/>
    <d v="2023-02-01T00:00:00"/>
    <d v="2023-01-15T00:00:00"/>
    <n v="11"/>
    <s v="CCE-16 Contratación directa "/>
    <x v="0"/>
    <s v="N/A funcionamiento"/>
    <n v="95000000"/>
    <s v="N/A funcionamiento"/>
    <s v="N/A funcionamiento"/>
    <s v="SI SECOP"/>
  </r>
  <r>
    <n v="2023446"/>
    <x v="1"/>
    <s v="Funcionamiento"/>
    <s v="Subdirección de Gestión Corporativa"/>
    <s v="841315;"/>
    <s v="Contratar los seguros de casco aviación aeronaves no tripuladas (drones) de propiedad y de aquellos por los cuales es legalmente responsable la Unidad Administrativa Especial del Cuerpo Oficial de Bomberos de Bogotá-SGC"/>
    <d v="2023-06-01T00:00:00"/>
    <d v="2023-06-15T00:00:00"/>
    <n v="12"/>
    <s v="CCE-10 Mínima cuantía"/>
    <x v="0"/>
    <s v="N/A funcionamiento"/>
    <n v="17000000"/>
    <s v="N/A funcionamiento"/>
    <s v="N/A funcionamiento"/>
    <s v="SI SECOP"/>
  </r>
  <r>
    <n v="2023448"/>
    <x v="1"/>
    <s v="Funcionamiento"/>
    <s v="Subdirección de Gestión Corporativa"/>
    <s v="84131600; _x000a_84131500;_x000a_84131600;"/>
    <s v="Seleccionar propuesta para contratar con una o varias compañías de seguros legalmente autorizadas para funcionar en el país, los seguros patrimoniales, generales, de aviación y personas requeridos para la adecuada protección de los bienes e intereses patr"/>
    <d v="2023-01-02T00:00:00"/>
    <d v="2023-02-24T00:00:00"/>
    <n v="12"/>
    <s v="CCE-02 Licitación pública"/>
    <x v="0"/>
    <s v="N/A funcionamiento"/>
    <n v="4600000000"/>
    <s v="N/A funcionamiento"/>
    <s v="N/A funcionamiento"/>
    <s v="SI SECOP"/>
  </r>
  <r>
    <n v="2023449"/>
    <x v="1"/>
    <s v="Funcionamiento"/>
    <s v="Subdirección de Gestión Corporativa"/>
    <s v="80131502;"/>
    <s v="Arrendamiento de instalaciones estación Marichuela -SGC"/>
    <d v="2023-05-02T00:00:00"/>
    <d v="2023-05-10T00:00:00"/>
    <n v="8"/>
    <s v="CCE-16 Contratación directa "/>
    <x v="0"/>
    <s v="N/A funcionamiento"/>
    <n v="84000000"/>
    <s v="N/A funcionamiento"/>
    <s v="N/A funcionamiento"/>
    <s v="SI SECOP"/>
  </r>
  <r>
    <n v="2023450"/>
    <x v="1"/>
    <s v="Funcionamiento"/>
    <s v="Subdirección de Gestión Corporativa"/>
    <s v="80131502;"/>
    <s v="Arrendamiento de instalaciones estación Ferias--SGC"/>
    <d v="2023-01-01T00:00:00"/>
    <d v="2023-01-15T00:00:00"/>
    <n v="12"/>
    <s v="CCE-16 Contratación directa "/>
    <x v="0"/>
    <s v="N/A funcionamiento"/>
    <n v="119665561"/>
    <s v="N/A funcionamiento"/>
    <s v="N/A funcionamiento"/>
    <s v="SI SECOP"/>
  </r>
  <r>
    <n v="2023451"/>
    <x v="1"/>
    <s v="Funcionamiento"/>
    <s v="Subdirección de Gestión Corporativa"/>
    <s v="92121500;_x000a_92121700;_x000a_32151800;"/>
    <s v="Prestar el servicio de vigilancia y seguridad privada en la modalidad de vigilancia fija, según especificaciones técnicas, en las instalaciones donde la UAE Especial Cuerpo Oficial de Bomberos requiera-SGC"/>
    <d v="2023-01-01T00:00:00"/>
    <d v="2023-02-20T00:00:00"/>
    <n v="12"/>
    <s v="CCE-02 Licitación pública"/>
    <x v="0"/>
    <s v="N/A funcionamiento"/>
    <n v="600000000"/>
    <s v="N/A funcionamiento"/>
    <s v="N/A funcionamiento"/>
    <s v="SI SECOP"/>
  </r>
  <r>
    <n v="2023452"/>
    <x v="1"/>
    <s v="Funcionamiento"/>
    <s v="Subdirección de Gestión Corporativa"/>
    <s v="72154010;_x000a_72101506;"/>
    <s v="Mantenimiento ascensor nueva Estación de Bomberos de Fontibón-SGC"/>
    <d v="2023-02-01T00:00:00"/>
    <d v="2023-01-15T00:00:00"/>
    <n v="10"/>
    <s v="CCE-16 Contratación directa "/>
    <x v="0"/>
    <s v="N/A funcionamiento"/>
    <n v="8000000"/>
    <s v="N/A funcionamiento"/>
    <s v="N/A funcionamiento"/>
    <s v="SI SECOP"/>
  </r>
  <r>
    <n v="2023453"/>
    <x v="1"/>
    <s v="Funcionamiento"/>
    <s v="Subdirección de Gestión Corporativa"/>
    <s v="72154010;_x000a_72101506;"/>
    <s v="Mantenimiento correctivo y preventivo con suministro de repuestos para los Ascensores Edificio Comando-SGC"/>
    <d v="2023-02-01T00:00:00"/>
    <d v="2023-01-15T00:00:00"/>
    <n v="10"/>
    <s v="CCE-16 Contratación directa "/>
    <x v="0"/>
    <s v="N/A funcionamiento"/>
    <n v="19000000"/>
    <s v="N/A funcionamiento"/>
    <s v="N/A funcionamiento"/>
    <s v="SI SECOP"/>
  </r>
  <r>
    <n v="2023454"/>
    <x v="1"/>
    <s v="Funcionamiento"/>
    <s v="Subdirección de Gestión Corporativa"/>
    <s v="72154010;_x000a_72101506;"/>
    <s v="Mantenimiento correctivo y preventivo con suministro de repuestos ascensor nueva Estación de Bomberos BELLAVISTA- SGC"/>
    <d v="2023-02-01T00:00:00"/>
    <d v="2023-01-15T00:00:00"/>
    <n v="10"/>
    <s v="CCE-16 Contratación directa "/>
    <x v="0"/>
    <s v="N/A funcionamiento"/>
    <n v="8000000"/>
    <s v="N/A funcionamiento"/>
    <s v="N/A funcionamiento"/>
    <s v="SI SECOP"/>
  </r>
  <r>
    <n v="2023455"/>
    <x v="1"/>
    <s v="Funcionamiento"/>
    <s v="Subdirección de Gestión Corporativa"/>
    <s v="72102104;, 76101503; 72154055; 70111703;_x000a_ 70111706;_x000a_ 70111503"/>
    <s v="Contratar el servicio de saneamiento ambiental, corte de césped, jardinería, poda y tala de árboles para las sedes (predios y/o estaciones) de la UAECOB-SGC"/>
    <d v="2023-02-20T00:00:00"/>
    <d v="2023-03-03T00:00:00"/>
    <n v="10"/>
    <s v="CCE-06 Selección abreviada menor cuantía"/>
    <x v="0"/>
    <s v="N/A funcionamiento"/>
    <n v="158002000"/>
    <s v="N/A funcionamiento"/>
    <s v="N/A funcionamiento"/>
    <s v="SI SECOP"/>
  </r>
  <r>
    <n v="2023456"/>
    <x v="1"/>
    <s v="Funcionamiento"/>
    <s v="Subdirección de Gestión Corporativa"/>
    <s v="91111602;_x000a_47101568;_x000a_49241712;_x000a_"/>
    <s v="Prestar los servicios de mantenimiento de la piscina construida en la Estación de Bomberos de Kennedy &quot;Alejandro Lince&quot; B5, como escenario para el acondicionamiento físico y entrenamiento del personal del Cuerpo Oficial de Bomberos de Bogotá para el cumpl"/>
    <d v="2023-02-01T00:00:00"/>
    <d v="2023-03-15T00:00:00"/>
    <n v="5"/>
    <s v="CCE-10 Mínima cuantía"/>
    <x v="0"/>
    <s v="N/A funcionamiento"/>
    <n v="28637520"/>
    <s v="N/A funcionamiento"/>
    <s v="N/A funcionamiento"/>
    <s v="SI SECOP"/>
  </r>
  <r>
    <n v="2023457"/>
    <x v="1"/>
    <s v="Funcionamiento"/>
    <s v="Subdirección de Gestión Corporativa"/>
    <s v="92121500;_x000a_92121700;_x000a_32151800;"/>
    <s v="Adición  No. 1 al contrato 444 de 2022 que tiene como objeto  &quot;Prestar el servicio de vigilancia y seguridad privada en la modalidad devigilancia fija, según especificaciones técnicas, en las instalaciones donde la UAE Especial Cuerpo Oficial de Bomberos "/>
    <d v="2023-01-02T00:00:00"/>
    <d v="2023-02-15T00:00:00"/>
    <n v="2"/>
    <s v="CCE-02 Licitación pública"/>
    <x v="0"/>
    <s v="N/A funcionamiento"/>
    <n v="200000000"/>
    <s v="N/A funcionamiento"/>
    <s v="N/A funcionamiento"/>
    <s v="NO SECOP"/>
  </r>
  <r>
    <n v="2023459"/>
    <x v="1"/>
    <s v="Funcionamiento"/>
    <s v="Subdirección de Gestión Corporativa"/>
    <s v="44121700;_x000a_44121800;_x000a_44121900;_x000a_44122000"/>
    <s v=" Adición y prórroga No. 2 al contrato 422 de 2022 que tiene como objeto &quot; Contratar la prestación del servicio de aseo y cafetería incluido insumos para la UAE Cuerpo Oficial de Bomberos-SGC"/>
    <d v="2023-01-02T00:00:00"/>
    <d v="2023-02-15T00:00:00"/>
    <n v="2"/>
    <s v="CCE-99 Seléccion abreviada - acuerdo marco"/>
    <x v="0"/>
    <s v="N/A funcionamiento"/>
    <n v="44929696"/>
    <s v="N/A funcionamiento"/>
    <s v="N/A funcionamiento"/>
    <s v="NO SECOP"/>
  </r>
  <r>
    <n v="2023460"/>
    <x v="1"/>
    <s v="Funcionamiento"/>
    <s v="Subdirección de Gestión Corporativa"/>
    <n v="80111600"/>
    <s v="Prestación de servicios de apoyo a la gestión del proceso de inventarios de la Subdirección de Gestión Corporativa.-SGC"/>
    <d v="2023-01-01T00:00:00"/>
    <d v="2023-01-15T00:00:00"/>
    <n v="8"/>
    <s v="CCE-16 Contratación directa "/>
    <x v="0"/>
    <s v="N/A funcionamiento"/>
    <n v="19600000"/>
    <s v="N/A funcionamiento"/>
    <s v="N/A funcionamiento"/>
    <s v="SI SECOP"/>
  </r>
  <r>
    <n v="2023462"/>
    <x v="1"/>
    <s v="Funcionamiento"/>
    <s v="Subdirección de Gestión Corporativa"/>
    <n v="80111600"/>
    <s v="Prestación de servicios profesionales, para liderar el proceso de  la gestión documental de la UAE Cuerpo oficial de Bomberos .-SGC"/>
    <d v="2023-01-01T00:00:00"/>
    <d v="2023-01-15T00:00:00"/>
    <n v="10"/>
    <s v="CCE-16 Contratación directa "/>
    <x v="0"/>
    <s v="N/A funcionamiento"/>
    <n v="73000000"/>
    <s v="N/A funcionamiento"/>
    <s v="N/A funcionamiento"/>
    <s v="SI SECOP"/>
  </r>
  <r>
    <n v="2023463"/>
    <x v="1"/>
    <s v="Funcionamiento"/>
    <s v="Subdirección de Gestión Corporativa"/>
    <n v="80111600"/>
    <s v="Prestación de servicios profesionales al área Financiera de la Subdirección de Gestión Corporativa. -SGC."/>
    <d v="2023-04-14T00:00:00"/>
    <d v="2023-04-27T00:00:00"/>
    <n v="9"/>
    <s v="CCE-16 Contratación directa "/>
    <x v="0"/>
    <s v="N/A funcionamiento"/>
    <n v="45813600"/>
    <s v="N/A funcionamiento"/>
    <s v="N/A funcionamiento"/>
    <s v="SI SECOP"/>
  </r>
  <r>
    <n v="2023464"/>
    <x v="1"/>
    <s v="Funcionamiento"/>
    <s v="Subdirección de Gestión Corporativa"/>
    <n v="80111600"/>
    <s v="Prestación de servicios de apoyo a la gestión en la Subdirección de Gestión Corporativa, en las actividades asociadas a los procesos y procedimientos del almacén de la Entidad.-SGC"/>
    <d v="2023-01-01T00:00:00"/>
    <d v="2023-01-15T00:00:00"/>
    <n v="10"/>
    <s v="CCE-16 Contratación directa "/>
    <x v="0"/>
    <s v="N/A funcionamiento"/>
    <n v="33500000"/>
    <s v="N/A funcionamiento"/>
    <s v="N/A funcionamiento"/>
    <s v="SI SECOP"/>
  </r>
  <r>
    <n v="2023465"/>
    <x v="1"/>
    <s v="Funcionamiento"/>
    <s v="Subdirección de Gestión Corporativa"/>
    <n v="80111600"/>
    <s v="Prestación de servicios profesionales en la implementación,consolidación, seguimiento y reporte de los lineamientos ambientales en cada una de las sedes de la UAE CUERPO OFICIAL DE BOMBEROS BOGOTÁ-SGC"/>
    <d v="2023-01-01T00:00:00"/>
    <d v="2023-01-15T00:00:00"/>
    <n v="10"/>
    <s v="CCE-16 Contratación directa "/>
    <x v="0"/>
    <s v="N/A funcionamiento"/>
    <n v="38500000"/>
    <s v="N/A funcionamiento"/>
    <s v="N/A funcionamiento"/>
    <s v="SI SECOP"/>
  </r>
  <r>
    <n v="2023466"/>
    <x v="1"/>
    <s v="Funcionamiento"/>
    <s v="Subdirección de Gestión Corporativa"/>
    <n v="80111600"/>
    <s v="Prestación de servicios de apoyo a la gestión del proceso de inventarios de la Subdirección de Gestión Corporativa.-SGC"/>
    <d v="2023-01-01T00:00:00"/>
    <d v="2023-01-15T00:00:00"/>
    <n v="6"/>
    <s v="CCE-16 Contratación directa "/>
    <x v="0"/>
    <s v="N/A funcionamiento"/>
    <n v="12600000"/>
    <s v="N/A funcionamiento"/>
    <s v="N/A funcionamiento"/>
    <s v="SI SECOP"/>
  </r>
  <r>
    <n v="2023467"/>
    <x v="1"/>
    <s v="Funcionamiento"/>
    <s v="Subdirección de Gestión Corporativa"/>
    <n v="80111600"/>
    <s v="Prestación de servicios de apoyo a la gestión del área Financiera de la Subdirección de Gestión Corporativa.-SGC"/>
    <d v="2023-04-14T00:00:00"/>
    <d v="2023-04-27T00:00:00"/>
    <n v="9"/>
    <s v="CCE-16 Contratación directa "/>
    <x v="0"/>
    <s v="N/A funcionamiento"/>
    <n v="34105680"/>
    <s v="N/A funcionamiento"/>
    <s v="N/A funcionamiento"/>
    <s v="SI SECOP"/>
  </r>
  <r>
    <n v="2023468"/>
    <x v="1"/>
    <s v="Funcionamiento"/>
    <s v="Subdirección de Gestión Corporativa"/>
    <n v="80111600"/>
    <s v="Prestación de servicios de apoyo a la gestión del proceso de inventarios de la Subdirección de Gestión Corporativa.-SGC"/>
    <d v="2023-01-01T00:00:00"/>
    <d v="2023-01-15T00:00:00"/>
    <n v="8"/>
    <s v="CCE-16 Contratación directa "/>
    <x v="0"/>
    <s v="N/A funcionamiento"/>
    <n v="19600000"/>
    <s v="N/A funcionamiento"/>
    <s v="N/A funcionamiento"/>
    <s v="SI SECOP"/>
  </r>
  <r>
    <n v="2023469"/>
    <x v="1"/>
    <s v="Funcionamiento"/>
    <s v="Subdirección de Gestión Corporativa"/>
    <n v="80111600"/>
    <s v="Prestación de servicios de apoyo a la gestión del proceso de inventarios de la Subdirección de Gestión Corporativa.-SGC"/>
    <d v="2023-01-01T00:00:00"/>
    <d v="2023-01-15T00:00:00"/>
    <n v="6"/>
    <s v="CCE-16 Contratación directa "/>
    <x v="0"/>
    <s v="N/A funcionamiento"/>
    <n v="14700000"/>
    <s v="N/A funcionamiento"/>
    <s v="N/A funcionamiento"/>
    <s v="SI SECOP"/>
  </r>
  <r>
    <n v="2023470"/>
    <x v="1"/>
    <s v="Funcionamiento"/>
    <s v="Subdirección de Gestión Corporativa"/>
    <n v="80111600"/>
    <s v="Prestación de servicios profesionales en el acompañamiento y asistencia al área de gestión administrativa de la Subdirección de Gestión Corporativa, así como en el apoyo a la supervisión de los contratos que le sean asignados.-SGC"/>
    <d v="2023-01-01T00:00:00"/>
    <d v="2023-01-15T00:00:00"/>
    <n v="11"/>
    <s v="CCE-16 Contratación directa "/>
    <x v="0"/>
    <s v="N/A funcionamiento"/>
    <n v="99000000"/>
    <s v="N/A funcionamiento"/>
    <s v="N/A funcionamiento"/>
    <s v="SI SECOP"/>
  </r>
  <r>
    <n v="2023471"/>
    <x v="1"/>
    <s v="Funcionamiento"/>
    <s v="Subdirección de Gestión Corporativa"/>
    <n v="80111600"/>
    <s v="Prestación de servicios de apoyo a la gestión documental de la Subdirección de Gestión Corporativa de la Unidad-SGC"/>
    <d v="2023-01-01T00:00:00"/>
    <d v="2023-01-15T00:00:00"/>
    <n v="9"/>
    <s v="CCE-16 Contratación directa "/>
    <x v="0"/>
    <s v="N/A funcionamiento"/>
    <n v="18900000"/>
    <s v="N/A funcionamiento"/>
    <s v="N/A funcionamiento"/>
    <s v="SI SECOP"/>
  </r>
  <r>
    <n v="2023472"/>
    <x v="1"/>
    <s v="Funcionamiento"/>
    <s v="Subdirección de Gestión Corporativa"/>
    <n v="80111600"/>
    <s v="Prestación de servicios de apoyo a la gestión documental de la Subdirección de Gestión Corporativa de la Unidad.-SGC"/>
    <d v="2023-01-01T00:00:00"/>
    <d v="2023-01-15T00:00:00"/>
    <n v="10"/>
    <s v="CCE-16 Contratación directa "/>
    <x v="0"/>
    <s v="N/A funcionamiento"/>
    <n v="24500000"/>
    <s v="N/A funcionamiento"/>
    <s v="N/A funcionamiento"/>
    <s v="SI SECOP"/>
  </r>
  <r>
    <n v="2023473"/>
    <x v="1"/>
    <s v="Funcionamiento"/>
    <s v="Subdirección de Gestión Corporativa"/>
    <n v="80111600"/>
    <s v="Prestación de servicios de apoyo a la gestión documental de la Subdirección de Gestión Corporativa de la Unidad.-SGC"/>
    <d v="2023-01-01T00:00:00"/>
    <d v="2023-01-15T00:00:00"/>
    <n v="9"/>
    <s v="CCE-16 Contratación directa "/>
    <x v="0"/>
    <s v="N/A funcionamiento"/>
    <n v="22050000"/>
    <s v="N/A funcionamiento"/>
    <s v="N/A funcionamiento"/>
    <s v="SI SECOP"/>
  </r>
  <r>
    <n v="2023474"/>
    <x v="1"/>
    <s v="Funcionamiento"/>
    <s v="Subdirección de Gestión Corporativa"/>
    <n v="80111600"/>
    <s v="Prestar servicios profesionales para desarrollar e implementar sistemas de información, brindar soporte, mantenimiento y generar interoperabilidad con BOGDATA,  en la Subdirección de Gestión Corporativa -SGC."/>
    <d v="2023-03-01T00:00:00"/>
    <d v="2023-03-15T00:00:00"/>
    <n v="8"/>
    <s v="CCE-16 Contratación directa "/>
    <x v="0"/>
    <s v="N/A funcionamiento"/>
    <n v="56000000"/>
    <s v="N/A funcionamiento"/>
    <s v="N/A funcionamiento"/>
    <s v="SI SECOP"/>
  </r>
  <r>
    <n v="2023475"/>
    <x v="1"/>
    <s v="Funcionamiento"/>
    <s v="Subdirección de Gestión Corporativa"/>
    <n v="80111600"/>
    <s v="Prestación de servicios de apoyo a la gestión documental de la Subdirección de Gestión Corporativa de la Unidad-SGC"/>
    <d v="2023-01-01T00:00:00"/>
    <d v="2023-01-15T00:00:00"/>
    <n v="11"/>
    <s v="CCE-16 Contratación directa "/>
    <x v="0"/>
    <s v="N/A funcionamiento"/>
    <n v="26950000"/>
    <s v="N/A funcionamiento"/>
    <s v="N/A funcionamiento"/>
    <s v="SI SECOP"/>
  </r>
  <r>
    <n v="2023476"/>
    <x v="1"/>
    <s v="Funcionamiento"/>
    <s v="Subdirección de Gestión Corporativa"/>
    <n v="80111600"/>
    <s v="Prestación de servicios profesionales en el acompañamiento y asistencia al proceso de gestión documental de la UAE Cuerpo oficial de Bomberos , así como en el apoyo a la supervisión de los contratos que le sean asignados.-SGC"/>
    <d v="2023-01-01T00:00:00"/>
    <d v="2023-01-15T00:00:00"/>
    <n v="11"/>
    <s v="CCE-16 Contratación directa "/>
    <x v="0"/>
    <s v="N/A funcionamiento"/>
    <n v="55000000"/>
    <s v="N/A funcionamiento"/>
    <s v="N/A funcionamiento"/>
    <s v="SI SECOP"/>
  </r>
  <r>
    <n v="2023477"/>
    <x v="1"/>
    <s v="Funcionamiento"/>
    <s v="Subdirección de Gestión Corporativa"/>
    <n v="80111600"/>
    <s v="Prestación de servicios profesionales al área Financiera de la Subdirección de Gestión Corporativa. -SGC."/>
    <d v="2023-03-01T00:00:00"/>
    <d v="2023-03-15T00:00:00"/>
    <n v="8"/>
    <s v="CCE-16 Contratación directa "/>
    <x v="0"/>
    <s v="N/A funcionamiento"/>
    <n v="30800000"/>
    <s v="N/A funcionamiento"/>
    <s v="N/A funcionamiento"/>
    <s v="SI SECOP"/>
  </r>
  <r>
    <n v="2023478"/>
    <x v="1"/>
    <s v="Funcionamiento"/>
    <s v="Subdirección de Gestión Corporativa"/>
    <n v="80111600"/>
    <s v="Prestación de servicios profesionales para la formulación, seguimiento, ejecución de los procesos contables y gestión de pagos que se desarrollan en el área Financiera de la UAE Cuerpo Oficial de Bomberos asignados.-SGC      _x000a_"/>
    <d v="2023-03-01T00:00:00"/>
    <d v="2023-03-15T00:00:00"/>
    <n v="9"/>
    <s v="CCE-16 Contratación directa "/>
    <x v="0"/>
    <s v="N/A funcionamiento"/>
    <n v="45900000"/>
    <s v="N/A funcionamiento"/>
    <s v="N/A funcionamiento"/>
    <s v="SI SECOP"/>
  </r>
  <r>
    <n v="2023481"/>
    <x v="1"/>
    <s v="Funcionamiento"/>
    <s v="Subdirección de Gestión Corporativa"/>
    <n v="80111600"/>
    <s v="Prestación de servicios profesionales en la implementación, consolidación, seguimiento y reporte de los lineamientos ambientales en cada una de las sedes de la entidad, enfatizado en los equipos de trabajo de la Subdirección de Gestión Corporativa-SGC"/>
    <d v="2023-01-01T00:00:00"/>
    <d v="2023-01-15T00:00:00"/>
    <n v="9"/>
    <s v="CCE-16 Contratación directa "/>
    <x v="0"/>
    <s v="N/A funcionamiento"/>
    <n v="18000000"/>
    <s v="N/A funcionamiento"/>
    <s v="N/A funcionamiento"/>
    <s v="SI SECOP"/>
  </r>
  <r>
    <n v="2023482"/>
    <x v="1"/>
    <s v="Funcionamiento"/>
    <s v="Subdirección de Gestión Corporativa"/>
    <n v="80111600"/>
    <s v="Prestación de servicios profesionales para la ejecución de los procesos contables que se desarrollan en el Área Financiera de la UAE Cuerpo Oficial de Bomberos asignados.-SGC      "/>
    <d v="2023-01-01T00:00:00"/>
    <d v="2023-01-15T00:00:00"/>
    <n v="9"/>
    <s v="CCE-16 Contratación directa "/>
    <x v="0"/>
    <s v="N/A funcionamiento"/>
    <n v="61200000"/>
    <s v="N/A funcionamiento"/>
    <s v="N/A funcionamiento"/>
    <s v="SI SECOP"/>
  </r>
  <r>
    <n v="2023484"/>
    <x v="1"/>
    <s v="Funcionamiento"/>
    <s v="Oficina Jurídica"/>
    <n v="80111600"/>
    <s v="Prestar los servicios profesionales jurídicos especializados para la verificación de la legalidad contractual en el desarrollo de las funciones de la Oficina Jurídica."/>
    <d v="2023-01-15T00:00:00"/>
    <d v="2023-04-05T00:00:00"/>
    <n v="8"/>
    <s v="CCE-16 Contratación directa "/>
    <x v="0"/>
    <s v="N/A funcionamiento"/>
    <n v="73600000"/>
    <s v="N/A funcionamiento"/>
    <s v="N/A funcionamiento"/>
    <s v="SI SECOP"/>
  </r>
  <r>
    <n v="2023485"/>
    <x v="1"/>
    <s v="Funcionamiento"/>
    <s v="Oficina Jurídica"/>
    <n v="80111600"/>
    <s v="Prestación de servicios profesionales jurídicos para orientar y apoyar el trámite y la gestión de los procesos_x000a_disciplinarios que se adelanten en la Oficina Jurídica de la Unidad Administrativa Especial Cuerpo Oficial de_x000a_Bomberos Bogotá"/>
    <d v="2023-03-15T00:00:00"/>
    <d v="2023-04-10T00:00:00"/>
    <n v="8"/>
    <s v="CCE-16 Contratación directa "/>
    <x v="0"/>
    <s v="N/A funcionamiento"/>
    <n v="56000000"/>
    <s v="N/A funcionamiento"/>
    <s v="N/A funcionamiento"/>
    <s v="SI SECOP"/>
  </r>
  <r>
    <n v="2023487"/>
    <x v="1"/>
    <s v="Funcionamiento"/>
    <s v="Oficina Jurídica"/>
    <n v="80111600"/>
    <s v="Prestar los servicios profesionales jurídicos para apoyar las actividades propias de la gestión contractual que adelanta la oficina jurídica"/>
    <d v="2023-04-05T00:00:00"/>
    <d v="2023-04-05T00:00:00"/>
    <n v="7"/>
    <s v="CCE-16 Contratación directa "/>
    <x v="0"/>
    <s v="N/A funcionamiento"/>
    <n v="29406667"/>
    <s v="N/A funcionamiento"/>
    <s v="N/A funcionamiento"/>
    <s v="SI SECOP"/>
  </r>
  <r>
    <n v="2023488"/>
    <x v="1"/>
    <s v="Funcionamiento"/>
    <s v="Subdirección de Gestión Humana"/>
    <n v="80111600"/>
    <s v="SGH - Prestar sus servicios de apoyo para dar cumplimiento al PEGTH en actividades especificas de desarrollo organizacional."/>
    <d v="2023-01-20T00:00:00"/>
    <d v="2023-01-30T00:00:00"/>
    <n v="6"/>
    <s v="CCE-16 Contratación directa "/>
    <x v="0"/>
    <s v="N/A funcionamiento"/>
    <n v="11000000"/>
    <s v="N/A funcionamiento"/>
    <s v="N/A funcionamiento"/>
    <s v="SI SECOP"/>
  </r>
  <r>
    <n v="2023489"/>
    <x v="1"/>
    <s v="Funcionamiento"/>
    <s v="Subdirección de Gestión Humana"/>
    <n v="80111600"/>
    <s v="SGH - Prestar servicios profesionales en la Subdirección de Gestión Humana de la UAE Cuerpo Oficial de Bomberos en temas de liquidación de demandas y conciliaciones."/>
    <d v="2023-01-01T00:00:00"/>
    <d v="2023-02-01T00:00:00"/>
    <n v="3"/>
    <s v="CCE-16 Contratación directa "/>
    <x v="0"/>
    <s v="N/A funcionamiento"/>
    <n v="11400000"/>
    <s v="N/A funcionamiento"/>
    <s v="N/A funcionamiento"/>
    <s v="SI SECOP"/>
  </r>
  <r>
    <n v="2023490"/>
    <x v="1"/>
    <s v="Funcionamiento"/>
    <s v="Subdirección de Gestión Humana"/>
    <n v="80111600"/>
    <s v="SGH - Prestar servicios de apoyo a los procesos de la Subdirección de Gestión Humana de la UAE Cuerpo Oficial de Bomberos."/>
    <d v="2023-03-20T00:00:00"/>
    <d v="2023-03-30T00:00:00"/>
    <n v="9"/>
    <s v="CCE-16 Contratación directa "/>
    <x v="0"/>
    <s v="N/A funcionamiento"/>
    <n v="6125000"/>
    <s v="N/A funcionamiento"/>
    <s v="N/A funcionamiento"/>
    <s v="SI SECOP"/>
  </r>
  <r>
    <n v="2023492"/>
    <x v="1"/>
    <s v="Funcionamiento"/>
    <s v="Subdirección de Gestión Humana"/>
    <n v="80111600"/>
    <s v="SGH - Prestar sus servicios profesionales en los procesos de la Subdirección de Gestión Humana de la UAE Cuerpo Oficial de Bomberos."/>
    <d v="2023-03-01T00:00:00"/>
    <d v="2023-04-01T00:00:00"/>
    <n v="9"/>
    <s v="CCE-16 Contratación directa "/>
    <x v="0"/>
    <s v="N/A funcionamiento"/>
    <n v="39123000"/>
    <s v="N/A funcionamiento"/>
    <s v="N/A funcionamiento"/>
    <s v="SI SECOP"/>
  </r>
  <r>
    <n v="2023493"/>
    <x v="1"/>
    <s v="Funcionamiento"/>
    <s v="Subdirección de Gestión Humana"/>
    <n v="80111600"/>
    <s v="SGH - Ejecutar actividades de apoyo a la gestión en  la Subdirección de Gestión Humana de la UAE Cuerpo Oficial de Bomberos de Bogotá D.C. en lo relacionado con los procesos de actualización, custodia y manejo del archivo de gestión de la Subdirección._x000a_"/>
    <d v="2023-02-01T00:00:00"/>
    <d v="2023-03-01T00:00:00"/>
    <n v="10"/>
    <s v="CCE-16 Contratación directa "/>
    <x v="0"/>
    <s v="N/A funcionamiento"/>
    <n v="9315000"/>
    <s v="N/A funcionamiento"/>
    <s v="N/A funcionamiento"/>
    <s v="SI SECOP"/>
  </r>
  <r>
    <n v="2023494"/>
    <x v="1"/>
    <s v="Funcionamiento"/>
    <s v="Subdirección Operativa"/>
    <s v="53102700;53111601;53102706;53102710"/>
    <s v="Adquisición de uniformes para el personal operativo"/>
    <d v="2023-03-01T00:00:00"/>
    <d v="2023-03-15T00:00:00"/>
    <n v="6"/>
    <s v="CCE-07 Selección abreviada subasta inversa"/>
    <x v="0"/>
    <s v="N/A funcionamiento"/>
    <n v="305794000"/>
    <s v="N/A funcionamiento"/>
    <s v="N/A funcionamiento"/>
    <s v="SI SECOP"/>
  </r>
  <r>
    <n v="2023495"/>
    <x v="1"/>
    <s v="Funcionamiento"/>
    <s v="Subdirección Logística"/>
    <s v="78181505;"/>
    <s v="CONTRATAR EL SERVICIO DE REVISION TÉCNICO MECÁNICA Y DE EMISION DE GASES CONTAMINANTES PARA LOS VEHICULOS QUE FORMAN PARTE DEL PARQUE AUTOMOTOR DE LA UNIDAD ADMINISTRATIVA ESPECIAL CUERPO OFICIAL DE BOMBEROS DE BOGOTÁ - UAECOB-SBLG"/>
    <d v="2023-01-15T00:00:00"/>
    <d v="2023-01-31T00:00:00"/>
    <n v="11"/>
    <s v="CCE-10 Mínima cuantía"/>
    <x v="0"/>
    <s v="N/A funcionamiento"/>
    <n v="27350000"/>
    <s v="N/A funcionamiento"/>
    <s v="N/A funcionamiento"/>
    <s v="SI SECOP"/>
  </r>
  <r>
    <n v="2023496"/>
    <x v="1"/>
    <s v="Funcionamiento"/>
    <s v="Subdirección de Gestión Humana"/>
    <s v="901016; _x000a_901116; _x000a_901417; _x000a_901517"/>
    <s v="SGH - Contratar la Prestación de Servicios para desarrollar el Plan de Bienestar de la UAE Cuerpo Oficial de Bomberos para la Vigencia 2023."/>
    <d v="2023-02-20T00:00:00"/>
    <d v="2023-03-30T00:00:00"/>
    <n v="9"/>
    <s v="CCE-02 Licitación pública"/>
    <x v="0"/>
    <s v="N/A funcionamiento"/>
    <n v="1243200000"/>
    <s v="N/A funcionamiento"/>
    <s v="N/A funcionamiento"/>
    <s v="SI SECOP"/>
  </r>
  <r>
    <n v="2023497"/>
    <x v="1"/>
    <s v="Funcionamiento"/>
    <s v="Subdirección de Gestión Humana"/>
    <s v="85121503; _x000a_85121603; _x000a_85121604; _x000a_85121608; _x000a_85121610; _x000a_85121611; _x000a_85121612; _x000a_85121702;_x000a_ 85122201;"/>
    <s v="Realizar los exámenes Médicos Ocupacionales para el personal de la UAECOB"/>
    <d v="2023-05-01T00:00:00"/>
    <d v="2023-05-31T00:00:00"/>
    <n v="7"/>
    <s v="CCE-06 Selección abreviada menor cuantía"/>
    <x v="0"/>
    <s v="N/A funcionamiento"/>
    <n v="218000000"/>
    <s v="N/A funcionamiento"/>
    <s v="N/A funcionamiento"/>
    <s v="SI SECOP"/>
  </r>
  <r>
    <n v="2023498"/>
    <x v="1"/>
    <s v="Funcionamiento"/>
    <s v="Subdirección de Gestión Humana"/>
    <s v="46181900;_x000a_46181901;"/>
    <s v="Realizar compra de insumos y elementos de emergencia, elementos para dotación de botiquines, capacitación y formacion en temas relacionados con SST ( medicina preventiva, Seguridad industrial, psicologia), semana de la salud, actividades preventivas como "/>
    <d v="2023-03-01T00:00:00"/>
    <d v="2023-03-31T00:00:00"/>
    <n v="9"/>
    <s v="CCE-06 Selección abreviada menor cuantía"/>
    <x v="0"/>
    <s v="N/A funcionamiento"/>
    <n v="21000000"/>
    <s v="N/A funcionamiento"/>
    <s v="N/A funcionamiento"/>
    <s v="SI SECOP"/>
  </r>
  <r>
    <n v="2023499"/>
    <x v="1"/>
    <s v="Funcionamiento"/>
    <s v="Subdirección de Gestión Humana"/>
    <s v="85121600, 85122000, 85121500"/>
    <s v="Contratar las actividades de intervención para el programa de riesgo psicosocial"/>
    <d v="2023-05-01T00:00:00"/>
    <d v="2023-04-30T00:00:00"/>
    <n v="5"/>
    <s v="CCE-10 Mínima cuantía"/>
    <x v="0"/>
    <s v="N/A funcionamiento"/>
    <n v="22000000"/>
    <s v="N/A funcionamiento"/>
    <s v="N/A funcionamiento"/>
    <s v="SI SECOP"/>
  </r>
  <r>
    <n v="2023500"/>
    <x v="1"/>
    <s v="Funcionamiento"/>
    <s v="Subdirección de Gestión Humana"/>
    <s v=" 46181900;_x000a_ 46181901"/>
    <s v="Adquirir elementos de protección personal para prevenir la aparición de enfermedades ocupacionales en el oido en el personal de la UAE cuerpo oficial de bomberos."/>
    <d v="2023-03-01T00:00:00"/>
    <d v="2023-04-30T00:00:00"/>
    <n v="4"/>
    <s v="CCE-10 Mínima cuantía"/>
    <x v="0"/>
    <s v="N/A funcionamiento"/>
    <n v="8000000"/>
    <s v="N/A funcionamiento"/>
    <s v="N/A funcionamiento"/>
    <s v="SI SECOP"/>
  </r>
  <r>
    <n v="2023501"/>
    <x v="0"/>
    <s v="O23011605560000007655 - Fortalecimiento de la Planeación y Gestión de la UAECOB Bogotá"/>
    <s v="Subdirección de Gestión Humana"/>
    <n v="80111600"/>
    <s v="SGH - Prestar sus servicios profesionales en la Subdirección de Gestión Humana, en los procesos contractuales y demás actividades relacionadas con la Subdirección de Gestión Humana"/>
    <d v="2023-01-20T00:00:00"/>
    <d v="2023-01-30T00:00:00"/>
    <n v="10"/>
    <s v="CCE-16 Contratación directa "/>
    <x v="0"/>
    <s v="O232020200883990_Otros servicios profesionales, técnicos y empresariales n.c.p."/>
    <n v="17388000"/>
    <s v="1-Implementar 1 plan de ajuste y sostenibilidad del MIPG en la UAECOB"/>
    <s v="516-Gestionar el 100% de un (1) plan de adecuación y sostenibilidad de los sistemas de gestión de la Unidad Administrativa Especial Cuerpo Oficial de Bomberos"/>
    <s v="SI SECOP"/>
  </r>
  <r>
    <n v="2023502"/>
    <x v="3"/>
    <s v="O23011602300000007658 - Fortalecimiento del Cuerpo Oficial de Bomberos Bogotá"/>
    <s v="Subdirección de Gestión Humana"/>
    <n v="80111600"/>
    <s v="SGH - Prestar servicios profesionales en la Subdirección de Gestión Humana, en lo relacionado con el fortalecimiento e implementación de la escuela de formación bomberil."/>
    <d v="2023-02-20T00:00:00"/>
    <d v="2023-03-05T00:00:00"/>
    <n v="10"/>
    <s v="CCE-16 Contratación directa "/>
    <x v="0"/>
    <s v="O232020200883990_Otros servicios profesionales, técnicos y empresariales n.c.p."/>
    <n v="270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03"/>
    <x v="3"/>
    <s v="O23011602300000007658 - Fortalecimiento del Cuerpo Oficial de Bomberos Bogotá"/>
    <s v="Subdirección de Gestión Humana"/>
    <n v="80111600"/>
    <s v="SGH -Prestar sus servicios profesionales en la Subdirección de Gestión Humana, en la administración de sistema de seguridad y salud en el trabajo"/>
    <d v="2023-01-20T00:00:00"/>
    <d v="2023-02-15T00:00:00"/>
    <n v="2"/>
    <s v="CCE-16 Contratación directa "/>
    <x v="0"/>
    <s v="O232020200883990_Otros servicios profesionales, técnicos y empresariales n.c.p."/>
    <n v="11386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04"/>
    <x v="3"/>
    <s v="O23011602300000007658 - Fortalecimiento del Cuerpo Oficial de Bomberos Bogotá"/>
    <s v="Subdirección de Gestión Humana"/>
    <n v="80111600"/>
    <s v="SGH - Prestar sus servicios profesionales en la gestión contractual y presupuestal de la Subdirección de Gestión Humana de la UAE Cuerpo Oficial de Bomberos."/>
    <d v="2023-02-06T00:00:00"/>
    <d v="2023-02-15T00:00:00"/>
    <n v="1.5"/>
    <s v="CCE-16 Contratación directa "/>
    <x v="0"/>
    <s v="O232020200883990_Otros servicios profesionales, técnicos y empresariales n.c.p."/>
    <n v="65205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05"/>
    <x v="3"/>
    <s v="O23011602300000007658 - Fortalecimiento del Cuerpo Oficial de Bomberos Bogotá"/>
    <s v="Subdirección Logística"/>
    <n v="78181500"/>
    <s v="Adición al contrato 440 de 2022  cuyo objeto es &quot;Prestar el servicio de mantenimiento preventivo y correctivo, de latonería y pintura, incluyendo el suministro de repuestos, insumos y mano de obra especializada para los vehículos pertenecientes al parque "/>
    <d v="2023-02-01T00:00:00"/>
    <d v="2023-02-01T00:00:00"/>
    <n v="3"/>
    <s v="CCE-02 Licitación pública"/>
    <x v="0"/>
    <s v="O23202020088714199_Servicio de mantenimiento y reparación de vehículos automotores n.c.p."/>
    <n v="31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506"/>
    <x v="3"/>
    <s v="O23011602300000007658 - Fortalecimiento del Cuerpo Oficial de Bomberos Bogotá"/>
    <s v="Subdirección Logística"/>
    <n v="25172500"/>
    <s v="Adición al contrato 431 de 2022  cuyo objeto es &quot;El Suministro e instalación de llantas y otros servicios,  para los vehículos del parque automotor de la UAECOB&quot;"/>
    <d v="2023-01-20T00:00:00"/>
    <d v="2023-01-20T00:00:00"/>
    <n v="12"/>
    <s v="CCE-07 Selección abreviada subasta inversa"/>
    <x v="0"/>
    <s v="O23201010030208 Otra maquinaria para usos especiales y sus partes y piezas"/>
    <n v="2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507"/>
    <x v="3"/>
    <s v="O23011602300000007658 - Fortalecimiento del Cuerpo Oficial de Bomberos Bogotá"/>
    <s v="Subdirección Logística"/>
    <n v="80111600"/>
    <s v="Prestación de servicios como conductor en los diferentes recorridos de carácter operativo que se requieran en la Subdirección Logística - SBLG"/>
    <d v="2023-01-15T00:00:00"/>
    <d v="2023-01-15T00:00:00"/>
    <n v="11"/>
    <s v="CCE-16 Contratación directa "/>
    <x v="0"/>
    <s v="O232020200883990_Otros servicios profesionales, técnicos y empresariales n.c.p."/>
    <n v="1266944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508"/>
    <x v="1"/>
    <s v="Funcionamiento"/>
    <s v="Oficina Jurídica"/>
    <n v="80111600"/>
    <s v="Prestar los servicios profesionales jurídicos para apoyar las actuaciones procesales y procedimentales de la Oficina Jurídica"/>
    <d v="2023-01-20T00:00:00"/>
    <d v="2023-01-23T00:00:00"/>
    <n v="5"/>
    <s v="CCE-16 Contratación directa "/>
    <x v="2"/>
    <s v="N/A funcionamiento"/>
    <n v="30000000"/>
    <s v="N/A funcionamiento"/>
    <s v="N/A funcionamiento"/>
    <s v="NO SECOP"/>
  </r>
  <r>
    <n v="2023509"/>
    <x v="0"/>
    <s v="O23011605560000007655 - Fortalecimiento de la Planeación y Gestión de la UAECOB Bogotá"/>
    <s v="Oficina Asesora de Planeación"/>
    <n v="80111600"/>
    <s v="Prestar servicios profesionales a la Oficina Asesora de Planeación, para la administración, procesamiento y análisis de la información estadística generada; apoyar el fortalecimiento, consolidación y cumplimiento de la gestión estratégica, gestión del con"/>
    <d v="2023-01-01T00:00:00"/>
    <d v="2023-01-15T00:00:00"/>
    <n v="10"/>
    <s v="CCE-16 Contratación directa "/>
    <x v="0"/>
    <s v="O232020200883990_Otros servicios profesionales, técnicos y empresariales n.c.p."/>
    <n v="60000000"/>
    <s v="1-Implementar 1 plan de ajuste y sostenibilidad del MIPG en la UAECOB"/>
    <s v="516-Gestionar el 100% de un (1) plan de adecuación y sostenibilidad de los sistemas de gestión de la Unidad Administrativa Especial Cuerpo Oficial de Bomberos"/>
    <s v="SI SECOP"/>
  </r>
  <r>
    <n v="2023510"/>
    <x v="0"/>
    <s v="O23011605560000007655 - Fortalecimiento de la Planeación y Gestión de la UAECOB Bogotá"/>
    <s v="Subdirección Operativa"/>
    <n v="80111600"/>
    <s v="Prestación de servicios profesionales para apoyar a la Subdirección Operativa, en la identificación, captura y consolidación de la información técnica pertienente para estructurar la estrategia de preparativos de la UAE Cuerpo Oficial de Bomberos de Bogot"/>
    <d v="2023-02-10T00:00:00"/>
    <d v="2023-02-20T00:00:00"/>
    <n v="10"/>
    <s v="CCE-16 Contratación directa "/>
    <x v="0"/>
    <s v="O232020200883990_Otros servicios profesionales, técnicos y empresariales n.c.p."/>
    <n v="85000000"/>
    <s v="2-Elaborar 1 plan de preparativos y continuidad del servicio para la UAECOB ante la eventual ocurrencia de un desastre en el Distrito Capital"/>
    <s v="516-Gestionar el 100% de un (1) plan de adecuación y sostenibilidad de los sistemas de gestión de la Unidad Administrativa Especial Cuerpo Oficial de Bomberos"/>
    <s v="SI SECOP"/>
  </r>
  <r>
    <n v="2023511"/>
    <x v="1"/>
    <s v="Funcionamiento"/>
    <s v="Subdirección de Gestión Corporativa"/>
    <s v="80131502;"/>
    <s v="Adición y Prórroga No. 1 al contrato 451-2022 cuyo objeto es  Arrendamiento de instalaciones estación Marichuela -SGC"/>
    <d v="2023-01-31T00:00:00"/>
    <d v="2023-02-10T00:00:00"/>
    <n v="3"/>
    <s v="CCE-16 Contratación directa "/>
    <x v="0"/>
    <s v="N/A funcionamiento"/>
    <n v="30000000"/>
    <s v="N/A funcionamiento"/>
    <s v="N/A funcionamiento"/>
    <s v="NO SECOP"/>
  </r>
  <r>
    <n v="2023512"/>
    <x v="0"/>
    <s v="O23011605560000007655 - Fortalecimiento de la Planeación y Gestión de la UAECOB Bogotá"/>
    <s v="Subdirección de Gestión Corporativa"/>
    <n v="80111600"/>
    <s v="Adición y prórroga No.2 al contrato 034 de 2022 que tiene como objeto &quot;Prestación de servicios profesionales, en temas jurídicos de la gestión administrativa a cargo de la Subdirección de Gestión Corporativa-SGC"/>
    <d v="2023-01-26T00:00:00"/>
    <d v="2023-01-26T00:00:00"/>
    <n v="2"/>
    <s v="CCE-16 Contratación directa "/>
    <x v="0"/>
    <s v="O232020200882199_Otros servicios jurídicos n.c.p."/>
    <n v="18000000"/>
    <s v="1-Implementar 1 plan de ajuste y sostenibilidad del MIPG en la UAECOB"/>
    <s v="516-Gestionar el 100% de un (1) plan de adecuación y sostenibilidad de los sistemas de gestión de la Unidad Administrativa Especial Cuerpo Oficial de Bomberos"/>
    <s v="NO SECOP"/>
  </r>
  <r>
    <n v="2023513"/>
    <x v="0"/>
    <s v="O23011605560000007655 - Fortalecimiento de la Planeación y Gestión de la UAECOB Bogotá"/>
    <s v="Subdirección de Gestión Corporativa"/>
    <n v="80111600"/>
    <s v="Prestar servicios profesionales en la Subdirección de Gestión Corporativa en el marco de las actividades administrativas de la Dependencia.-SGC"/>
    <d v="2023-03-01T00:00:00"/>
    <d v="2023-03-15T00:00:00"/>
    <n v="6"/>
    <s v="CCE-16 Contratación directa "/>
    <x v="0"/>
    <s v="O232020200883990_Otros servicios profesionales, técnicos y empresariales n.c.p."/>
    <n v="30000000"/>
    <s v="1-Implementar 1 plan de ajuste y sostenibilidad del MIPG en la UAECOB"/>
    <s v="516-Gestionar el 100% de un (1) plan de adecuación y sostenibilidad de los sistemas de gestión de la Unidad Administrativa Especial Cuerpo Oficial de Bomberos"/>
    <s v="SI SECOP"/>
  </r>
  <r>
    <n v="2023514"/>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3-01T00:00:00"/>
    <d v="2023-03-15T00:00:00"/>
    <n v="9"/>
    <s v="CCE-16 Contratación directa "/>
    <x v="0"/>
    <s v="O232020200883990_Otros servicios profesionales, técnicos y empresariales n.c.p."/>
    <n v="22050000"/>
    <s v="1-Implementar 1 plan de ajuste y sostenibilidad del MIPG en la UAECOB"/>
    <s v="516-Gestionar el 100% de un (1) plan de adecuación y sostenibilidad de los sistemas de gestión de la Unidad Administrativa Especial Cuerpo Oficial de Bomberos"/>
    <s v="SI SECOP"/>
  </r>
  <r>
    <n v="2023515"/>
    <x v="0"/>
    <s v="O23011605560000007655 - Fortalecimiento de la Planeación y Gestión de la UAECOB Bogotá"/>
    <s v="Subdirección de Gestión Corporativa"/>
    <n v="80111600"/>
    <s v="Prestación de servicios de apoyo a la gestión documental de la Subdirección de Gestión Corporativa de la Unidad-SGC"/>
    <d v="2023-03-01T00:00:00"/>
    <d v="2023-03-15T00:00:00"/>
    <n v="6"/>
    <s v="CCE-16 Contratación directa "/>
    <x v="0"/>
    <s v="O232020200883990_Otros servicios profesionales, técnicos y empresariales n.c.p."/>
    <n v="14700000"/>
    <s v="1-Implementar 1 plan de ajuste y sostenibilidad del MIPG en la UAECOB"/>
    <s v="516-Gestionar el 100% de un (1) plan de adecuación y sostenibilidad de los sistemas de gestión de la Unidad Administrativa Especial Cuerpo Oficial de Bomberos"/>
    <s v="SI SECOP"/>
  </r>
  <r>
    <n v="2023516"/>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3-01T00:00:00"/>
    <d v="2023-03-15T00:00:00"/>
    <n v="10"/>
    <s v="CCE-16 Contratación directa "/>
    <x v="0"/>
    <s v="O232020200883990_Otros servicios profesionales, técnicos y empresariales n.c.p."/>
    <n v="24500000"/>
    <s v="1-Implementar 1 plan de ajuste y sostenibilidad del MIPG en la UAECOB"/>
    <s v="516-Gestionar el 100% de un (1) plan de adecuación y sostenibilidad de los sistemas de gestión de la Unidad Administrativa Especial Cuerpo Oficial de Bomberos"/>
    <s v="SI SECOP"/>
  </r>
  <r>
    <n v="2023517"/>
    <x v="1"/>
    <s v="Funcionamiento"/>
    <s v="Subdirección de Gestión Corporativa"/>
    <n v="80111600"/>
    <s v="Prestar servicios profesionales especializados para el seguimiento a los procesos administrativos a cargo de la Subdirección de Gestión Corporativa-SGC"/>
    <d v="2023-02-10T00:00:00"/>
    <d v="2023-02-01T00:00:00"/>
    <n v="4"/>
    <s v="CCE-16 Contratación directa "/>
    <x v="0"/>
    <s v="N/A funcionamiento"/>
    <n v="32000000"/>
    <s v="N/A funcionamiento"/>
    <s v="N/A funcionamiento"/>
    <s v="SI SECOP"/>
  </r>
  <r>
    <n v="2023519"/>
    <x v="3"/>
    <s v="O23011602300000007658 - Fortalecimiento del Cuerpo Oficial de Bomberos Bogotá"/>
    <s v="Subdirección de Gestión Humana"/>
    <n v="80111600"/>
    <s v="Adición y prórroga al contrato No. 004 de 2023, cuyo objeto es &quot;SGH - Prestar servicios profesionales en el desarrollo de las actividades y de los diferentes procesos que tiene a cargo la Subdirección de Gestión Humana de la UAE Cuerpo Oficial de Bomberos"/>
    <d v="2023-02-13T00:00:00"/>
    <d v="2023-02-17T00:00:00"/>
    <n v="0.5"/>
    <s v="CCE-16 Contratación directa "/>
    <x v="0"/>
    <s v="O232020200883990_Otros servicios profesionales, técnicos y empresariales n.c.p."/>
    <n v="3638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NO SECOP"/>
  </r>
  <r>
    <n v="2023520"/>
    <x v="1"/>
    <s v="Funcionamiento"/>
    <s v="Subdirección de Gestión Humana"/>
    <s v="80111600"/>
    <s v="SGH - Prestar servicios de apoyo a la gestión en cumplimiento de los planes institucionales de la Subdirección de Gestión Humana específicamente para desarrollo organizacional."/>
    <d v="2023-01-30T00:00:00"/>
    <d v="2023-02-06T00:00:00"/>
    <n v="6"/>
    <s v="CCE-16 Contratación directa "/>
    <x v="0"/>
    <s v="N/A funcionamiento"/>
    <n v="9800000"/>
    <s v="N/A funcionamiento"/>
    <s v="N/A funcionamiento"/>
    <s v="SI SECOP"/>
  </r>
  <r>
    <n v="2023521"/>
    <x v="3"/>
    <s v="O23011602300000007658 - Fortalecimiento del Cuerpo Oficial de Bomberos Bogotá"/>
    <s v="Subdirección de Gestión Humana"/>
    <n v="80111600"/>
    <s v="&quot;SGH - Prestar servicios profesionales para el fortalecimiento transversal del sistema de seguridad y salud en el trabajo&quot;. "/>
    <d v="2023-02-06T00:00:00"/>
    <d v="2023-03-01T00:00:00"/>
    <n v="4"/>
    <s v="CCE-16 Contratación directa "/>
    <x v="0"/>
    <s v="O232020200883990_Otros servicios profesionales, técnicos y empresariales n.c.p."/>
    <n v="207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22"/>
    <x v="2"/>
    <s v="O23011605560000007637 - Fortalecimiento de la infraestructura de tecnología informática y de comunicaciones de la UAECOB"/>
    <s v="Oficina Asesora de Planeación"/>
    <n v="80111600"/>
    <s v="Prestar servicios profesionales para administrar los sistemas misionales, gestionar la apropiación del conocimiento, sus mantenimientos, actualizaciones e implementaciones del mismo."/>
    <d v="2023-01-01T00:00:00"/>
    <d v="2023-01-15T00:00:00"/>
    <n v="4"/>
    <s v="CCE-16 Contratación directa "/>
    <x v="0"/>
    <s v="O232020200883990_Otros servicios profesionales, técnicos y empresariales n.c.p."/>
    <n v="24000000"/>
    <s v="3-Habilitar 3 servicios ciudadanos digitales básicos en la UAECOB"/>
    <s v="517-Implementar al 100% una estrategia de fortalecimiento de los sistemas de información para optimizar la gestión del Cuerpo Oficial de Bomberos"/>
    <s v="SI SECOP"/>
  </r>
  <r>
    <n v="2023523"/>
    <x v="3"/>
    <s v="O23011602300000007658 - Fortalecimiento del Cuerpo Oficial de Bomberos Bogotá"/>
    <s v="Subdirección Logística"/>
    <n v="80111600"/>
    <s v="Prestación de servicios de apoyo a la gestión administrativa de los procesos de equipo menor a cargo de la Subdirección Logística - SBLG"/>
    <d v="2023-02-15T00:00:00"/>
    <d v="2023-02-20T00:00:00"/>
    <n v="4"/>
    <s v="CCE-16 Contratación directa "/>
    <x v="0"/>
    <s v="O232020200883990_Otros servicios profesionales, técnicos y empresariales n.c.p."/>
    <n v="9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524"/>
    <x v="3"/>
    <s v="O23011602300000007658 - Fortalecimiento del Cuerpo Oficial de Bomberos Bogotá"/>
    <s v="Subdirección Logística"/>
    <n v="80111600"/>
    <s v="Prestación de servicios de apoyo a la gestión para la Subdirección Logística en las actividades relacionadas con el componente administrativo de los procesos a cargo de esta Subdirección - SBLG"/>
    <d v="2023-02-15T00:00:00"/>
    <d v="2023-02-20T00:00:00"/>
    <n v="4"/>
    <s v="CCE-16 Contratación directa "/>
    <x v="0"/>
    <s v="O232020200883990_Otros servicios profesionales, técnicos y empresariales n.c.p."/>
    <n v="134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526"/>
    <x v="0"/>
    <s v="O23011605560000007655 - Fortalecimiento de la Planeación y Gestión de la UAECOB Bogotá"/>
    <s v="Subdirección de Gestión del Riesgo"/>
    <n v="80111600"/>
    <s v="Prestar servicios profesionales en las actividades del MIPG de la Subdirección de Gestión del riesgo._SGR"/>
    <d v="2023-06-17T00:00:00"/>
    <d v="2023-06-17T00:00:00"/>
    <n v="5.8"/>
    <s v="CCE-16 Contratación directa "/>
    <x v="0"/>
    <s v="O232020200883990_Otros servicios profesionales, técnicos y empresariales n.c.p."/>
    <n v="57250000"/>
    <s v="1-Implementar 1 plan de ajuste y sostenibilidad del MIPG en la UAECOB"/>
    <s v="516-Gestionar el 100% de un (1) plan de adecuación y sostenibilidad de los sistemas de gestión de la Unidad Administrativa Especial Cuerpo Oficial de Bomberos"/>
    <s v="SI SECOP"/>
  </r>
  <r>
    <n v="2023527"/>
    <x v="0"/>
    <s v="O23011605560000007655 - Fortalecimiento de la Planeación y Gestión de la UAECOB Bogotá"/>
    <s v="Subdirección de Gestión del Riesgo"/>
    <n v="80111600"/>
    <s v="Prestar servicios profesionales a la Subdirección de Gestión del Riesgo apoyando las actividades de coordinación de programas y campañas de prevención._SGR"/>
    <d v="2023-02-16T00:00:00"/>
    <d v="2023-02-16T00:00:00"/>
    <n v="7"/>
    <s v="CCE-16 Contratación directa "/>
    <x v="0"/>
    <s v="O232020200883990_Otros servicios profesionales, técnicos y empresariales n.c.p."/>
    <n v="24000000"/>
    <s v="1-Implementar 1 plan de ajuste y sostenibilidad del MIPG en la UAECOB"/>
    <s v="516-Gestionar el 100% de un (1) plan de adecuación y sostenibilidad de los sistemas de gestión de la Unidad Administrativa Especial Cuerpo Oficial de Bomberos"/>
    <s v="SI SECOP"/>
  </r>
  <r>
    <n v="2023528"/>
    <x v="0"/>
    <s v="O23011605560000007655 - Fortalecimiento de la Planeación y Gestión de la UAECOB Bogotá"/>
    <s v="Subdirección de Gestión del Riesgo"/>
    <n v="80111600"/>
    <s v="Prestar servicios profesionales a la Subdirección de Gestión del Riesgo apoyando las actividades de coordinación de programas y campañas de prevención._SGR"/>
    <d v="2023-06-17T00:00:00"/>
    <d v="2023-06-17T00:00:00"/>
    <n v="3"/>
    <s v="CCE-16 Contratación directa "/>
    <x v="0"/>
    <s v="O232020200883990_Otros servicios profesionales, técnicos y empresariales n.c.p."/>
    <n v="49867000"/>
    <s v="1-Implementar 1 plan de ajuste y sostenibilidad del MIPG en la UAECOB"/>
    <s v="516-Gestionar el 100% de un (1) plan de adecuación y sostenibilidad de los sistemas de gestión de la Unidad Administrativa Especial Cuerpo Oficial de Bomberos"/>
    <s v="SI SECOP"/>
  </r>
  <r>
    <n v="2023529"/>
    <x v="3"/>
    <s v="O23011602300000007658 - Fortalecimiento del Cuerpo Oficial de Bomberos Bogotá"/>
    <s v="Subdirección de Gestión del Riesgo"/>
    <n v="80111600"/>
    <s v="Prestar servicios profesionales para el desarrollo de actividades de planeación y gestión para la Subdirección de Gestión del Riesgo._SGR"/>
    <d v="2023-02-16T00:00:00"/>
    <d v="2023-02-07T00:00:00"/>
    <n v="4"/>
    <s v="CCE-16 Contratación directa "/>
    <x v="0"/>
    <s v="O232020200883990_Otros servicios profesionales, técnicos y empresariales n.c.p."/>
    <n v="10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0"/>
    <x v="3"/>
    <s v="O23011602300000007658 - Fortalecimiento del Cuerpo Oficial de Bomberos Bogotá"/>
    <s v="Subdirección de Gestión del Riesgo"/>
    <n v="80111600"/>
    <s v="Prestar servicios profesionales para el desarrollo de actividades de planeación y gestión para la Subdirección de Gestión del Riesgo._SGR"/>
    <d v="2023-06-16T00:00:00"/>
    <d v="2023-06-16T00:00:00"/>
    <n v="6.3"/>
    <s v="CCE-16 Contratación directa "/>
    <x v="0"/>
    <s v="O232020200883990_Otros servicios profesionales, técnicos y empresariales n.c.p."/>
    <n v="24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1"/>
    <x v="3"/>
    <s v="O23011602300000007658 - Fortalecimiento del Cuerpo Oficial de Bomberos Bogotá"/>
    <s v="Subdirección de Gestión del Riesgo"/>
    <n v="80111600"/>
    <s v="Prestar servicios de apoyo a la gestion en las actividades administrativas para la Subdirección de Gestión del Riesgo._SGR"/>
    <d v="2023-02-16T00:00:00"/>
    <d v="2023-02-16T00:00:00"/>
    <n v="4"/>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2"/>
    <x v="3"/>
    <s v="O23011602300000007658 - Fortalecimiento del Cuerpo Oficial de Bomberos Bogotá"/>
    <s v="Subdirección de Gestión del Riesgo"/>
    <n v="80111600"/>
    <s v="Prestar servicios de apoyo a la gestion en las actividades administrativas para la Subdirección de Gestión del Riesgo._SGR"/>
    <d v="2023-02-16T00:00:00"/>
    <d v="2023-02-16T00:00:00"/>
    <n v="7"/>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3"/>
    <x v="3"/>
    <s v="O23011602300000007658 - Fortalecimiento del Cuerpo Oficial de Bomberos Bogotá"/>
    <s v="Subdirección de Gestión del Riesgo"/>
    <n v="80111600"/>
    <s v="Prestar servicios profesionales en las actividades de Programas y Campañas de Prevención para la Subdirección de Gestión del Riesgo._SGR"/>
    <d v="2023-02-16T00:00:00"/>
    <d v="2023-02-16T00:00:00"/>
    <n v="2"/>
    <s v="CCE-16 Contratación directa "/>
    <x v="0"/>
    <s v="O232020200883990_Otros servicios profesionales, técnicos y empresariales n.c.p."/>
    <n v="13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4"/>
    <x v="3"/>
    <s v="O23011602300000007658 - Fortalecimiento del Cuerpo Oficial de Bomberos Bogotá"/>
    <s v="Subdirección de Gestión del Riesgo"/>
    <n v="80111600"/>
    <s v="Prestar servicios profesionales en las actividades de Programas y Campañas de Prevención para la Subdirección de Gestión del Riesgo._SGR"/>
    <d v="2023-02-16T00:00:00"/>
    <d v="2023-02-16T00:00:00"/>
    <n v="4"/>
    <s v="CCE-16 Contratación directa "/>
    <x v="0"/>
    <s v="O232020200883990_Otros servicios profesionales, técnicos y empresariales n.c.p."/>
    <n v="231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5"/>
    <x v="3"/>
    <s v="O23011602300000007658 - Fortalecimiento del Cuerpo Oficial de Bomberos Bogotá"/>
    <s v="Subdirección de Gestión del Riesgo"/>
    <n v="80111600"/>
    <s v="Prestar servicios profesionales para el desarrollo de los contenidos graficos, piezas comunicativa y de imagen institucional para la Subdirección de Gestión del riesgo._SGR"/>
    <d v="2023-06-17T00:00:00"/>
    <d v="2023-06-17T00:00:00"/>
    <n v="6"/>
    <s v="CCE-16 Contratación directa "/>
    <x v="0"/>
    <s v="O232020200883990_Otros servicios profesionales, técnicos y empresariales n.c.p."/>
    <n v="252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6"/>
    <x v="3"/>
    <s v="O23011602300000007658 - Fortalecimiento del Cuerpo Oficial de Bomberos Bogotá"/>
    <s v="Subdirección de Gestión del Riesgo"/>
    <n v="80111600"/>
    <s v="Prestar servicios profesionales  en las actividades de soporte operacional de la UAECOB._SGR"/>
    <d v="2023-06-17T00:00:00"/>
    <d v="2023-06-17T00:00:00"/>
    <n v="6"/>
    <s v="CCE-16 Contratación directa "/>
    <x v="0"/>
    <s v="O232020200883990_Otros servicios profesionales, técnicos y empresariales n.c.p."/>
    <n v="231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7"/>
    <x v="3"/>
    <s v="O23011602300000007658 - Fortalecimiento del Cuerpo Oficial de Bomberos Bogotá"/>
    <s v="Subdirección de Gestión del Riesgo"/>
    <n v="80111600"/>
    <s v="Prestar sus servicios profesionales en las actividades relacionadas con la emision de conceptos a cargo de la Subdirección de Gestión del Riesgo._SGR"/>
    <d v="2023-06-17T00:00:00"/>
    <d v="2023-06-17T00:00:00"/>
    <n v="3"/>
    <s v="CCE-16 Contratación directa "/>
    <x v="0"/>
    <s v="O232020200883990_Otros servicios profesionales, técnicos y empresariales n.c.p."/>
    <n v="42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8"/>
    <x v="3"/>
    <s v="O23011602300000007658 - Fortalecimiento del Cuerpo Oficial de Bomberos Bogotá"/>
    <s v="Subdirección de Gestión del Riesgo"/>
    <n v="80111600"/>
    <s v="Prestar servicios profesionales en los procesos de formacion y capacitacion de la subdirección de gestión del riesgo._SGR"/>
    <d v="2023-06-17T00:00:00"/>
    <d v="2023-06-17T00:00:00"/>
    <n v="6"/>
    <s v="CCE-16 Contratación directa "/>
    <x v="0"/>
    <s v="O232020200883990_Otros servicios profesionales, técnicos y empresariales n.c.p."/>
    <n v="36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39"/>
    <x v="0"/>
    <s v="O23011605560000007655 - Fortalecimiento de la Planeación y Gestión de la UAECOB Bogotá"/>
    <s v="Subdirección de Gestión del Riesgo"/>
    <n v="80111600"/>
    <s v="Prestar servicios profesionales en las actividades del MIPG de la Subdirección de Gestión del riesgo._SGR"/>
    <d v="2023-02-16T00:00:00"/>
    <d v="2023-02-16T00:00:00"/>
    <n v="4"/>
    <s v="CCE-16 Contratación directa "/>
    <x v="0"/>
    <s v="O232020200883990_Otros servicios profesionales, técnicos y empresariales n.c.p."/>
    <n v="30000000"/>
    <s v="1-Implementar 1 plan de ajuste y sostenibilidad del MIPG en la UAECOB"/>
    <s v="516-Gestionar el 100% de un (1) plan de adecuación y sostenibilidad de los sistemas de gestión de la Unidad Administrativa Especial Cuerpo Oficial de Bomberos"/>
    <s v="SI SECOP"/>
  </r>
  <r>
    <n v="2023540"/>
    <x v="3"/>
    <s v="O23011602300000007658 - Fortalecimiento del Cuerpo Oficial de Bomberos Bogotá"/>
    <s v="Subdirección de Gestión del Riesgo"/>
    <n v="80111600"/>
    <s v="Prestar servicios profesionales en los procesos de formacion y capacitacion de la subdirección de gestión del riesgo._SGR"/>
    <d v="2023-06-17T00:00:00"/>
    <d v="2023-06-17T00:00:00"/>
    <n v="6"/>
    <s v="CCE-16 Contratación directa "/>
    <x v="0"/>
    <s v="O232020200883990_Otros servicios profesionales, técnicos y empresariales n.c.p."/>
    <n v="312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41"/>
    <x v="3"/>
    <s v="O23011602300000007658 - Fortalecimiento del Cuerpo Oficial de Bomberos Bogotá"/>
    <s v="Subdirección de Gestión del Riesgo"/>
    <n v="80111600"/>
    <s v="Prestar servicios de apoyo a la gestión en las actividades de soporte operacional de la UAECOB._SGR"/>
    <d v="2023-02-16T00:00:00"/>
    <d v="2023-02-16T00:00:00"/>
    <n v="4"/>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42"/>
    <x v="3"/>
    <s v="O23011602300000007658 - Fortalecimiento del Cuerpo Oficial de Bomberos Bogotá"/>
    <s v="Subdirección de Gestión del Riesgo"/>
    <n v="80111600"/>
    <s v="Prestar servicios de apoyo a la gestión en las actividades de soporte operacional de la UAECOB._SGR"/>
    <d v="2023-06-17T00:00:00"/>
    <d v="2023-06-17T00:00:00"/>
    <n v="6"/>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43"/>
    <x v="3"/>
    <s v="O23011602300000007658 - Fortalecimiento del Cuerpo Oficial de Bomberos Bogotá"/>
    <s v="Subdirección de Gestión del Riesgo"/>
    <n v="80111600"/>
    <s v="Prestar servicios profesionales en las actividades de identificacion de escenarios a cargo de la Subdirección de Gestión del Riesgo._SGR"/>
    <d v="2023-02-16T00:00:00"/>
    <d v="2023-02-16T00:00:00"/>
    <n v="7"/>
    <s v="CCE-16 Contratación directa "/>
    <x v="0"/>
    <s v="O232020200883990_Otros servicios profesionales, técnicos y empresariales n.c.p."/>
    <n v="13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44"/>
    <x v="3"/>
    <s v="O23011602300000007658 - Fortalecimiento del Cuerpo Oficial de Bomberos Bogotá"/>
    <s v="Subdirección de Gestión del Riesgo"/>
    <n v="80111600"/>
    <s v="Prestar  servicios profesionales en las actividades de proyeccion e innovacion para la Subdirección de Gestión del Riesgo._SGR"/>
    <d v="2023-02-16T00:00:00"/>
    <d v="2023-02-16T00:00:00"/>
    <n v="4"/>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45"/>
    <x v="3"/>
    <s v="O23011602300000007658 - Fortalecimiento del Cuerpo Oficial de Bomberos Bogotá"/>
    <s v="Subdirección de Gestión del Riesgo"/>
    <n v="80111600"/>
    <s v="Prestación de servicios profesionales en temas de sostenibilidad, desarrollo social ambiental y económico de los diferentes procesos y procedimientos de la UAE Cuerpo Oficial de Bomberos._SGR"/>
    <d v="2023-02-16T00:00:00"/>
    <d v="2023-02-16T00:00:00"/>
    <n v="4"/>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46"/>
    <x v="3"/>
    <s v="O23011602300000007658 - Fortalecimiento del Cuerpo Oficial de Bomberos Bogotá"/>
    <s v="Subdirección de Gestión del Riesgo"/>
    <n v="80111600"/>
    <s v="Prestación de servicios profesionales en temas de sostenibilidad, desarrollo social ambiental y económico de los diferentes procesos y procedimientos de la UAE Cuerpo Oficial de Bomberos._SGR"/>
    <d v="2023-02-16T00:00:00"/>
    <d v="2023-02-16T00:00:00"/>
    <n v="4.5"/>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547"/>
    <x v="0"/>
    <s v="O23011605560000007655 - Fortalecimiento de la Planeación y Gestión de la UAECOB Bogotá"/>
    <s v="Oficina Asesora de Planeación"/>
    <n v="80111600"/>
    <s v="Prestar los servicios profesionales para apoyar las actividades administrativas y contractuales que se desarrollen en la Oficina Asesora de Planeación, en el marco de los procesos y procedimientos que adelanta la dependencia."/>
    <d v="2023-01-01T00:00:00"/>
    <d v="2023-01-15T00:00:00"/>
    <n v="8.5"/>
    <s v="CCE-16 Contratación directa "/>
    <x v="0"/>
    <s v="O232020200883990_Otros servicios profesionales, técnicos y empresariales n.c.p."/>
    <n v="59500000"/>
    <s v="1-Implementar 1 plan de ajuste y sostenibilidad del MIPG en la UAECOB"/>
    <s v="516-Gestionar el 100% de un (1) plan de adecuación y sostenibilidad de los sistemas de gestión de la Unidad Administrativa Especial Cuerpo Oficial de Bomberos"/>
    <s v="SI SECOP"/>
  </r>
  <r>
    <n v="2023548"/>
    <x v="0"/>
    <s v="O23011605560000007655 - Fortalecimiento de la Planeación y Gestión de la UAECOB Bogotá"/>
    <s v="Dirección"/>
    <n v="80111600"/>
    <s v="Prestación de servicios profesionales para apoyar actividades de gestión contractual y administrativas de la Dirección. "/>
    <d v="2023-04-17T00:00:00"/>
    <d v="2023-04-30T00:00:00"/>
    <n v="8"/>
    <s v="CCE-16 Contratación directa "/>
    <x v="0"/>
    <s v="O232020200883990_Otros servicios profesionales, técnicos y empresariales n.c.p."/>
    <n v="21000000"/>
    <s v="1-Implementar 1 plan de ajuste y sostenibilidad del MIPG en la UAECOB"/>
    <s v="516-Gestionar el 100% de un (1) plan de adecuación y sostenibilidad de los sistemas de gestión de la Unidad Administrativa Especial Cuerpo Oficial de Bomberos"/>
    <s v="SI SECOP"/>
  </r>
  <r>
    <n v="2023549"/>
    <x v="0"/>
    <s v="O23011605560000007655 - Fortalecimiento de la Planeación y Gestión de la UAECOB Bogotá"/>
    <s v="Dirección"/>
    <n v="80111600"/>
    <s v="Prestar servicios profesionales en el desarrollo de las actividades y de los diferentes procesos que tiene a su cargo y bajo su seguimiento la Dirección General de la UAE Cuerpo Oficial de Bomberos de Bogotá."/>
    <d v="2023-03-01T00:00:00"/>
    <d v="2023-03-30T00:00:00"/>
    <n v="10"/>
    <s v="CCE-16 Contratación directa "/>
    <x v="0"/>
    <s v="O232020200883990_Otros servicios profesionales, técnicos y empresariales n.c.p."/>
    <n v="72760000"/>
    <s v="1-Implementar 1 plan de ajuste y sostenibilidad del MIPG en la UAECOB"/>
    <s v="516-Gestionar el 100% de un (1) plan de adecuación y sostenibilidad de los sistemas de gestión de la Unidad Administrativa Especial Cuerpo Oficial de Bomberos"/>
    <s v="SI SECOP"/>
  </r>
  <r>
    <n v="2023550"/>
    <x v="3"/>
    <s v="O23011602300000007658 - Fortalecimiento del Cuerpo Oficial de Bomberos Bogotá"/>
    <s v="Subdirección Logística"/>
    <n v="80111600"/>
    <s v="Prestar servicios profesionales a la Subdirección Logística en la implementación del Plan Estratégico de Seguridad Vial -PESV- y del programa de calibración de equipos. - SBLG"/>
    <d v="2023-03-01T00:00:00"/>
    <d v="2023-03-15T00:00:00"/>
    <n v="10"/>
    <s v="CCE-16 Contratación directa "/>
    <x v="0"/>
    <s v="O232020200883990_Otros servicios profesionales, técnicos y empresariales n.c.p."/>
    <n v="5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551"/>
    <x v="3"/>
    <s v="O23011602300000007658 - Fortalecimiento del Cuerpo Oficial de Bomberos Bogotá"/>
    <s v="Subdirección Logística"/>
    <n v="80111600"/>
    <s v="Prestación de servicios profesionales para la creación y desarrollo de las estrategias audiovisuales y la consolidación de información a cargo de la Subdirección Logística SBLG"/>
    <d v="2023-03-20T00:00:00"/>
    <d v="2023-03-20T00:00:00"/>
    <n v="8"/>
    <s v="CCE-16 Contratación directa "/>
    <x v="0"/>
    <s v="O232020200883990_Otros servicios profesionales, técnicos y empresariales n.c.p."/>
    <n v="3296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552"/>
    <x v="3"/>
    <s v="O23011602300000007658 - Fortalecimiento del Cuerpo Oficial de Bomberos Bogotá"/>
    <s v="Subdirección Operativa"/>
    <n v="80111600"/>
    <s v="Prestación de servicios profesionales para apoyar a la Subdirección Operativa en el desarrollo, seguimiento y control del componente tecnológico referente al Centro de Coordinación y Comunicaciones y el relacionamiento de este con el Centro de Comando, Co"/>
    <d v="2023-02-20T00:00:00"/>
    <d v="2023-03-01T00:00:00"/>
    <n v="4"/>
    <s v="CCE-16 Contratación directa "/>
    <x v="0"/>
    <s v="O232020200883990_Otros servicios profesionales, técnicos y empresariales n.c.p."/>
    <n v="18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553"/>
    <x v="3"/>
    <s v="O23011602300000007658 - Fortalecimiento del Cuerpo Oficial de Bomberos Bogotá"/>
    <s v="Subdirección Operativa"/>
    <n v="80111600"/>
    <s v="Prestar por sus propios medios con plena autonomía técnica y administrativa los servicios profesionales para el desarrollo y soporte de aplicativos para el funcionamiento de la Subdirección Operativa"/>
    <d v="2023-02-20T00:00:00"/>
    <d v="2023-03-01T00:00:00"/>
    <n v="10"/>
    <s v="CCE-16 Contratación directa "/>
    <x v="0"/>
    <s v="O232020200883990_Otros servicios profesionales, técnicos y empresariales n.c.p."/>
    <n v="600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554"/>
    <x v="3"/>
    <s v="O23011602300000007658 - Fortalecimiento del Cuerpo Oficial de Bomberos Bogotá"/>
    <s v="Subdirección de Gestión Corporativa"/>
    <n v="80111600"/>
    <s v="Prestación de servicios profesionales especializados para apoyar las actividades técnicas y gestión predial del Área de Infraestructura de la Subdirección de Gestión Corporativa-SGC"/>
    <d v="2023-06-01T00:00:00"/>
    <d v="2023-06-15T00:00:00"/>
    <n v="6"/>
    <s v="CCE-16 Contratación directa "/>
    <x v="0"/>
    <s v="O232020200883990_Otros servicios profesionales, técnicos y empresariales n.c.p."/>
    <n v="219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555"/>
    <x v="1"/>
    <s v="Funcionamiento"/>
    <s v="Subdirección de Gestión Corporativa"/>
    <s v="84131600; _x000a_84131500;_x000a_84131600;"/>
    <s v="Adición y prórroga No.1 al contrato 561 de 2022 que tiene como objeto &quot; Contratar el programa integral de seguros-SGC"/>
    <d v="2023-02-20T00:00:00"/>
    <d v="2023-02-28T00:00:00"/>
    <n v="1"/>
    <s v="CCE-02 Licitación pública"/>
    <x v="0"/>
    <s v="N/A funcionamiento"/>
    <n v="58764176"/>
    <s v="N/A funcionamiento"/>
    <s v="N/A funcionamiento"/>
    <s v="NO SECOP"/>
  </r>
  <r>
    <n v="2023556"/>
    <x v="3"/>
    <s v="O23011602300000007658 - Fortalecimiento del Cuerpo Oficial de Bomberos Bogotá"/>
    <s v="Subdirección de Gestión Corporativa"/>
    <n v="80111600"/>
    <s v=" Prestar servicios profesionales para realizar acompañamiento en la elaboración y revisión de actas de liquidación y demás actuaciones administrativas requeridas en la etapa postcontractual del proceso de contratación adelantados por la Subdirección Gesti"/>
    <d v="2023-02-20T00:00:00"/>
    <d v="2023-03-01T00:00:00"/>
    <n v="9"/>
    <s v="CCE-16 Contratación directa "/>
    <x v="0"/>
    <s v="O232020200883990_Otros servicios profesionales, técnicos y empresariales n.c.p."/>
    <n v="54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557"/>
    <x v="0"/>
    <s v="O23011605560000007655 - Fortalecimiento de la Planeación y Gestión de la UAECOB Bogotá"/>
    <s v="Subdirección de Gestión Corporativa"/>
    <n v="80111600"/>
    <s v="Prestación de servicios de apoyo a la gestión de seguros de la Subdirección de Gestión Corporativa. –SGC."/>
    <d v="2023-02-28T00:00:00"/>
    <d v="2023-03-10T00:00:00"/>
    <n v="8"/>
    <s v="CCE-16 Contratación directa "/>
    <x v="0"/>
    <s v="O232020200883990_Otros servicios profesionales, técnicos y empresariales n.c.p."/>
    <n v="19600000"/>
    <s v="1-Implementar 1 plan de ajuste y sostenibilidad del MIPG en la UAECOB"/>
    <s v="516-Gestionar el 100% de un (1) plan de adecuación y sostenibilidad de los sistemas de gestión de la Unidad Administrativa Especial Cuerpo Oficial de Bomberos"/>
    <s v="SI SECOP"/>
  </r>
  <r>
    <n v="2023558"/>
    <x v="3"/>
    <s v="O23011602300000007658 - Fortalecimiento del Cuerpo Oficial de Bomberos Bogotá"/>
    <s v="Subdirección de Gestión Corporativa"/>
    <n v="80111600"/>
    <s v="Prestar servicios profesionales con el fin de atender los trámites ambientales y los demás que requiera el área de Infraestructura de laSubdirección de Gestión Corporativa. SGC"/>
    <d v="2023-02-20T00:00:00"/>
    <d v="2023-03-01T00:00:00"/>
    <n v="7"/>
    <s v="CCE-16 Contratación directa "/>
    <x v="0"/>
    <s v="O232020200883990_Otros servicios profesionales, técnicos y empresariales n.c.p."/>
    <n v="31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559"/>
    <x v="0"/>
    <s v="O23011605560000007655 - Fortalecimiento de la Planeación y Gestión de la UAECOB Bogotá"/>
    <s v="Oficina de Control Disciplinario Interno"/>
    <n v="80111600"/>
    <s v="Prestar los servicios profesionales jurídicos en la Oficina de Control Disciplinario Interno de la entidad relacionados con los procesos disciplinarios."/>
    <d v="2023-03-01T00:00:00"/>
    <d v="2023-03-10T00:00:00"/>
    <n v="8"/>
    <s v="CCE-16 Contratación directa "/>
    <x v="0"/>
    <s v="O232020200883990_Otros servicios profesionales, técnicos y empresariales n.c.p."/>
    <n v="33000000"/>
    <s v="1-Implementar 1 plan de ajuste y sostenibilidad del MIPG en la UAECOB"/>
    <s v="516-Gestionar el 100% de un (1) plan de adecuación y sostenibilidad de los sistemas de gestión de la Unidad Administrativa Especial Cuerpo Oficial de Bomberos"/>
    <s v="SI SECOP"/>
  </r>
  <r>
    <n v="2023560"/>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2-20T00:00:00"/>
    <d v="2023-03-01T00:00:00"/>
    <n v="9"/>
    <s v="CCE-16 Contratación directa "/>
    <x v="0"/>
    <s v="O232020200883990_Otros servicios profesionales, técnicos y empresariales n.c.p."/>
    <n v="2205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561"/>
    <x v="3"/>
    <s v="O23011602300000007658 - Fortalecimiento del Cuerpo Oficial de Bomberos Bogotá"/>
    <s v="Subdirección de Gestión del Riesgo"/>
    <s v="78121600 _x000a_78131800 _x000a_92111600 _x000a_72141500"/>
    <s v="ADICION Y PRORROGA DEL CTO 443-2022 Contratar los servicios de recolección, manipulación, almacenamiento temporal, transporte y disposición final (destrucción o devolución) de pólvora, fuegos artificiales, globos y demás artículos pirotécnicos incautados "/>
    <d v="2023-01-15T00:00:00"/>
    <d v="2023-03-15T00:00:00"/>
    <n v="2.2999999999999998"/>
    <s v="CCE-06 Selección abreviada menor cuantía"/>
    <x v="0"/>
    <s v="O232020200883990_Otros servicios profesionales, técnicos y empresariales n.c.p."/>
    <n v="229931285"/>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NO SECOP"/>
  </r>
  <r>
    <n v="2023562"/>
    <x v="0"/>
    <s v="O23011605560000007655 - Fortalecimiento de la Planeación y Gestión de la UAECOB Bogotá"/>
    <s v="Subdirección de Gestión Corporativa"/>
    <n v="80111600"/>
    <s v=" Prestar servicios profesionales para realizar acompañamiento en la elaboración y revisión de actas de liquidación y demás actuaciones administrativas requeridas en la etapa postcontractual del proceso de contratación adelantados por la Subdirección Gesti"/>
    <d v="2023-03-01T00:00:00"/>
    <d v="2023-03-15T00:00:00"/>
    <n v="7"/>
    <s v="CCE-16 Contratación directa "/>
    <x v="0"/>
    <s v="O232020200882199_Otros servicios jurídicos n.c.p."/>
    <n v="38500000"/>
    <s v="1-Implementar 1 plan de ajuste y sostenibilidad del MIPG en la UAECOB"/>
    <s v="516-Gestionar el 100% de un (1) plan de adecuación y sostenibilidad de los sistemas de gestión de la Unidad Administrativa Especial Cuerpo Oficial de Bomberos"/>
    <s v="SI SECOP"/>
  </r>
  <r>
    <n v="2023563"/>
    <x v="3"/>
    <s v="O23011602300000007658 - Fortalecimiento del Cuerpo Oficial de Bomberos Bogotá"/>
    <s v="Subdirección de Gestión Humana"/>
    <n v="80111600"/>
    <s v="SGH - Prestar servicios profesionales para apoyar el programa de desórdenes musculoesqueléticos de la UAE Cuerpo Oficial de Bomberos de Bogotá."/>
    <d v="2023-02-17T00:00:00"/>
    <d v="2023-03-01T00:00:00"/>
    <n v="10"/>
    <s v="CCE-16 Contratación directa "/>
    <x v="0"/>
    <s v="O232020200883990_Otros servicios profesionales, técnicos y empresariales n.c.p."/>
    <n v="1155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64"/>
    <x v="3"/>
    <s v="O23011602300000007658 - Fortalecimiento del Cuerpo Oficial de Bomberos Bogotá"/>
    <s v="Subdirección de Gestión Humana"/>
    <n v="80111600"/>
    <s v="SGH - Prestar servicios de apoyo a la gestión en la Subdirección de Gestión Humana en las diferentes actividades logísticas relacionadas con  el proceso de Academia."/>
    <d v="2023-02-17T00:00:00"/>
    <d v="2023-03-01T00:00:00"/>
    <n v="4"/>
    <s v="CCE-16 Contratación directa "/>
    <x v="0"/>
    <s v="O232020200883990_Otros servicios profesionales, técnicos y empresariales n.c.p."/>
    <n v="98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65"/>
    <x v="1"/>
    <s v="Funcionamiento"/>
    <s v="Subdirección de Gestión Humana"/>
    <n v="80111600"/>
    <s v="SGH - Prestar servicios de apoyo a los procesos de la Subdirección de Gestión Humana de la UAE Cuerpo Oficial de Bomberos."/>
    <d v="2023-02-20T00:00:00"/>
    <d v="2023-03-01T00:00:00"/>
    <n v="9"/>
    <s v="CCE-16 Contratación directa "/>
    <x v="0"/>
    <s v="N/A funcionamiento"/>
    <n v="7350000"/>
    <s v="N/A funcionamiento"/>
    <s v="N/A funcionamiento"/>
    <s v="SI SECOP"/>
  </r>
  <r>
    <n v="2023566"/>
    <x v="1"/>
    <s v="Funcionamiento"/>
    <s v="Subdirección de Gestión Humana"/>
    <n v="80111600"/>
    <s v="SGH - Prestar servicios profesionales para apoyar el sistema de seguridad y salud en el trabajo en la Subdirección de Gestión Humana."/>
    <d v="2023-02-20T00:00:00"/>
    <d v="2023-03-01T00:00:00"/>
    <n v="4"/>
    <s v="CCE-16 Contratación directa "/>
    <x v="0"/>
    <s v="N/A funcionamiento"/>
    <n v="11400000"/>
    <s v="N/A funcionamiento"/>
    <s v="N/A funcionamiento"/>
    <s v="SI SECOP"/>
  </r>
  <r>
    <n v="2023567"/>
    <x v="0"/>
    <s v="O23011605560000007655 - Fortalecimiento de la Planeación y Gestión de la UAECOB Bogotá"/>
    <s v="Subdirección de Gestión Humana"/>
    <n v="80111600"/>
    <s v="SGH - Prestar servicios profesionales en la Subdirección de Gestión Humana de la UAE Cuerpo Oficial de Bomberos en temas de liquidación de demandas y conciliaciones"/>
    <d v="2023-03-12T00:00:00"/>
    <d v="2023-03-15T00:00:00"/>
    <n v="3"/>
    <s v="CCE-16 Contratación directa "/>
    <x v="0"/>
    <s v="O232020200883990_Otros servicios profesionales, técnicos y empresariales n.c.p."/>
    <n v="12127333"/>
    <s v="1-Implementar 1 plan de ajuste y sostenibilidad del MIPG en la UAECOB"/>
    <s v="516-Gestionar el 100% de un (1) plan de adecuación y sostenibilidad de los sistemas de gestión de la Unidad Administrativa Especial Cuerpo Oficial de Bomberos"/>
    <s v="SI SECOP"/>
  </r>
  <r>
    <n v="2023568"/>
    <x v="3"/>
    <s v="O23011602300000007658 - Fortalecimiento del Cuerpo Oficial de Bomberos Bogotá"/>
    <s v="Subdirección de Gestión Humana"/>
    <n v="80111600"/>
    <s v="SGH - Prestar servicios de apoyo a la gestión en la Subdirección de Gestión Humana en las diferentes actividades logísticas relacionadas con  el proceso de Academia."/>
    <d v="2023-02-17T00:00:00"/>
    <d v="2023-03-01T00:00:00"/>
    <n v="4"/>
    <s v="CCE-16 Contratación directa "/>
    <x v="0"/>
    <s v="O232020200883990_Otros servicios profesionales, técnicos y empresariales n.c.p."/>
    <n v="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69"/>
    <x v="1"/>
    <s v="Funcionamiento"/>
    <s v="Subdirección de Gestión Humana"/>
    <n v="80111600"/>
    <s v="SGH - Prestar servicios de apoyo a los procesos de la Subdirección de Gestión Humana de la UAE Cuerpo Oficial de Bomberos."/>
    <d v="2023-02-20T00:00:00"/>
    <d v="2023-03-01T00:00:00"/>
    <n v="9"/>
    <s v="CCE-16 Contratación directa "/>
    <x v="0"/>
    <s v="N/A funcionamiento"/>
    <n v="0"/>
    <s v="N/A funcionamiento"/>
    <s v="N/A funcionamiento"/>
    <s v="SI SECOP"/>
  </r>
  <r>
    <n v="2023570"/>
    <x v="0"/>
    <s v="O23011605560000007655 - Fortalecimiento de la Planeación y Gestión de la UAECOB Bogotá"/>
    <s v="Subdirección de Gestión Corporativa"/>
    <n v="80111600"/>
    <s v="Adición y prórroga No.2 al contrato 106 de 2022 que tiene como objeto &quot;Prestar servicios profesionales en la Subdirección de Gestión Corporativa en el marco de las actividades administrativas de la Dependencia. SGC"/>
    <d v="2023-02-22T00:00:00"/>
    <d v="2023-02-28T00:00:00"/>
    <n v="2.5"/>
    <s v="CCE-16 Contratación directa "/>
    <x v="0"/>
    <s v="O232020200883990_Otros servicios profesionales, técnicos y empresariales n.c.p."/>
    <n v="9000000"/>
    <s v="1-Implementar 1 plan de ajuste y sostenibilidad del MIPG en la UAECOB"/>
    <s v="516-Gestionar el 100% de un (1) plan de adecuación y sostenibilidad de los sistemas de gestión de la Unidad Administrativa Especial Cuerpo Oficial de Bomberos"/>
    <s v="NO SECOP"/>
  </r>
  <r>
    <n v="2023571"/>
    <x v="0"/>
    <s v="O23011605560000007655 - Fortalecimiento de la Planeación y Gestión de la UAECOB Bogotá"/>
    <s v="Subdirección de Gestión Corporativa"/>
    <n v="80111600"/>
    <s v="Adición y prórroga No. 2 al contrato 078 de 2022 que tiene como objeto &quot;Prestación de Servicios Profesionales para la formulación, seguimiento y ejecución de procesos presupuestales y financieros a cargo de la Subdirección de Gestión Corporativa-SGC "/>
    <d v="2023-02-22T00:00:00"/>
    <d v="2023-02-28T00:00:00"/>
    <n v="0.5"/>
    <s v="CCE-16 Contratación directa "/>
    <x v="0"/>
    <s v="O232020200883990_Otros servicios profesionales, técnicos y empresariales n.c.p."/>
    <n v="3400000"/>
    <s v="1-Implementar 1 plan de ajuste y sostenibilidad del MIPG en la UAECOB"/>
    <s v="516-Gestionar el 100% de un (1) plan de adecuación y sostenibilidad de los sistemas de gestión de la Unidad Administrativa Especial Cuerpo Oficial de Bomberos"/>
    <s v="NO SECOP"/>
  </r>
  <r>
    <n v="2023572"/>
    <x v="0"/>
    <s v="O23011605560000007655 - Fortalecimiento de la Planeación y Gestión de la UAECOB Bogotá"/>
    <s v="Subdirección de Gestión Humana"/>
    <n v="80111600"/>
    <s v="SGH - Prestar sus servicios profesionales en la gestión contractual y presupuestal de la Subdirección de Gestión Humana de la UAE Cuerpo Oficial de Bomberos."/>
    <d v="2023-04-02T00:00:00"/>
    <d v="2023-04-07T00:00:00"/>
    <n v="4"/>
    <s v="CCE-16 Contratación directa "/>
    <x v="0"/>
    <s v="O232020200883990_Otros servicios profesionales, técnicos y empresariales n.c.p."/>
    <n v="19561500"/>
    <s v="1-Implementar 1 plan de ajuste y sostenibilidad del MIPG en la UAECOB"/>
    <s v="516-Gestionar el 100% de un (1) plan de adecuación y sostenibilidad de los sistemas de gestión de la Unidad Administrativa Especial Cuerpo Oficial de Bomberos"/>
    <s v="SI SECOP"/>
  </r>
  <r>
    <n v="2023573"/>
    <x v="0"/>
    <s v="O23011605560000007655 - Fortalecimiento de la Planeación y Gestión de la UAECOB Bogotá"/>
    <s v="Subdirección de Gestión Humana"/>
    <n v="80111600"/>
    <s v="SGH - Prestar sus servicios profesionales en comunicación interna y externa referente a temas de la Escuela de formación Bomberil y del sistema de gestión de seguridad y salud en el trabajo."/>
    <d v="2023-02-28T00:00:00"/>
    <d v="2023-03-01T00:00:00"/>
    <n v="4"/>
    <s v="CCE-16 Contratación directa "/>
    <x v="0"/>
    <s v="O232020200883990_Otros servicios profesionales, técnicos y empresariales n.c.p."/>
    <n v="16000000"/>
    <s v="1-Implementar 1 plan de ajuste y sostenibilidad del MIPG en la UAECOB"/>
    <s v="516-Gestionar el 100% de un (1) plan de adecuación y sostenibilidad de los sistemas de gestión de la Unidad Administrativa Especial Cuerpo Oficial de Bomberos"/>
    <s v="SI SECOP"/>
  </r>
  <r>
    <n v="2023576"/>
    <x v="3"/>
    <s v="O23011602300000007658 - Fortalecimiento del Cuerpo Oficial de Bomberos Bogotá"/>
    <s v="Subdirección Operativa"/>
    <s v="25101700;_x000a_25101900;_x000a_92101601;_x000a_92101603;_x000a_92101604;_x000a_26101515 "/>
    <s v="Adquirir un motor fuera de borda para el equipo especializado UARBO de la UAE Cuerpo Oficial de Bomberos Bogotá - SO"/>
    <d v="2023-08-15T00:00:00"/>
    <d v="2023-09-01T00:00:00"/>
    <n v="6"/>
    <s v="CCE-10 Mínima cuantía"/>
    <x v="0"/>
    <s v="O23201010030208 Otra maquinaria para usos especiales y sus partes y piezas"/>
    <n v="207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577"/>
    <x v="3"/>
    <s v="O23011602300000007658 - Fortalecimiento del Cuerpo Oficial de Bomberos Bogotá"/>
    <s v="Subdirección Operativa"/>
    <n v="80111600"/>
    <s v="Prestación de servicios de apoyo a la gestión para ejecutar las actividades que dan  soporte al proceso de comunicaciones en emergencias, del Centro de Coordinación y Comunicaciones (C.C.C.) a cargo de la Subdirección Operativa. SO"/>
    <d v="2023-03-15T00:00:00"/>
    <d v="2023-04-01T00:00:00"/>
    <n v="9.5"/>
    <s v="CCE-16 Contratación directa "/>
    <x v="0"/>
    <s v="O232020200883990_Otros servicios profesionales, técnicos y empresariales n.c.p."/>
    <n v="23275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578"/>
    <x v="1"/>
    <s v="Funcionamiento"/>
    <s v="Oficina Asesora de Planeación"/>
    <n v="43233205"/>
    <s v="Contratar la adquisición de firma digital (token) para la U.A.E. Cuerpo Oficial de Bomberos de Bogotá - TIC"/>
    <d v="2023-08-04T00:00:00"/>
    <d v="2023-08-11T00:00:00"/>
    <n v="2"/>
    <s v="CCE-10 Mínima cuantía"/>
    <x v="0"/>
    <s v="O21202020080282130 Servicios de documentación y certificación jurídica"/>
    <n v="1000000"/>
    <s v="N/A funcionamiento"/>
    <s v="N/A funcionamiento"/>
    <s v="SI SECOP"/>
  </r>
  <r>
    <n v="2023579"/>
    <x v="1"/>
    <s v="Funcionamiento"/>
    <s v="Oficina Asesora de Planeación"/>
    <s v="81112100;"/>
    <s v="Adición y prórroga  al contrato No. 454 de 2022 cuyo objeto es &quot;Contratar los servicios de canales dedicados para la infraestructura LAN de internet para la UAE Cuerpo Oficial de Bomberos de Bogotá&quot;"/>
    <d v="2023-03-14T00:00:00"/>
    <d v="2023-03-24T00:00:00"/>
    <n v="1"/>
    <s v="CCE-16 Contratación directa "/>
    <x v="0"/>
    <s v="O21202020080484290 Otros servicios de telecomunicaciones vía Internet"/>
    <n v="20000000"/>
    <s v="N/A funcionamiento"/>
    <s v="N/A funcionamiento"/>
    <s v="NO SECOP"/>
  </r>
  <r>
    <n v="2023580"/>
    <x v="3"/>
    <s v="O23011602300000007658 - Fortalecimiento del Cuerpo Oficial de Bomberos Bogotá"/>
    <s v="Subdirección Logística"/>
    <s v="N/A"/>
    <s v="Mantenimiento Equipo Menor (Pago de Pasivos)"/>
    <d v="2023-03-15T00:00:00"/>
    <d v="2023-03-15T00:00:00"/>
    <n v="1"/>
    <s v="N/A"/>
    <x v="3"/>
    <s v="O23202020088715999_Servicio de mantenimiento y reparación de otros equipos n.c.p."/>
    <n v="1836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581"/>
    <x v="3"/>
    <s v="O23011602300000007658 - Fortalecimiento del Cuerpo Oficial de Bomberos Bogotá"/>
    <s v="Subdirección de Gestión del Riesgo"/>
    <s v="80141900_x000a_90111500_x000a_90111600_x000a_80141900"/>
    <s v="Adicion y Prorroga Cto 435-2022 Contratar un servicio de acceso a la herramienta LMS E-learning, que permita el desarrollo de las capacitaciones virtuales programadas en la UAECOB._SGR"/>
    <d v="2023-04-06T00:00:00"/>
    <d v="2023-06-01T00:00:00"/>
    <n v="6"/>
    <s v="CCE-06 Selección abreviada menor cuantía"/>
    <x v="0"/>
    <s v="O232020200883990_Otros servicios profesionales, técnicos y empresariales n.c.p."/>
    <n v="27709654"/>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NO SECOP"/>
  </r>
  <r>
    <n v="2023582"/>
    <x v="0"/>
    <s v="O23011605560000007655 - Fortalecimiento de la Planeación y Gestión de la UAECOB Bogotá"/>
    <s v="Subdirección de Gestión Corporativa"/>
    <n v="80111600"/>
    <s v="Prestación de servicios de apoyo a la gestión de seguros de la Subdirección de Gestión Corporativa. –SGC."/>
    <d v="2023-06-01T00:00:00"/>
    <d v="2023-06-10T00:00:00"/>
    <n v="6"/>
    <s v="CCE-16 Contratación directa "/>
    <x v="0"/>
    <s v="O232020200883990_Otros servicios profesionales, técnicos y empresariales n.c.p."/>
    <n v="14700000"/>
    <s v="1-Implementar 1 plan de ajuste y sostenibilidad del MIPG en la UAECOB"/>
    <s v="516-Gestionar el 100% de un (1) plan de adecuación y sostenibilidad de los sistemas de gestión de la Unidad Administrativa Especial Cuerpo Oficial de Bomberos"/>
    <s v="SI SECOP"/>
  </r>
  <r>
    <n v="2023583"/>
    <x v="2"/>
    <s v="O23011605560000007637 - Fortalecimiento de la infraestructura de tecnología informática y de comunicaciones de la UAECOB"/>
    <s v="Oficina Asesora de Planeación"/>
    <n v="81161712"/>
    <s v="Contratar la adquisición de tarjetas de comunicación satelital de voz y datos para la UAE Cuerpo Oficial de Bomberos Bogotá. "/>
    <d v="2023-08-11T00:00:00"/>
    <d v="2023-08-25T00:00:00"/>
    <n v="12"/>
    <s v="CCE-10 Mínima cuantía"/>
    <x v="0"/>
    <s v="O232020200883159_Otros servicios de alojamiento y suministro de infraestructura en tecnología de la información (TI)"/>
    <n v="30000000"/>
    <s v="2-Implementar 100 % de la arquitectura TI conforme a las necesidades de la UAECOB"/>
    <s v="517-Implementar al 100% una estrategia de fortalecimiento de los sistemas de información para optimizar la gestión del Cuerpo Oficial de Bomberos"/>
    <s v="SI SECOP"/>
  </r>
  <r>
    <n v="2023584"/>
    <x v="0"/>
    <s v="O23011605560000007655 - Fortalecimiento de la Planeación y Gestión de la UAECOB Bogotá"/>
    <s v="Subdirección de Gestión Corporativa"/>
    <n v="80111600"/>
    <s v="Prestar los servicios profesionales para implementar tableros de control que permitan el  seguimiento al y control con un enfoque estratégico en la Subdirección de Gestión Corporativa. –SGC."/>
    <d v="2023-03-01T00:00:00"/>
    <d v="2023-03-15T00:00:00"/>
    <n v="5"/>
    <s v="CCE-16 Contratación directa "/>
    <x v="0"/>
    <s v="O232020200883990_Otros servicios profesionales, técnicos y empresariales n.c.p."/>
    <n v="36641707"/>
    <s v="1-Implementar 1 plan de ajuste y sostenibilidad del MIPG en la UAECOB"/>
    <s v="516-Gestionar el 100% de un (1) plan de adecuación y sostenibilidad de los sistemas de gestión de la Unidad Administrativa Especial Cuerpo Oficial de Bomberos"/>
    <s v="SI SECOP"/>
  </r>
  <r>
    <n v="2023585"/>
    <x v="0"/>
    <s v="O23011605560000007655 - Fortalecimiento de la Planeación y Gestión de la UAECOB Bogotá"/>
    <s v="Subdirección de Gestión Humana"/>
    <n v="80111600"/>
    <s v="SGH - Prestar servicios profesionales para apoyar el programa de vigilancia epidemiológico al riesgo psicosocial y actividades de seguridad y salud en el trabajo en la Subdirección de Gestión Humana."/>
    <d v="2023-03-01T00:00:00"/>
    <d v="2023-04-01T00:00:00"/>
    <n v="9"/>
    <s v="CCE-16 Contratación directa "/>
    <x v="0"/>
    <s v="O232020200883990_Otros servicios profesionales, técnicos y empresariales n.c.p."/>
    <n v="46575000"/>
    <s v="1-Implementar 1 plan de ajuste y sostenibilidad del MIPG en la UAECOB"/>
    <s v="516-Gestionar el 100% de un (1) plan de adecuación y sostenibilidad de los sistemas de gestión de la Unidad Administrativa Especial Cuerpo Oficial de Bomberos"/>
    <s v="SI SECOP"/>
  </r>
  <r>
    <n v="2023586"/>
    <x v="3"/>
    <s v="O23011602300000007658 - Fortalecimiento del Cuerpo Oficial de Bomberos Bogotá"/>
    <s v="Subdirección Operativa"/>
    <n v="80111600"/>
    <s v="Prestación de servicios de apoyo a la gestión para ejecutar las actividades que dan  soporte al proceso de comunicaciones en emergencias, del Centro de Coordinación y Comunicaciones (C.C.C.) a cargo de la Subdirección Operativa. SO"/>
    <d v="2023-04-01T00:00:00"/>
    <d v="2023-04-15T00:00:00"/>
    <n v="9"/>
    <s v="CCE-16 Contratación directa "/>
    <x v="0"/>
    <s v="O232020200883990_Otros servicios profesionales, técnicos y empresariales n.c.p."/>
    <n v="1715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587"/>
    <x v="1"/>
    <s v="Funcionamiento"/>
    <s v="Subdirección de Gestión Corporativa"/>
    <s v="91111602;_x000a_47101568;_x000a_49241712;_x000a_"/>
    <s v="Adición y prórroga No 1 del Contrato 481 del 2022 &quot;Prestar los servicios de mantenimiento de la piscina construida en la Estación de Bomberos de Kennedy &quot;Alejandro Lince&quot; B5, como escenario para el acondicionamiento físico y entrenamiento del personal del"/>
    <d v="2023-03-15T00:00:00"/>
    <d v="2023-03-22T00:00:00"/>
    <n v="4"/>
    <s v="CCE-06 Selección abreviada menor cuantía"/>
    <x v="0"/>
    <s v="N/A funcionamiento"/>
    <n v="13362480"/>
    <s v="N/A funcionamiento"/>
    <s v="N/A funcionamiento"/>
    <s v="NO SECOP"/>
  </r>
  <r>
    <n v="2023589"/>
    <x v="3"/>
    <s v="O23011602300000007658 - Fortalecimiento del Cuerpo Oficial de Bomberos Bogotá"/>
    <s v="Subdirección de Gestión Corporativa"/>
    <s v="80101600;_x000a_81101500;"/>
    <s v=" Adición y prórroga No. 2 al contrato 690 de 2021 que tiene como objeto &quot;Interventoría técnica, administrativa, financiera, contable, jurídica yambiental para la Construcción de la ampliación y reforzamiento estructural de la estación de bomberos de Maric"/>
    <d v="2023-03-20T00:00:00"/>
    <d v="2023-04-20T00:00:00"/>
    <n v="1"/>
    <s v="CCE-16 Contratación directa "/>
    <x v="0"/>
    <s v="O2320202005040554590_Otros servicios especializados de la construcción "/>
    <n v="38376059"/>
    <s v="4-Adecuar seis (6) estaciones de Bomberos"/>
    <s v="226-Reforzar, Adecuar y Ampliar  6 estaciones de Bomberos"/>
    <s v="NO SECOP"/>
  </r>
  <r>
    <n v="2023591"/>
    <x v="0"/>
    <s v="O23011605560000007655 - Fortalecimiento de la Planeación y Gestión de la UAECOB Bogotá"/>
    <s v="Subdirección de Gestión Corporativa"/>
    <n v="80111600"/>
    <s v="Prestación de servicios de apoyo a la gestión documental de la Subdirección de Gestión Corporativa de la Unidad-SGC"/>
    <d v="2023-04-01T00:00:00"/>
    <d v="2023-04-15T00:00:00"/>
    <n v="7"/>
    <s v="CCE-16 Contratación directa "/>
    <x v="0"/>
    <s v="O232020200883990_Otros servicios profesionales, técnicos y empresariales n.c.p."/>
    <n v="7483733"/>
    <s v="1-Implementar 1 plan de ajuste y sostenibilidad del MIPG en la UAECOB"/>
    <s v="516-Gestionar el 100% de un (1) plan de adecuación y sostenibilidad de los sistemas de gestión de la Unidad Administrativa Especial Cuerpo Oficial de Bomberos"/>
    <s v="SI SECOP"/>
  </r>
  <r>
    <n v="2023592"/>
    <x v="0"/>
    <s v="O23011605560000007655 - Fortalecimiento de la Planeación y Gestión de la UAECOB Bogotá"/>
    <s v="Subdirección de Gestión Corporativa"/>
    <n v="80111600"/>
    <s v="Prestar servicios profesionales en la Subdirección de Gestión Corporativa en lo relacionado con los procesos de inventarios.-SGC"/>
    <d v="2023-04-01T00:00:00"/>
    <d v="2023-04-15T00:00:00"/>
    <n v="7"/>
    <s v="CCE-16 Contratación directa "/>
    <x v="0"/>
    <s v="O232020200883990_Otros servicios profesionales, técnicos y empresariales n.c.p."/>
    <n v="40800000"/>
    <s v="1-Implementar 1 plan de ajuste y sostenibilidad del MIPG en la UAECOB"/>
    <s v="516-Gestionar el 100% de un (1) plan de adecuación y sostenibilidad de los sistemas de gestión de la Unidad Administrativa Especial Cuerpo Oficial de Bomberos"/>
    <s v="SI SECOP"/>
  </r>
  <r>
    <n v="2023593"/>
    <x v="0"/>
    <s v="O23011605560000007655 - Fortalecimiento de la Planeación y Gestión de la UAECOB Bogotá"/>
    <s v="Subdirección de Gestión Corporativa"/>
    <n v="80111600"/>
    <s v="Prestación de servicios de apoyo a la gestión documental de la Subdirección de Gestión Corporativa de la Unidad-SGC"/>
    <d v="2023-04-01T00:00:00"/>
    <d v="2023-04-15T00:00:00"/>
    <n v="7"/>
    <s v="CCE-16 Contratación directa "/>
    <x v="0"/>
    <s v="O232020200883990_Otros servicios profesionales, técnicos y empresariales n.c.p."/>
    <n v="14700000"/>
    <s v="1-Implementar 1 plan de ajuste y sostenibilidad del MIPG en la UAECOB"/>
    <s v="516-Gestionar el 100% de un (1) plan de adecuación y sostenibilidad de los sistemas de gestión de la Unidad Administrativa Especial Cuerpo Oficial de Bomberos"/>
    <s v="SI SECOP"/>
  </r>
  <r>
    <n v="2023594"/>
    <x v="3"/>
    <s v="O23011602300000007658 - Fortalecimiento del Cuerpo Oficial de Bomberos Bogotá"/>
    <s v="Subdirección de Gestión Humana"/>
    <n v="80111600"/>
    <s v="SGH - Prestar sus servicios profesionales para dar cumplimiento al PEGTH en actividades especificas de desarrollo organizacional."/>
    <d v="2023-03-21T00:00:00"/>
    <d v="2023-03-25T00:00:00"/>
    <n v="9"/>
    <s v="CCE-16 Contratación directa "/>
    <x v="0"/>
    <s v="O232020200883990_Otros servicios profesionales, técnicos y empresariales n.c.p."/>
    <n v="21533333"/>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95"/>
    <x v="3"/>
    <s v="O23011602300000007658 - Fortalecimiento del Cuerpo Oficial de Bomberos Bogotá"/>
    <s v="Subdirección de Gestión Humana"/>
    <n v="80111600"/>
    <s v="SGH - Prestar de servicios profesionales para desarrollar actividades jurídicas en atención a los distintos requerimientos de la Subdirección de Gestión Humana"/>
    <d v="2023-03-20T00:00:00"/>
    <d v="2023-03-23T00:00:00"/>
    <n v="3"/>
    <s v="CCE-16 Contratación directa "/>
    <x v="0"/>
    <s v="O232020200883990_Otros servicios profesionales, técnicos y empresariales n.c.p."/>
    <n v="120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96"/>
    <x v="3"/>
    <s v="O23011602300000007658 - Fortalecimiento del Cuerpo Oficial de Bomberos Bogotá"/>
    <s v="Subdirección de Gestión Humana"/>
    <n v="80111600"/>
    <s v="SGH - Prestar servicios profesionales en la Subdirección de Gestión Humana de la UAE Cuerpo Oficial de Bomberos en temas de liquidación de demandas y conciliaciones"/>
    <d v="2023-03-20T00:00:00"/>
    <d v="2023-03-23T00:00:00"/>
    <n v="3"/>
    <s v="CCE-16 Contratación directa "/>
    <x v="0"/>
    <s v="O232020200883990_Otros servicios profesionales, técnicos y empresariales n.c.p."/>
    <n v="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597"/>
    <x v="3"/>
    <s v="O23011602300000007658 - Fortalecimiento del Cuerpo Oficial de Bomberos Bogotá"/>
    <s v="Subdirección de Gestión Humana"/>
    <n v="80111600"/>
    <s v="Adición y prórroga al contrato No. 088 de 2023, cuyo objeto es &quot;SGH - Prestar sus servicios profesionales en la gestión contractual y presupuestal de la Subdirección de Gestión Humana de la UAE Cuerpo Oficial de Bomberos&quot;."/>
    <d v="2023-04-02T00:00:00"/>
    <d v="2023-04-05T00:00:00"/>
    <n v="1"/>
    <s v="CCE-16 Contratación directa "/>
    <x v="0"/>
    <s v="O232020200883990_Otros servicios profesionales, técnicos y empresariales n.c.p."/>
    <n v="31878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NO SECOP"/>
  </r>
  <r>
    <n v="2023598"/>
    <x v="0"/>
    <s v="O23011605560000007655 - Fortalecimiento de la Planeación y Gestión de la UAECOB Bogotá"/>
    <s v="Subdirección Operativa"/>
    <n v="80111600"/>
    <s v="Prestación de servicios profesionales para apoyar a la Subdirección Operativa, en la consolidación y reporte de la información técnica para la estructuración del documento estrategia de preparativos de la UAE Cuerpo Oficial de Bomberos de Bogotá SO_x000a_"/>
    <d v="2023-04-01T00:00:00"/>
    <d v="2023-04-15T00:00:00"/>
    <n v="5"/>
    <s v="CCE-16 Contratación directa "/>
    <x v="0"/>
    <s v="O232020200883990_Otros servicios profesionales, técnicos y empresariales n.c.p."/>
    <n v="29775000"/>
    <s v="2-Elaborar 1 plan de preparativos y continuidad del servicio para la UAECOB ante la eventual ocurrencia de un desastre en el Distrito Capital"/>
    <s v="516-Gestionar el 100% de un (1) plan de adecuación y sostenibilidad de los sistemas de gestión de la Unidad Administrativa Especial Cuerpo Oficial de Bomberos"/>
    <s v="SI SECOP"/>
  </r>
  <r>
    <n v="2023599"/>
    <x v="0"/>
    <s v="O23011605560000007655 - Fortalecimiento de la Planeación y Gestión de la UAECOB Bogotá"/>
    <s v="Subdirección Operativa"/>
    <n v="80111600"/>
    <s v="Prestación de servicios profesionales para apoyar a la Subdirección Operativa, en la consolidación y reporte de la información técnica para la estructuración del documento estrategia de preparativos de la UAE Cuerpo Oficial de Bomberos de Bogotá SO"/>
    <d v="2023-04-01T00:00:00"/>
    <d v="2023-04-15T00:00:00"/>
    <n v="5"/>
    <s v="CCE-16 Contratación directa "/>
    <x v="0"/>
    <s v="O232020200883990_Otros servicios profesionales, técnicos y empresariales n.c.p."/>
    <n v="29775000"/>
    <s v="2-Elaborar 1 plan de preparativos y continuidad del servicio para la UAECOB ante la eventual ocurrencia de un desastre en el Distrito Capital"/>
    <s v="516-Gestionar el 100% de un (1) plan de adecuación y sostenibilidad de los sistemas de gestión de la Unidad Administrativa Especial Cuerpo Oficial de Bomberos"/>
    <s v="SI SECOP"/>
  </r>
  <r>
    <n v="2023600"/>
    <x v="0"/>
    <s v="O23011605560000007655 - Fortalecimiento de la Planeación y Gestión de la UAECOB Bogotá"/>
    <s v="Subdirección Operativa"/>
    <n v="80111600"/>
    <s v="Prestación de servicios profesionales para apoyar a la Subdirección Operativa, en la consolidación y reporte de la información técnica para la estructuración del documento estrategia de preparativos de la UAE Cuerpo Oficial de Bomberos de Bogotá SO"/>
    <d v="2023-04-01T00:00:00"/>
    <d v="2023-04-15T00:00:00"/>
    <n v="5"/>
    <s v="CCE-16 Contratación directa "/>
    <x v="0"/>
    <s v="O232020200883990_Otros servicios profesionales, técnicos y empresariales n.c.p."/>
    <n v="29775000"/>
    <s v="2-Elaborar 1 plan de preparativos y continuidad del servicio para la UAECOB ante la eventual ocurrencia de un desastre en el Distrito Capital"/>
    <s v="516-Gestionar el 100% de un (1) plan de adecuación y sostenibilidad de los sistemas de gestión de la Unidad Administrativa Especial Cuerpo Oficial de Bomberos"/>
    <s v="SI SECOP"/>
  </r>
  <r>
    <n v="2023601"/>
    <x v="0"/>
    <s v="O23011605560000007655 - Fortalecimiento de la Planeación y Gestión de la UAECOB Bogotá"/>
    <s v="Subdirección Operativa"/>
    <n v="80111600"/>
    <s v="Prestación de servicios profesionales para apoyar a la Subdirección Operativa, en la consolidación y reporte de la información técnica para la estructuración del documento estrategia de preparativos de la UAE Cuerpo Oficial de Bomberos de Bogotá SO"/>
    <d v="2023-04-01T00:00:00"/>
    <d v="2023-04-15T00:00:00"/>
    <n v="5"/>
    <s v="CCE-16 Contratación directa "/>
    <x v="0"/>
    <s v="O232020200883990_Otros servicios profesionales, técnicos y empresariales n.c.p."/>
    <n v="29775000"/>
    <s v="2-Elaborar 1 plan de preparativos y continuidad del servicio para la UAECOB ante la eventual ocurrencia de un desastre en el Distrito Capital"/>
    <s v="516-Gestionar el 100% de un (1) plan de adecuación y sostenibilidad de los sistemas de gestión de la Unidad Administrativa Especial Cuerpo Oficial de Bomberos"/>
    <s v="SI SECOP"/>
  </r>
  <r>
    <n v="2023602"/>
    <x v="3"/>
    <s v="O23011602300000007658 - Fortalecimiento del Cuerpo Oficial de Bomberos Bogotá"/>
    <s v="Subdirección Operativa"/>
    <n v="80111600"/>
    <s v="Prestar por sus propios medios, con autonomía técnica y administrativa sus servicios profesionales para brindar acompañamiento jurídico a la Subdirección Operativa, en la proyección de solicitudes dirigidas a autoridades administrativas y en la sustanciac"/>
    <d v="2023-04-01T00:00:00"/>
    <d v="2023-04-15T00:00:00"/>
    <n v="6"/>
    <s v="CCE-16 Contratación directa "/>
    <x v="0"/>
    <s v="O232020200883990_Otros servicios profesionales, técnicos y empresariales n.c.p."/>
    <n v="396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603"/>
    <x v="3"/>
    <s v="O23011602300000007658 - Fortalecimiento del Cuerpo Oficial de Bomberos Bogotá"/>
    <s v="Subdirección Operativa"/>
    <n v="80111600"/>
    <s v="Prestación de servicios profesionales para acompañar a la Subdirección Operativa en la estructuración, definición y verificación de aspectos técnicos en  los diferentes procesos de contratación de bienes y servicios en las etapas precontractual, contractu"/>
    <d v="2023-04-01T00:00:00"/>
    <d v="2023-04-15T00:00:00"/>
    <n v="8.5"/>
    <s v="CCE-16 Contratación directa "/>
    <x v="0"/>
    <s v="O232020200883990_Otros servicios profesionales, técnicos y empresariales n.c.p."/>
    <n v="32725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604"/>
    <x v="0"/>
    <s v="O23011605560000007655 - Fortalecimiento de la Planeación y Gestión de la UAECOB Bogotá"/>
    <s v="Oficina de Control Disciplinario Interno"/>
    <n v="80111600"/>
    <s v="Prestar servicios profesionales jurídicos relacionados con el conocimiento de procesos disciplinarios en etapa de instrucción, asignados a la Oficina de Control Disciplinario Interno."/>
    <d v="2023-04-10T00:00:00"/>
    <d v="2023-04-03T00:00:00"/>
    <n v="6"/>
    <s v="CCE-16 Contratación directa "/>
    <x v="0"/>
    <s v="O232020200883990_Otros servicios profesionales, técnicos y empresariales n.c.p."/>
    <n v="33000000"/>
    <s v="1-Implementar 1 plan de ajuste y sostenibilidad del MIPG en la UAECOB"/>
    <s v="516-Gestionar el 100% de un (1) plan de adecuación y sostenibilidad de los sistemas de gestión de la Unidad Administrativa Especial Cuerpo Oficial de Bomberos"/>
    <s v="SI SECOP"/>
  </r>
  <r>
    <n v="2023605"/>
    <x v="3"/>
    <s v="O23011602300000007658 - Fortalecimiento del Cuerpo Oficial de Bomberos Bogotá"/>
    <s v="Subdirección Logística"/>
    <n v="25172500"/>
    <s v="Adición y prorroga al contrato 431 de 2022 cuyo objeto es &quot;El Suministro e instalación de llantas y otros servicios, para los vehículos del parque automotor de la UAECOB&quot; "/>
    <d v="2023-04-01T00:00:00"/>
    <d v="2023-04-05T00:00:00"/>
    <n v="10"/>
    <s v="CCE-07 Selección abreviada subasta inversa"/>
    <x v="0"/>
    <s v="O23201010030208 Otra maquinaria para usos especiales y sus partes y piezas"/>
    <n v="3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606"/>
    <x v="0"/>
    <s v="O23011605560000007655 - Fortalecimiento de la Planeación y Gestión de la UAECOB Bogotá"/>
    <s v="Subdirección de Gestión Humana"/>
    <n v="80111600"/>
    <s v="SGH - Prestar servicios profesionales para la implementación y seguimiento del sistema de gestión de seguridad y salud en el trabajo en la Subdirección de Gestión Humana"/>
    <d v="2023-04-03T00:00:00"/>
    <d v="2023-04-10T00:00:00"/>
    <n v="7"/>
    <s v="CCE-16 Contratación directa "/>
    <x v="0"/>
    <s v="O232020200883990_Otros servicios profesionales, técnicos y empresariales n.c.p."/>
    <n v="22800000"/>
    <s v="1-Implementar 1 plan de ajuste y sostenibilidad del MIPG en la UAECOB"/>
    <s v="516-Gestionar el 100% de un (1) plan de adecuación y sostenibilidad de los sistemas de gestión de la Unidad Administrativa Especial Cuerpo Oficial de Bomberos"/>
    <s v="SI SECOP"/>
  </r>
  <r>
    <n v="2023607"/>
    <x v="0"/>
    <s v="O23011605560000007655 - Fortalecimiento de la Planeación y Gestión de la UAECOB Bogotá"/>
    <s v="Oficina Asesora de Planeación"/>
    <n v="80111600"/>
    <s v="Prestar servicios profesionales para apoyar a la Oficina Asesora de Planeación en la actividades relacionadas con la gestión estrategica de la UAE Cuerpo Oficial de Bomberos de Bogotá"/>
    <d v="2023-04-01T00:00:00"/>
    <d v="2023-04-15T00:00:00"/>
    <n v="4"/>
    <s v="CCE-16 Contratación directa "/>
    <x v="0"/>
    <s v="O232020200883990_Otros servicios profesionales, técnicos y empresariales n.c.p."/>
    <n v="20000000"/>
    <s v="1-Implementar 1 plan de ajuste y sostenibilidad del MIPG en la UAECOB"/>
    <s v="516-Gestionar el 100% de un (1) plan de adecuación y sostenibilidad de los sistemas de gestión de la Unidad Administrativa Especial Cuerpo Oficial de Bomberos"/>
    <s v="SI SECOP"/>
  </r>
  <r>
    <n v="2023608"/>
    <x v="0"/>
    <s v="O23011605560000007655 - Fortalecimiento de la Planeación y Gestión de la UAECOB Bogotá"/>
    <s v="Subdirección de Gestión Humana"/>
    <n v="80111600"/>
    <s v="Adición y prórroga al contrato No. 076 de 2023, cuyo objeto es &quot;SGH - Prestar servicios profesionales para la implementación y seguimiento del sistema de gestión de seguridad y salud en el trabajo en la Subdirección de Gestión Humana&quot;."/>
    <d v="2023-04-16T00:00:00"/>
    <d v="2023-04-18T00:00:00"/>
    <n v="1"/>
    <s v="CCE-16 Contratación directa "/>
    <x v="0"/>
    <s v="O232020200883990_Otros servicios profesionales, técnicos y empresariales n.c.p."/>
    <n v="5693000"/>
    <s v="1-Implementar 1 plan de ajuste y sostenibilidad del MIPG en la UAECOB"/>
    <s v="516-Gestionar el 100% de un (1) plan de adecuación y sostenibilidad de los sistemas de gestión de la Unidad Administrativa Especial Cuerpo Oficial de Bomberos"/>
    <s v="NO SECOP"/>
  </r>
  <r>
    <n v="2023609"/>
    <x v="3"/>
    <s v="O23011602300000007658 - Fortalecimiento del Cuerpo Oficial de Bomberos Bogotá"/>
    <s v="Subdirección de Gestión Humana"/>
    <n v="80111600"/>
    <s v="Adición y prórroga al contrato No. 073 de 2023, cuyo objeto es &quot;SGH -Prestar sus servicios profesionales en la Subdirección de Gestión Humana, en la administración de sistema de seguridad y salud en el trabajo&quot;."/>
    <d v="2023-04-16T00:00:00"/>
    <d v="2023-04-18T00:00:00"/>
    <n v="1"/>
    <s v="CCE-16 Contratación directa "/>
    <x v="0"/>
    <s v="O232020200883990_Otros servicios profesionales, técnicos y empresariales n.c.p."/>
    <n v="5693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NO SECOP"/>
  </r>
  <r>
    <n v="2023610"/>
    <x v="0"/>
    <s v="O23011605560000007655 - Fortalecimiento de la Planeación y Gestión de la UAECOB Bogotá"/>
    <s v="Dirección"/>
    <n v="80111600"/>
    <s v="Prestar servicios profesionales jurídicos en el desarrollo de las actividades y de los diferentes procesos de la Dirección General de la UAE Cuerpo Oficial de Bomberos de Bogotá"/>
    <d v="2023-04-15T00:00:00"/>
    <d v="2023-04-30T00:00:00"/>
    <n v="5"/>
    <s v="CCE-16 Contratación directa "/>
    <x v="0"/>
    <s v="O232020200883990_Otros servicios profesionales, técnicos y empresariales n.c.p."/>
    <n v="30000000"/>
    <s v="1-Implementar 1 plan de ajuste y sostenibilidad del MIPG en la UAECOB"/>
    <s v="516-Gestionar el 100% de un (1) plan de adecuación y sostenibilidad de los sistemas de gestión de la Unidad Administrativa Especial Cuerpo Oficial de Bomberos"/>
    <s v="SI SECOP"/>
  </r>
  <r>
    <n v="2023611"/>
    <x v="0"/>
    <s v="O23011605560000007655 - Fortalecimiento de la Planeación y Gestión de la UAECOB Bogotá"/>
    <s v="Dirección"/>
    <n v="80111600"/>
    <s v="Prestar servicios profesionales para apoyar en el seguimiento y gestión de las diferentes políticas propias de la misionalidad y funcionamiento de la UAECOB, en cumplimiento de la Gestión Estratégica y la mejora continua de la entidad"/>
    <d v="2023-04-15T00:00:00"/>
    <d v="2023-04-30T00:00:00"/>
    <n v="5"/>
    <s v="CCE-16 Contratación directa "/>
    <x v="0"/>
    <s v="O232020200883990_Otros servicios profesionales, técnicos y empresariales n.c.p."/>
    <n v="36500000"/>
    <s v="1-Implementar 1 plan de ajuste y sostenibilidad del MIPG en la UAECOB"/>
    <s v="516-Gestionar el 100% de un (1) plan de adecuación y sostenibilidad de los sistemas de gestión de la Unidad Administrativa Especial Cuerpo Oficial de Bomberos"/>
    <s v="SI SECOP"/>
  </r>
  <r>
    <n v="2023612"/>
    <x v="0"/>
    <s v="O23011605560000007655 - Fortalecimiento de la Planeación y Gestión de la UAECOB Bogotá"/>
    <s v="Dirección"/>
    <n v="80111600"/>
    <s v="Prestar servicios profesionales para apoyar en el seguimiento y gestión de las diferentes políticas propias de la misionalidad y funcionamiento de la UAECOB, en cumplimiento de la Gestión Estratégica y la mejora continua de la entidad"/>
    <d v="2023-04-15T00:00:00"/>
    <d v="2023-04-30T00:00:00"/>
    <n v="4"/>
    <s v="CCE-16 Contratación directa "/>
    <x v="0"/>
    <s v="O232020200883990_Otros servicios profesionales, técnicos y empresariales n.c.p."/>
    <n v="24800000"/>
    <s v="1-Implementar 1 plan de ajuste y sostenibilidad del MIPG en la UAECOB"/>
    <s v="516-Gestionar el 100% de un (1) plan de adecuación y sostenibilidad de los sistemas de gestión de la Unidad Administrativa Especial Cuerpo Oficial de Bomberos"/>
    <s v="SI SECOP"/>
  </r>
  <r>
    <n v="2023613"/>
    <x v="3"/>
    <s v="O23011602300000007658 - Fortalecimiento del Cuerpo Oficial de Bomberos Bogotá"/>
    <s v="Subdirección Logística"/>
    <n v="80111600"/>
    <s v="Prestar servicios profesionales a la subdirección logística en el desarrollo y seguimiento de procesos  administrativos, financieros y técnicos a cargo del área - SBLG"/>
    <d v="2023-04-20T00:00:00"/>
    <d v="2023-04-20T00:00:00"/>
    <n v="9"/>
    <s v="CCE-16 Contratación directa "/>
    <x v="0"/>
    <s v="O232020200883990_Otros servicios profesionales, técnicos y empresariales n.c.p."/>
    <n v="63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614"/>
    <x v="3"/>
    <s v="O23011602300000007658 - Fortalecimiento del Cuerpo Oficial de Bomberos Bogotá"/>
    <s v="Subdirección Logística"/>
    <n v="80111600"/>
    <s v="Prestación de servicios de apoyo a la gestión  para la organización, clasificación, foliación, digitalización e indexación de documentos de la Subdirección logística - SBLG"/>
    <d v="2023-04-20T00:00:00"/>
    <d v="2023-04-20T00:00:00"/>
    <n v="7"/>
    <s v="CCE-16 Contratación directa "/>
    <x v="0"/>
    <s v="O232020200883990_Otros servicios profesionales, técnicos y empresariales n.c.p."/>
    <n v="21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15"/>
    <x v="3"/>
    <s v="O23011602300000007658 - Fortalecimiento del Cuerpo Oficial de Bomberos Bogotá"/>
    <s v="Subdirección Logística"/>
    <n v="78181505"/>
    <s v="Prestar el servicio de mantenimiento preventivo y correctivo, incluido el suministro de repuestos e insumos y mano de obra especializada para los equipos detectores de atmosfera y respiración autónoma marca Dräger, propiedad de la U.A.E. Cuerpo Oficial de"/>
    <d v="2023-04-25T00:00:00"/>
    <d v="2023-04-25T00:00:00"/>
    <n v="8"/>
    <s v="CCE-16 Contratación directa "/>
    <x v="0"/>
    <s v="O23201010030208 Otra maquinaria para usos especiales y sus partes y piezas"/>
    <n v="11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16"/>
    <x v="0"/>
    <s v="O23011605560000007655 - Fortalecimiento de la Planeación y Gestión de la UAECOB Bogotá"/>
    <s v="Oficina de Control Interno"/>
    <n v="80111600"/>
    <s v="Prestar servicios profesionales en la Oficina de Control Interno, en la elaboración de los diferentes reportes, informes y seguimientos de ley tales como: evaluación Independiente estado Sistema Control Interno, Plan de Mejoramiento, Plan Anticorrupción y"/>
    <d v="2023-05-16T00:00:00"/>
    <d v="2023-05-23T00:00:00"/>
    <n v="6"/>
    <s v="CCE-16 Contratación directa "/>
    <x v="0"/>
    <s v="O232020200883990_Otros servicios profesionales, técnicos y empresariales n.c.p."/>
    <n v="22848498"/>
    <s v="1-Implementar 1 plan de ajuste y sostenibilidad del MIPG en la UAECOB"/>
    <s v="516-Gestionar el 100% de un (1) plan de adecuación y sostenibilidad de los sistemas de gestión de la Unidad Administrativa Especial Cuerpo Oficial de Bomberos"/>
    <s v="SI SECOP"/>
  </r>
  <r>
    <n v="2023617"/>
    <x v="0"/>
    <s v="O23011605560000007655 - Fortalecimiento de la Planeación y Gestión de la UAECOB Bogotá"/>
    <s v="Oficina de Control Interno"/>
    <n v="80111600"/>
    <s v="Prestar los servicios profesionales  en la Oficina de Control Interno para el desarrollo del Plan Anual de Auditorías."/>
    <d v="2023-05-16T00:00:00"/>
    <d v="2023-05-23T00:00:00"/>
    <n v="6"/>
    <s v="CCE-16 Contratación directa "/>
    <x v="0"/>
    <s v="O232020200883990_Otros servicios profesionales, técnicos y empresariales n.c.p."/>
    <n v="39675498"/>
    <s v="1-Implementar 1 plan de ajuste y sostenibilidad del MIPG en la UAECOB"/>
    <s v="516-Gestionar el 100% de un (1) plan de adecuación y sostenibilidad de los sistemas de gestión de la Unidad Administrativa Especial Cuerpo Oficial de Bomberos"/>
    <s v="SI SECOP"/>
  </r>
  <r>
    <n v="2023618"/>
    <x v="0"/>
    <s v="O23011605560000007655 - Fortalecimiento de la Planeación y Gestión de la UAECOB Bogotá"/>
    <s v="Oficina de Control Interno"/>
    <n v="80111600"/>
    <s v="Prestar los servicios profesionales  en la Oficina de Control Interno para el desarrollo del Plan Anual de Auditorías."/>
    <d v="2023-06-01T00:00:00"/>
    <d v="2023-06-08T00:00:00"/>
    <n v="6"/>
    <s v="CCE-16 Contratación directa "/>
    <x v="0"/>
    <s v="O232020200883990_Otros servicios profesionales, técnicos y empresariales n.c.p."/>
    <n v="39675498"/>
    <s v="1-Implementar 1 plan de ajuste y sostenibilidad del MIPG en la UAECOB"/>
    <s v="516-Gestionar el 100% de un (1) plan de adecuación y sostenibilidad de los sistemas de gestión de la Unidad Administrativa Especial Cuerpo Oficial de Bomberos"/>
    <s v="SI SECOP"/>
  </r>
  <r>
    <n v="2023619"/>
    <x v="3"/>
    <s v="O23011602300000007658 - Fortalecimiento del Cuerpo Oficial de Bomberos Bogotá"/>
    <s v="Subdirección de Gestión Corporativa"/>
    <s v="72102900;72121400;72 51700;56101500;72121400;72151700;95121700;56111900;"/>
    <s v="Adición y prórroga No.1 al contrato 631 de 2022 que tiene como objeto &quot;  Realizar el mejoramiento y dotación de las instalaciones del predio la Alemana para la academia de la U.A.E Cuerpo Oficial de Bomberos Bogotá D.C-SGC&quot;"/>
    <d v="2023-05-14T00:00:00"/>
    <d v="2023-06-30T00:00:00"/>
    <n v="1"/>
    <s v="CCE-06 Selección abreviada menor cuantía"/>
    <x v="0"/>
    <s v="O2320202005040554590_Otros servicios especializados de la construcción "/>
    <n v="150000000"/>
    <s v="3-Poner tres (3) espacios nuevos en funcionamiento para la gestión integral de riesgos, incendios, incidentes con materiales peligrosos y rescates en todas sus modalidades"/>
    <s v="225-Poner en funcionamiento tres (3) nuevos espacios para la gestión integral de riesgos, incendios, incidentes con materiales peligrosos y rescates en todas sus modalidades."/>
    <s v="NO SECOP"/>
  </r>
  <r>
    <n v="2023620"/>
    <x v="3"/>
    <s v="O23011602300000007658 - Fortalecimiento del Cuerpo Oficial de Bomberos Bogotá"/>
    <s v="Subdirección de Gestión Corporativa"/>
    <s v="80101600;81101500;72101500;72121400 "/>
    <s v="Adición y prórroga No. 1 al contrato 646 de 2022 que tiene como objeto &quot; Interventoría técnica, administrativa, financiera, contable, jurídica, SST y ambiental para realizar el mejoramiento y dotación de las instalaciones del predio la Alemana para la aca"/>
    <d v="2023-05-14T00:00:00"/>
    <d v="2023-06-30T00:00:00"/>
    <n v="1"/>
    <s v="CCE-20 Concurso de méritos abierto"/>
    <x v="0"/>
    <s v="O2320202005040554590_Otros servicios especializados de la construcción "/>
    <n v="17590461"/>
    <s v="3-Poner tres (3) espacios nuevos en funcionamiento para la gestión integral de riesgos, incendios, incidentes con materiales peligrosos y rescates en todas sus modalidades"/>
    <s v="225-Poner en funcionamiento tres (3) nuevos espacios para la gestión integral de riesgos, incendios, incidentes con materiales peligrosos y rescates en todas sus modalidades."/>
    <s v="NO SECOP"/>
  </r>
  <r>
    <n v="2023621"/>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5-14T00:00:00"/>
    <d v="2023-06-30T00:00:00"/>
    <n v="6"/>
    <s v="CCE-16 Contratación directa "/>
    <x v="0"/>
    <s v="O232020200883990_Otros servicios profesionales, técnicos y empresariales n.c.p."/>
    <n v="147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622"/>
    <x v="3"/>
    <s v="O23011602300000007658 - Fortalecimiento del Cuerpo Oficial de Bomberos Bogotá"/>
    <s v="Subdirección de Gestión Corporativa"/>
    <n v="80111600"/>
    <s v="Prestación de servicios de apoyo a la gestión, en la Subdirección de Gestión Corporativa en temas de infraestructura para el sostenimiento y mejoramiento de los equipamientos de la Unidad Administrativa Especial Cuerpo Oficial de Bomberos de Bogotá-SGC"/>
    <d v="2023-05-14T00:00:00"/>
    <d v="2023-06-30T00:00:00"/>
    <n v="6"/>
    <s v="CCE-16 Contratación directa "/>
    <x v="0"/>
    <s v="O232020200883990_Otros servicios profesionales, técnicos y empresariales n.c.p."/>
    <n v="147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623"/>
    <x v="3"/>
    <s v="O23011602300000007658 - Fortalecimiento del Cuerpo Oficial de Bomberos Bogotá"/>
    <s v="Subdirección de Gestión Corporativa"/>
    <s v="72102900_x000a_72121400;_x000a_72151700;_x000a_56101500;_x000a_56111900;"/>
    <s v="Adición y prórroga No. 1 al contrato 590 de 2022 que tiene como objeto &quot; Realizar la adecuación y mejoramiento de las instalaciones de las estaciones de Bomberos de la UAE Cuerpo oficial de Bomberos Bogotá-SGC&quot;(Grupo 2)"/>
    <d v="2023-05-14T00:00:00"/>
    <d v="2023-06-30T00:00:00"/>
    <n v="1"/>
    <s v="CCE-02 Licitación pública"/>
    <x v="0"/>
    <s v="O2320202005040554590_Otros servicios especializados de la construcción "/>
    <n v="44621436"/>
    <s v="4-Adecuar seis (6) estaciones de Bomberos"/>
    <s v="226-Reforzar, Adecuar y Ampliar  6 estaciones de Bomberos"/>
    <s v="NO SECOP"/>
  </r>
  <r>
    <n v="2023624"/>
    <x v="3"/>
    <s v="O23011602300000007658 - Fortalecimiento del Cuerpo Oficial de Bomberos Bogotá"/>
    <s v="Subdirección de Gestión Corporativa"/>
    <s v="80101600;_x000a_81101500;_x000a_72101500;_x000a_72121400;"/>
    <s v="Adición y prórroga No. 1 al contrato 587 de 2022 que tiene como objeto &quot; Realizar la interventoría técnica, administrativa, legal, financiera, contable, seguridad y salud en el trabajo, social y ambiental del contrato con objeto &quot;realizar la adecuación y "/>
    <d v="2023-05-14T00:00:00"/>
    <d v="2023-06-30T00:00:00"/>
    <n v="1"/>
    <s v="CCE-20 Concurso de méritos abierto"/>
    <x v="0"/>
    <s v="O2320202005040554590_Otros servicios especializados de la construcción "/>
    <n v="12339642"/>
    <s v="4-Adecuar seis (6) estaciones de Bomberos"/>
    <s v="226-Reforzar, Adecuar y Ampliar  6 estaciones de Bomberos"/>
    <s v="NO SECOP"/>
  </r>
  <r>
    <n v="2023625"/>
    <x v="3"/>
    <s v="O23011602300000007658 - Fortalecimiento del Cuerpo Oficial de Bomberos Bogotá"/>
    <s v="Subdirección de Gestión Corporativa"/>
    <s v="80101600;_x000a_81101500;_x000a_72101500;_x000a_72121400;"/>
    <s v="Adición y prórroga No. 1 al contrato 586 de 2022 que tiene como objeto &quot;  Realizar la interventoría técnica, administrativa, legal, financiera, contable, seguridad y salud en el trabajo, social y ambiental del contrato con objeto &quot;realizar la adecuación y"/>
    <d v="2023-05-14T00:00:00"/>
    <d v="2023-06-30T00:00:00"/>
    <n v="1"/>
    <s v="CCE-20 Concurso de méritos abierto"/>
    <x v="0"/>
    <s v="O2320202005040554590_Otros servicios especializados de la construcción "/>
    <n v="21099937"/>
    <s v="4-Adecuar seis (6) estaciones de Bomberos"/>
    <s v="226-Reforzar, Adecuar y Ampliar  6 estaciones de Bomberos"/>
    <s v="NO SECOP"/>
  </r>
  <r>
    <n v="2023626"/>
    <x v="1"/>
    <s v="Funcionamiento"/>
    <s v="Subdirección de Gestión Corporativa"/>
    <s v="81141503; 81141804;"/>
    <s v="Prestación del servicio para inspección y certificación correspondientes a los sistemas de transporte vertical (ascensores) a cargo de la Unidad Administrativa Especial del Cuerpo Oficial de Bomberos Bogotá D.C – SGC"/>
    <d v="2023-05-14T00:00:00"/>
    <d v="2023-06-30T00:00:00"/>
    <n v="2"/>
    <s v="CCE-10 Mínima cuantía"/>
    <x v="0"/>
    <s v="N/A funcionamiento"/>
    <n v="1685516"/>
    <s v="N/A funcionamiento"/>
    <s v="N/A funcionamiento"/>
    <s v="SI SECOP"/>
  </r>
  <r>
    <n v="2023627"/>
    <x v="1"/>
    <s v="Funcionamiento"/>
    <s v="Subdirección de Gestión Corporativa"/>
    <n v="80111600"/>
    <s v="Prestación de servicios profesionales en la implementación,consolidación, seguimiento y reporte de los lineamientos ambientales en cada una de las sedes de la UAE CUERPO OFICIAL DE BOMBEROS BOGOTÁ-SGC"/>
    <d v="2023-06-30T00:00:00"/>
    <d v="2023-06-15T00:00:00"/>
    <n v="6"/>
    <s v="CCE-16 Contratación directa "/>
    <x v="0"/>
    <s v="N/A funcionamiento"/>
    <n v="43551200"/>
    <s v="N/A funcionamiento"/>
    <s v="N/A funcionamiento"/>
    <s v="SI SECOP"/>
  </r>
  <r>
    <n v="2023628"/>
    <x v="1"/>
    <s v="Funcionamiento"/>
    <s v="Subdirección de Gestión Corporativa"/>
    <n v="80111600"/>
    <s v="Prestación de servicios profesionales en la implementación,consolidación, seguimiento y reporte de los lineamientos ambientales en cada una de las sedes de la UAE CUERPO OFICIAL DE BOMBEROS BOGOTÁ-SGC"/>
    <d v="2023-06-30T00:00:00"/>
    <d v="2023-06-15T00:00:00"/>
    <n v="6"/>
    <s v="CCE-16 Contratación directa "/>
    <x v="0"/>
    <s v="N/A funcionamiento"/>
    <n v="23100000"/>
    <s v="N/A funcionamiento"/>
    <s v="N/A funcionamiento"/>
    <s v="SI SECOP"/>
  </r>
  <r>
    <n v="2023629"/>
    <x v="1"/>
    <s v="Funcionamiento"/>
    <s v="Subdirección de Gestión Corporativa"/>
    <n v="80111600"/>
    <s v="Prestación de servicios de apoyo a la gestión de seguros de la Subdirección de Gestión Corporativa. –SGC."/>
    <d v="2023-06-30T00:00:00"/>
    <d v="2023-06-15T00:00:00"/>
    <n v="6"/>
    <s v="CCE-16 Contratación directa "/>
    <x v="0"/>
    <s v="N/A funcionamiento"/>
    <n v="17150000"/>
    <s v="N/A funcionamiento"/>
    <s v="N/A funcionamiento"/>
    <s v="SI SECOP"/>
  </r>
  <r>
    <n v="2023631"/>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5-01T00:00:00"/>
    <d v="2023-05-15T00:00:00"/>
    <n v="5"/>
    <s v="CCE-16 Contratación directa "/>
    <x v="0"/>
    <s v="O232020200883990_Otros servicios profesionales, técnicos y empresariales n.c.p."/>
    <n v="12250000"/>
    <s v="1-Implementar 1 plan de ajuste y sostenibilidad del MIPG en la UAECOB"/>
    <s v="516-Gestionar el 100% de un (1) plan de adecuación y sostenibilidad de los sistemas de gestión de la Unidad Administrativa Especial Cuerpo Oficial de Bomberos"/>
    <s v="SI SECOP"/>
  </r>
  <r>
    <n v="2023632"/>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5-01T00:00:00"/>
    <d v="2023-05-15T00:00:00"/>
    <n v="5"/>
    <s v="CCE-16 Contratación directa "/>
    <x v="0"/>
    <s v="O232020200883990_Otros servicios profesionales, técnicos y empresariales n.c.p."/>
    <n v="12250000"/>
    <s v="1-Implementar 1 plan de ajuste y sostenibilidad del MIPG en la UAECOB"/>
    <s v="516-Gestionar el 100% de un (1) plan de adecuación y sostenibilidad de los sistemas de gestión de la Unidad Administrativa Especial Cuerpo Oficial de Bomberos"/>
    <s v="SI SECOP"/>
  </r>
  <r>
    <n v="2023633"/>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5-01T00:00:00"/>
    <d v="2023-05-15T00:00:00"/>
    <n v="5"/>
    <s v="CCE-16 Contratación directa "/>
    <x v="0"/>
    <s v="O232020200883990_Otros servicios profesionales, técnicos y empresariales n.c.p."/>
    <n v="12250000"/>
    <s v="1-Implementar 1 plan de ajuste y sostenibilidad del MIPG en la UAECOB"/>
    <s v="516-Gestionar el 100% de un (1) plan de adecuación y sostenibilidad de los sistemas de gestión de la Unidad Administrativa Especial Cuerpo Oficial de Bomberos"/>
    <s v="SI SECOP"/>
  </r>
  <r>
    <n v="2023634"/>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5-01T00:00:00"/>
    <d v="2023-05-15T00:00:00"/>
    <n v="5"/>
    <s v="CCE-16 Contratación directa "/>
    <x v="0"/>
    <s v="O232020200883990_Otros servicios profesionales, técnicos y empresariales n.c.p."/>
    <n v="12250000"/>
    <s v="1-Implementar 1 plan de ajuste y sostenibilidad del MIPG en la UAECOB"/>
    <s v="516-Gestionar el 100% de un (1) plan de adecuación y sostenibilidad de los sistemas de gestión de la Unidad Administrativa Especial Cuerpo Oficial de Bomberos"/>
    <s v="SI SECOP"/>
  </r>
  <r>
    <n v="2023635"/>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5-01T00:00:00"/>
    <d v="2023-05-15T00:00:00"/>
    <n v="5"/>
    <s v="CCE-16 Contratación directa "/>
    <x v="0"/>
    <s v="O232020200883990_Otros servicios profesionales, técnicos y empresariales n.c.p."/>
    <n v="12250000"/>
    <s v="1-Implementar 1 plan de ajuste y sostenibilidad del MIPG en la UAECOB"/>
    <s v="516-Gestionar el 100% de un (1) plan de adecuación y sostenibilidad de los sistemas de gestión de la Unidad Administrativa Especial Cuerpo Oficial de Bomberos"/>
    <s v="SI SECOP"/>
  </r>
  <r>
    <n v="2023636"/>
    <x v="0"/>
    <s v="O23011605560000007655 - Fortalecimiento de la Planeación y Gestión de la UAECOB Bogotá"/>
    <s v="Subdirección de Gestión Corporativa"/>
    <n v="80111600"/>
    <s v="Prestar servicios profesionales para realizar acompañamiento en la elaboración y revisión de actas de liquidación y demás actuaciones administrativas requeridas en la etapa postcontractual del proceso de contratación adelantados por la Subdirección Gestió"/>
    <d v="2023-05-01T00:00:00"/>
    <d v="2023-05-15T00:00:00"/>
    <n v="5"/>
    <s v="CCE-16 Contratación directa "/>
    <x v="0"/>
    <s v="O232020200882199_Otros servicios jurídicos n.c.p."/>
    <n v="37314300"/>
    <s v="1-Implementar 1 plan de ajuste y sostenibilidad del MIPG en la UAECOB"/>
    <s v="516-Gestionar el 100% de un (1) plan de adecuación y sostenibilidad de los sistemas de gestión de la Unidad Administrativa Especial Cuerpo Oficial de Bomberos"/>
    <s v="SI SECOP"/>
  </r>
  <r>
    <n v="2023637"/>
    <x v="0"/>
    <s v="O23011605560000007655 - Fortalecimiento de la Planeación y Gestión de la UAECOB Bogotá"/>
    <s v="Subdirección de Gestión Corporativa"/>
    <n v="80111600"/>
    <s v="Adición y prórroga No. 1 al contrato 129 de 2023 que tiene como objeto &quot;Prestar servicios profesionales en la Subdirección de Gestión Corporativa en el marco de las actividades administrativas de la Dependencia.-SGC"/>
    <d v="2023-05-01T00:00:00"/>
    <d v="2023-05-15T00:00:00"/>
    <n v="3"/>
    <s v="CCE-16 Contratación directa "/>
    <x v="0"/>
    <s v="O232020200883990_Otros servicios profesionales, técnicos y empresariales n.c.p."/>
    <n v="15000000"/>
    <s v="1-Implementar 1 plan de ajuste y sostenibilidad del MIPG en la UAECOB"/>
    <s v="516-Gestionar el 100% de un (1) plan de adecuación y sostenibilidad de los sistemas de gestión de la Unidad Administrativa Especial Cuerpo Oficial de Bomberos"/>
    <s v="NO SECOP"/>
  </r>
  <r>
    <n v="2023638"/>
    <x v="3"/>
    <s v="O23011602300000007658 - Fortalecimiento del Cuerpo Oficial de Bomberos Bogotá"/>
    <s v="Subdirección Logística"/>
    <n v="80111600"/>
    <s v="Prestación de servicios de apoyo a la gestión del diligenciamiento, seguimiento y control de las herramientas de gestión de los procedimientos y de las solicitudes que lleguen a través de la mesa de logística. - SBLG"/>
    <d v="2023-05-01T00:00:00"/>
    <d v="2023-05-01T00:00:00"/>
    <n v="8"/>
    <s v="CCE-16 Contratación directa "/>
    <x v="0"/>
    <s v="O232020200883990_Otros servicios profesionales, técnicos y empresariales n.c.p."/>
    <n v="3024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639"/>
    <x v="3"/>
    <s v="O23011602300000007658 - Fortalecimiento del Cuerpo Oficial de Bomberos Bogotá"/>
    <s v="Subdirección Logística"/>
    <n v="80111600"/>
    <s v="Prestar servicios de apoyo a la gestión en temas administrativos para el seguimiento y control de suministros y consumibles derivados de los contratos de la Subdirección Logística - SBLG"/>
    <d v="2023-06-01T00:00:00"/>
    <d v="2023-06-01T00:00:00"/>
    <n v="7"/>
    <s v="CCE-16 Contratación directa "/>
    <x v="0"/>
    <s v="O232020200883990_Otros servicios profesionales, técnicos y empresariales n.c.p."/>
    <n v="1536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640"/>
    <x v="3"/>
    <s v="O23011602300000007658 - Fortalecimiento del Cuerpo Oficial de Bomberos Bogotá"/>
    <s v="Subdirección Logística"/>
    <n v="80111600"/>
    <s v="Prestar servicios profesionales en la gestión de las solicitudes de mesa logisitica en relación con  parque automotor, equipo menor y suministros consumibles y de los requerimiento de uso y apropiación. SBLG"/>
    <d v="2023-06-01T00:00:00"/>
    <d v="2023-06-01T00:00:00"/>
    <n v="7"/>
    <s v="CCE-16 Contratación directa "/>
    <x v="0"/>
    <s v="O232020200883990_Otros servicios profesionales, técnicos y empresariales n.c.p."/>
    <n v="27066666"/>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641"/>
    <x v="3"/>
    <s v="O23011602300000007658 - Fortalecimiento del Cuerpo Oficial de Bomberos Bogotá"/>
    <s v="Subdirección Logística"/>
    <n v="80111600"/>
    <s v="Prestación de servicios de apoyo a la gestión para realizar el seguimiento y control de las bases de datos y actualización de hojas de vida del equipo menor a cargo de la Subdirección Logística - SBLG"/>
    <d v="2023-06-01T00:00:00"/>
    <d v="2023-06-01T00:00:00"/>
    <n v="7"/>
    <s v="CCE-16 Contratación directa "/>
    <x v="0"/>
    <s v="O232020200883990_Otros servicios profesionales, técnicos y empresariales n.c.p."/>
    <n v="1562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42"/>
    <x v="3"/>
    <s v="O23011602300000007658 - Fortalecimiento del Cuerpo Oficial de Bomberos Bogotá"/>
    <s v="Subdirección Logística"/>
    <n v="80111600"/>
    <s v="Prestación de servicios profesionales jurídicos  a la Subdirección Logística, en los trámites contractuales, respuestas a los PQR´S y  a los requerimientos efectuados por los entes de control y autoridades administrativas. SBLG"/>
    <d v="2023-06-01T00:00:00"/>
    <d v="2023-06-01T00:00:00"/>
    <n v="7"/>
    <s v="CCE-16 Contratación directa "/>
    <x v="0"/>
    <s v="O232020200883990_Otros servicios profesionales, técnicos y empresariales n.c.p."/>
    <n v="268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643"/>
    <x v="3"/>
    <s v="O23011602300000007658 - Fortalecimiento del Cuerpo Oficial de Bomberos Bogotá"/>
    <s v="Subdirección Logística"/>
    <n v="80111600"/>
    <s v="Prestar  servicios profesionales en la gestión y soporte de las  herramientas tecnológicas a cargo  de la subdirección logística - SBLG "/>
    <d v="2023-06-01T00:00:00"/>
    <d v="2023-06-01T00:00:00"/>
    <n v="7"/>
    <s v="CCE-16 Contratación directa "/>
    <x v="0"/>
    <s v="O232020200883990_Otros servicios profesionales, técnicos y empresariales n.c.p."/>
    <n v="55208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644"/>
    <x v="3"/>
    <s v="O23011602300000007658 - Fortalecimiento del Cuerpo Oficial de Bomberos Bogotá"/>
    <s v="Subdirección Logística"/>
    <n v="80111600"/>
    <s v="Prestar  servicios de apoyo en la gestión documental tanto física como digital, administrando y controlando  las bases de datos, así como la resolución de las solicitudes o requerimientos a cargo de la Subdirección logistica. -SBLG"/>
    <d v="2023-06-01T00:00:00"/>
    <d v="2023-06-01T00:00:00"/>
    <n v="7"/>
    <s v="CCE-16 Contratación directa "/>
    <x v="0"/>
    <s v="O232020200883990_Otros servicios profesionales, técnicos y empresariales n.c.p."/>
    <n v="1675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45"/>
    <x v="3"/>
    <s v="O23011602300000007658 - Fortalecimiento del Cuerpo Oficial de Bomberos Bogotá"/>
    <s v="Subdirección Logística"/>
    <n v="80111600"/>
    <s v="Prestación de servicios de apoyo a la gestión como conductor de acuerdo a las necesidades de desplazamiento que requiera la Subdirección Logística - SBLG"/>
    <d v="2023-06-01T00:00:00"/>
    <d v="2023-06-01T00:00:00"/>
    <n v="7"/>
    <s v="CCE-16 Contratación directa "/>
    <x v="0"/>
    <s v="O232020200883990_Otros servicios profesionales, técnicos y empresariales n.c.p."/>
    <n v="2217152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46"/>
    <x v="3"/>
    <s v="O23011602300000007658 - Fortalecimiento del Cuerpo Oficial de Bomberos Bogotá"/>
    <s v="Subdirección Logística"/>
    <n v="80111600"/>
    <s v="Prestación de servicios profesionales en el seguimiento a los diferentes procesos y procedimientos a cargo de la Subdirección, evaluando y conceptuando su impacto ambiental. SBLG"/>
    <d v="2023-06-01T00:00:00"/>
    <d v="2023-06-01T00:00:00"/>
    <n v="7"/>
    <s v="CCE-16 Contratación directa "/>
    <x v="0"/>
    <s v="O232020200883990_Otros servicios profesionales, técnicos y empresariales n.c.p."/>
    <n v="2747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47"/>
    <x v="3"/>
    <s v="O23011602300000007658 - Fortalecimiento del Cuerpo Oficial de Bomberos Bogotá"/>
    <s v="Subdirección Logística"/>
    <n v="80111600"/>
    <s v="Prestar servicios profesionales en la definición y gestión de procedimientos, lineamientos ambientales y de SST de los procesos y contratos a cargo de la subdirección, así como la gestión y manejo de la herramienta tecnológica. – SBLG"/>
    <d v="2023-06-01T00:00:00"/>
    <d v="2023-06-01T00:00:00"/>
    <n v="7"/>
    <s v="CCE-16 Contratación directa "/>
    <x v="0"/>
    <s v="O232020200883990_Otros servicios profesionales, técnicos y empresariales n.c.p."/>
    <n v="2925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49"/>
    <x v="3"/>
    <s v="O23011602300000007658 - Fortalecimiento del Cuerpo Oficial de Bomberos Bogotá"/>
    <s v="Subdirección Logística"/>
    <n v="80111600"/>
    <s v="Prestación de servicios profesionales en la gestión precontractual, contractual y de liquidación a cargo de la Subdirección Logística. - SBLG"/>
    <d v="2023-06-01T00:00:00"/>
    <d v="2023-06-01T00:00:00"/>
    <n v="7"/>
    <s v="CCE-16 Contratación directa "/>
    <x v="0"/>
    <s v="O232020200883990_Otros servicios profesionales, técnicos y empresariales n.c.p."/>
    <n v="225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650"/>
    <x v="3"/>
    <s v="O23011602300000007658 - Fortalecimiento del Cuerpo Oficial de Bomberos Bogotá"/>
    <s v="Subdirección Logística"/>
    <n v="80111600"/>
    <s v="Prestación de servicios de apoyo a la gestión para realizar el diagnóstico, los mantenimientos preventivos y correctivos a fin de garantizar la permanente  funcionalidad de los equipos menores pertenecientes a la UAECOB, en la Subdirección Logística - SBL"/>
    <d v="2023-06-01T00:00:00"/>
    <d v="2023-06-01T00:00:00"/>
    <n v="7"/>
    <s v="CCE-16 Contratación directa "/>
    <x v="0"/>
    <s v="O232020200883990_Otros servicios profesionales, técnicos y empresariales n.c.p."/>
    <n v="15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51"/>
    <x v="3"/>
    <s v="O23011602300000007658 - Fortalecimiento del Cuerpo Oficial de Bomberos Bogotá"/>
    <s v="Subdirección Logística"/>
    <n v="80111600"/>
    <s v="Prestación de servicios de apoyo a la gestión administrativa y documental en el trámite y  atención de requerimientos del personal operativo logístico de la Subdirección Logística, - SBLG "/>
    <d v="2023-06-01T00:00:00"/>
    <d v="2023-06-01T00:00:00"/>
    <n v="7"/>
    <s v="CCE-16 Contratación directa "/>
    <x v="0"/>
    <s v="O232020200883990_Otros servicios profesionales, técnicos y empresariales n.c.p."/>
    <n v="14613333"/>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52"/>
    <x v="3"/>
    <s v="O23011602300000007658 - Fortalecimiento del Cuerpo Oficial de Bomberos Bogotá"/>
    <s v="Subdirección Logística"/>
    <n v="80111600"/>
    <s v="Prestación de servicios profesionales para realizar el seguimiento y monitoreo a los diferentes procesos y procedimientos del equipo menor a cargo de la Subdirección Logística - SBLG"/>
    <d v="2023-06-01T00:00:00"/>
    <d v="2023-06-01T00:00:00"/>
    <n v="7"/>
    <s v="CCE-16 Contratación directa "/>
    <x v="0"/>
    <s v="O232020200883990_Otros servicios profesionales, técnicos y empresariales n.c.p."/>
    <n v="18133333"/>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53"/>
    <x v="3"/>
    <s v="O23011602300000007658 - Fortalecimiento del Cuerpo Oficial de Bomberos Bogotá"/>
    <s v="Subdirección Logística"/>
    <n v="80111600"/>
    <s v="Prestación de servicios de apoyo a la gestión en el registro y actualización de las bases de datos de los procesos relacionados con consumibles y suministros y equipo menor a cargo de esta Subdirección.  - SBLG"/>
    <d v="2023-06-01T00:00:00"/>
    <d v="2023-06-01T00:00:00"/>
    <n v="7"/>
    <s v="CCE-16 Contratación directa "/>
    <x v="0"/>
    <s v="O232020200883990_Otros servicios profesionales, técnicos y empresariales n.c.p."/>
    <n v="2145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54"/>
    <x v="3"/>
    <s v="O23011602300000007658 - Fortalecimiento del Cuerpo Oficial de Bomberos Bogotá"/>
    <s v="Subdirección Logística"/>
    <n v="80111600"/>
    <s v="Prestación de servicios profesionales de seguimiento operativo del equipo menor a través del , monitoreo, la  programación  y cumplimiento de los mantenimientos preventivos y correctivos del equipo menor. SBLG"/>
    <d v="2023-06-01T00:00:00"/>
    <d v="2023-06-01T00:00:00"/>
    <n v="7"/>
    <s v="CCE-16 Contratación directa "/>
    <x v="0"/>
    <s v="O232020200883990_Otros servicios profesionales, técnicos y empresariales n.c.p."/>
    <n v="325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55"/>
    <x v="3"/>
    <s v="O23011602300000007658 - Fortalecimiento del Cuerpo Oficial de Bomberos Bogotá"/>
    <s v="Subdirección Logística"/>
    <n v="80111600"/>
    <s v="Prestación de servicios profesionales en la gestión integral del equipo menor a cargo de la Subdirección Logística garantizando su operatividad y funcionamiento. SBLG"/>
    <d v="2023-06-01T00:00:00"/>
    <d v="2023-06-01T00:00:00"/>
    <n v="7"/>
    <s v="CCE-16 Contratación directa "/>
    <x v="0"/>
    <s v="O232020200883990_Otros servicios profesionales, técnicos y empresariales n.c.p."/>
    <n v="38025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56"/>
    <x v="3"/>
    <s v="O23011602300000007658 - Fortalecimiento del Cuerpo Oficial de Bomberos Bogotá"/>
    <s v="Subdirección Logística"/>
    <n v="80111600"/>
    <s v="Prestación de servicios profesionales en la gestión administrativa y financiera del mantenimiento del parque automotor de la entidad, a cargo de la Subdirección Logística - SBLG"/>
    <d v="2023-06-01T00:00:00"/>
    <d v="2023-06-01T00:00:00"/>
    <n v="7"/>
    <s v="CCE-16 Contratación directa "/>
    <x v="0"/>
    <s v="O232020200883990_Otros servicios profesionales, técnicos y empresariales n.c.p."/>
    <n v="2865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57"/>
    <x v="3"/>
    <s v="O23011602300000007658 - Fortalecimiento del Cuerpo Oficial de Bomberos Bogotá"/>
    <s v="Subdirección Logística"/>
    <n v="80111600"/>
    <s v="Prestación de servicios de apoyo a la gestión como conductor de acuerdo a las necesidades de desplazamiento que requiera la Subdirección Logística - SBLG"/>
    <d v="2023-06-01T00:00:00"/>
    <d v="2023-06-01T00:00:00"/>
    <n v="7"/>
    <s v="CCE-16 Contratación directa "/>
    <x v="0"/>
    <s v="O232020200883990_Otros servicios profesionales, técnicos y empresariales n.c.p."/>
    <n v="13226666"/>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58"/>
    <x v="3"/>
    <s v="O23011602300000007658 - Fortalecimiento del Cuerpo Oficial de Bomberos Bogotá"/>
    <s v="Subdirección Logística"/>
    <n v="80111600"/>
    <s v="Prestación de servicios profesionales en la gestión presupuestal y financiera que requiera los procesos y procedimiento de la Subdirección Logística, así como el seguimiento al cumplimiento de las metas e indicadores adoptados. SBLG"/>
    <d v="2023-06-01T00:00:00"/>
    <d v="2023-06-01T00:00:00"/>
    <n v="7"/>
    <s v="CCE-16 Contratación directa "/>
    <x v="0"/>
    <s v="O232020200883990_Otros servicios profesionales, técnicos y empresariales n.c.p."/>
    <n v="51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59"/>
    <x v="3"/>
    <s v="O23011602300000007658 - Fortalecimiento del Cuerpo Oficial de Bomberos Bogotá"/>
    <s v="Subdirección Logística"/>
    <n v="80111600"/>
    <s v="Prestación de servicios profesionales en la gestión, control, seguimiento y ejecución  de los planes y proyectos de la Subdirección - SBLG"/>
    <d v="2023-06-01T00:00:00"/>
    <d v="2023-06-01T00:00:00"/>
    <n v="7"/>
    <s v="CCE-16 Contratación directa "/>
    <x v="0"/>
    <s v="O232020200883990_Otros servicios profesionales, técnicos y empresariales n.c.p."/>
    <n v="368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660"/>
    <x v="3"/>
    <s v="O23011602300000007658 - Fortalecimiento del Cuerpo Oficial de Bomberos Bogotá"/>
    <s v="Subdirección Logística"/>
    <n v="80111600"/>
    <s v="Prestación de servicios profesionales en la elaboración, preparación y sustentación de los documentos precontractuales, contractuales y poscontractuales a cargo de la Sudirección Logística. SBLG"/>
    <d v="2023-06-01T00:00:00"/>
    <d v="2023-06-01T00:00:00"/>
    <n v="7"/>
    <s v="CCE-16 Contratación directa "/>
    <x v="0"/>
    <s v="O232020200883990_Otros servicios profesionales, técnicos y empresariales n.c.p."/>
    <n v="28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61"/>
    <x v="3"/>
    <s v="O23011602300000007658 - Fortalecimiento del Cuerpo Oficial de Bomberos Bogotá"/>
    <s v="Subdirección Logística"/>
    <n v="80111600"/>
    <s v="Prestación de servicios de apoyo a la gestión del correcto funcionamiento de los equipos menores pertenecientes a la UAECOB, en la Subdirección Logística - SBLG"/>
    <d v="2023-06-01T00:00:00"/>
    <d v="2023-06-01T00:00:00"/>
    <n v="7"/>
    <s v="CCE-16 Contratación directa "/>
    <x v="0"/>
    <s v="O232020200883990_Otros servicios profesionales, técnicos y empresariales n.c.p."/>
    <n v="15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62"/>
    <x v="3"/>
    <s v="O23011602300000007658 - Fortalecimiento del Cuerpo Oficial de Bomberos Bogotá"/>
    <s v="Subdirección Logística"/>
    <n v="80111600"/>
    <s v="Prestación de servicios de apoyo a la gestión administrativa del parque automotor que administra la Subdirección Logística - SBLG. "/>
    <d v="2023-06-01T00:00:00"/>
    <d v="2023-06-01T00:00:00"/>
    <n v="7"/>
    <s v="CCE-16 Contratación directa "/>
    <x v="0"/>
    <s v="O232020200883990_Otros servicios profesionales, técnicos y empresariales n.c.p."/>
    <n v="16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663"/>
    <x v="3"/>
    <s v="O23011602300000007658 - Fortalecimiento del Cuerpo Oficial de Bomberos Bogotá"/>
    <s v="Subdirección Operativa"/>
    <n v="80111600"/>
    <s v="Prestación de servicios profesionales para acompañar a la Subdirección Operativa en la identificación de necesidades técnicas que requiere suplir la UAE Cuerpo Oficial de Bomberos de Bogotá, a partir de los datos estadísticos obtenidos de las emergencias "/>
    <d v="2023-05-01T00:00:00"/>
    <d v="2023-05-15T00:00:00"/>
    <n v="8"/>
    <s v="CCE-16 Contratación directa "/>
    <x v="0"/>
    <s v="O232020200883990_Otros servicios profesionales, técnicos y empresariales n.c.p."/>
    <n v="43056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664"/>
    <x v="3"/>
    <s v="O23011602300000007658 - Fortalecimiento del Cuerpo Oficial de Bomberos Bogotá"/>
    <s v="Subdirección Operativa"/>
    <n v="80111600"/>
    <s v="Prestación de servicios profesionales para acompañar a la Subdirección Operativa en la identificación de necesidades técnicas que requiere suplir la UAE Cuerpo Oficial de Bomberos de Bogotá, a partir de los datos estadísticos obtenidos de las emergencias "/>
    <d v="2023-05-01T00:00:00"/>
    <d v="2023-05-15T00:00:00"/>
    <n v="8"/>
    <s v="CCE-16 Contratación directa "/>
    <x v="0"/>
    <s v="O232020200883990_Otros servicios profesionales, técnicos y empresariales n.c.p."/>
    <n v="43056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665"/>
    <x v="1"/>
    <s v="Funcionamiento"/>
    <s v="Subdirección de Gestión Humana"/>
    <s v="85121503; _x000a_85121603; _x000a_85121604; _x000a_85121608; _x000a_85121610; _x000a_85121611; _x000a_85121612; _x000a_85121702;_x000a_ 85122201;"/>
    <s v="Adición al contrato No. 518 de 2022, cuyo objeto es &quot;Realizar los exámenes Médicos Ocupacionales para el personal de la UAECOB&quot;"/>
    <d v="2023-05-01T00:00:00"/>
    <d v="2023-05-01T00:00:00"/>
    <n v="2"/>
    <s v="CCE-06 Selección abreviada menor cuantía"/>
    <x v="0"/>
    <s v="O2320202005040554590_Otros servicios especializados de la construcción "/>
    <n v="32000000"/>
    <s v="N/A funcionamiento"/>
    <s v="N/A funcionamiento"/>
    <s v="NO SECOP"/>
  </r>
  <r>
    <n v="2023666"/>
    <x v="3"/>
    <s v="O23011602300000007658 - Fortalecimiento del Cuerpo Oficial de Bomberos Bogotá"/>
    <s v="Subdirección Logística"/>
    <n v="72101509"/>
    <s v="Adición y prorroga del CTO 573de 2022 &quot;Suministro de espuma y concentrado de espuma y adquisición, mantenimiento y recarga de extintores, cilindros y tanques de las maquinas extintoras.&quot;"/>
    <d v="2023-05-15T00:00:00"/>
    <d v="2023-05-15T00:00:00"/>
    <n v="6"/>
    <s v="CCE-07 Selección abreviada subasta inversa"/>
    <x v="0"/>
    <s v="O23201010030208 Otra maquinaria para usos especiales y sus partes y piezas"/>
    <n v="25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667"/>
    <x v="1"/>
    <s v="Funcionamiento"/>
    <s v="Subdirección de Gestión Corporativa"/>
    <s v="81141807;_x000a_40151517;_x000a_76121701;_x000a_83101500;"/>
    <s v="Prestar el servicio de recolección y diposición final de los residuos sanitarios y aguas no tratadas de las instalaciones de la Unidad Administrativa Especial Cuerpo Oficial de Bomberos Bogotá -SGC"/>
    <d v="2023-06-01T00:00:00"/>
    <d v="2023-06-16T00:00:00"/>
    <n v="12"/>
    <s v="CCE-10 Mínima cuantía"/>
    <x v="0"/>
    <s v="N/A funcionamiento"/>
    <n v="30000000"/>
    <s v="N/A funcionamiento"/>
    <s v="N/A funcionamiento"/>
    <s v="SI SECOP"/>
  </r>
  <r>
    <n v="2023668"/>
    <x v="2"/>
    <s v="O23011605560000007637 - Fortalecimiento de la infraestructura de tecnología informática y de comunicaciones de la UAECOB"/>
    <s v="Oficina Asesora de Planeación"/>
    <n v="80111600"/>
    <s v="Prestar servicios profesionales con autonomía técnica y administrativa,   en la administracion, gestión y para mantener las bases de datos de la UAE Cuerpo Oficial de Bomberos Bogotá. -TIC"/>
    <d v="2023-06-01T00:00:00"/>
    <d v="2023-06-15T00:00:00"/>
    <n v="6"/>
    <s v="CCE-16 Contratación directa "/>
    <x v="0"/>
    <s v="O232020200883990_Otros servicios profesionales, técnicos y empresariales n.c.p."/>
    <n v="40800000"/>
    <s v="2-Implementar 100 % de la arquitectura TI conforme a las necesidades de la UAECOB"/>
    <s v="517-Implementar al 100% una estrategia de fortalecimiento de los sistemas de información para optimizar la gestión del Cuerpo Oficial de Bomberos"/>
    <s v="SI SECOP"/>
  </r>
  <r>
    <n v="2023669"/>
    <x v="2"/>
    <s v="O23011605560000007637 - Fortalecimiento de la infraestructura de tecnología informática y de comunicaciones de la UAECOB"/>
    <s v="Oficina Asesora de Planeación"/>
    <n v="80111600"/>
    <s v="Prestar servicios profesionales con plena autonomía técnica y administrativa, en la administración y gestión de la infraestructura tecnológica de servidores y componentes relacionados con los que cuenta la UAE Cuerpo Oficial de Bomberos de Bogotá - TIC"/>
    <d v="2023-06-01T00:00:00"/>
    <d v="2023-06-15T00:00:00"/>
    <n v="5"/>
    <s v="CCE-16 Contratación directa "/>
    <x v="0"/>
    <s v="O232020200883990_Otros servicios profesionales, técnicos y empresariales n.c.p."/>
    <n v="32500000"/>
    <s v="2-Implementar 100 % de la arquitectura TI conforme a las necesidades de la UAECOB"/>
    <s v="517-Implementar al 100% una estrategia de fortalecimiento de los sistemas de información para optimizar la gestión del Cuerpo Oficial de Bomberos"/>
    <s v="SI SECOP"/>
  </r>
  <r>
    <n v="2023672"/>
    <x v="2"/>
    <s v="O23011605560000007637 - Fortalecimiento de la infraestructura de tecnología informática y de comunicaciones de la UAECOB"/>
    <s v="Oficina Asesora de Planeación"/>
    <n v="80111600"/>
    <s v="Prestar Servicios Profesionales con plena autonomía técnica y administrativa, como gestor de la Política del Sistema de Gestión de Seguridad de la Información - SGSI, Gobierno Digital, Transformación Digital y Datos abiertos que contribuyan a la estandari"/>
    <d v="2023-06-01T00:00:00"/>
    <d v="2023-06-15T00:00:00"/>
    <n v="4"/>
    <s v="CCE-16 Contratación directa "/>
    <x v="0"/>
    <s v="O232020200883990_Otros servicios profesionales, técnicos y empresariales n.c.p."/>
    <n v="27200000"/>
    <s v="3-Habilitar 3 servicios ciudadanos digitales básicos en la UAECOB"/>
    <s v="517-Implementar al 100% una estrategia de fortalecimiento de los sistemas de información para optimizar la gestión del Cuerpo Oficial de Bomberos"/>
    <s v="SI SECOP"/>
  </r>
  <r>
    <n v="2023673"/>
    <x v="0"/>
    <s v="O23011605560000007655 - Fortalecimiento de la Planeación y Gestión de la UAECOB Bogotá"/>
    <s v="Oficina Asesora de Planeación"/>
    <n v="80111600"/>
    <s v="Prestación de servicios de apoyo a la gestión con autonomía técnica y administrativa, en la Oficina Asesora de Planeación de la UAECOB, para el diseño de campañas publicitarias que apoyen el uso y apropiación en los programas desarrollados para la impleme"/>
    <d v="2023-06-01T00:00:00"/>
    <d v="2023-06-15T00:00:00"/>
    <n v="5"/>
    <s v="CCE-16 Contratación directa "/>
    <x v="0"/>
    <s v="O232020200883990_Otros servicios profesionales, técnicos y empresariales n.c.p."/>
    <n v="15000000"/>
    <s v="1-Implementar 1 plan de ajuste y sostenibilidad del MIPG en la UAECOB"/>
    <s v="516-Gestionar el 100% de un (1) plan de adecuación y sostenibilidad de los sistemas de gestión de la Unidad Administrativa Especial Cuerpo Oficial de Bomberos"/>
    <s v="SI SECOP"/>
  </r>
  <r>
    <n v="2023674"/>
    <x v="0"/>
    <s v="O23011605560000007655 - Fortalecimiento de la Planeación y Gestión de la UAECOB Bogotá"/>
    <s v="Oficina Asesora de Planeación"/>
    <n v="80111600"/>
    <s v="Prestar servicios profesionales con plena autonomía técnica y administrativa, en las actividades de cooperación Internacional, así como apoyar en el desarrollo en la formulación de planes y programas de la OAP."/>
    <d v="2023-06-01T00:00:00"/>
    <d v="2023-06-15T00:00:00"/>
    <n v="5"/>
    <s v="CCE-16 Contratación directa "/>
    <x v="0"/>
    <s v="O232020200883990_Otros servicios profesionales, técnicos y empresariales n.c.p."/>
    <n v="30000000"/>
    <s v="1-Implementar 1 plan de ajuste y sostenibilidad del MIPG en la UAECOB"/>
    <s v="516-Gestionar el 100% de un (1) plan de adecuación y sostenibilidad de los sistemas de gestión de la Unidad Administrativa Especial Cuerpo Oficial de Bomberos"/>
    <s v="SI SECOP"/>
  </r>
  <r>
    <n v="2023675"/>
    <x v="0"/>
    <s v="O23011605560000007655 - Fortalecimiento de la Planeación y Gestión de la UAECOB Bogotá"/>
    <s v="Oficina Asesora de Planeación"/>
    <n v="80111600"/>
    <s v="Prestar los servicios profesionales con autonomía técnica y administrativa  en las actividades de cooperación técnica interinstitucional con las Entidades del sector a nivel nacional e internacional-OAP"/>
    <d v="2023-06-01T00:00:00"/>
    <d v="2023-06-15T00:00:00"/>
    <n v="6"/>
    <s v="CCE-16 Contratación directa "/>
    <x v="0"/>
    <s v="O232020200883990_Otros servicios profesionales, técnicos y empresariales n.c.p."/>
    <n v="0"/>
    <s v="1-Implementar 1 plan de ajuste y sostenibilidad del MIPG en la UAECOB"/>
    <s v="516-Gestionar el 100% de un (1) plan de adecuación y sostenibilidad de los sistemas de gestión de la Unidad Administrativa Especial Cuerpo Oficial de Bomberos"/>
    <s v="SI SECOP"/>
  </r>
  <r>
    <n v="2023676"/>
    <x v="1"/>
    <s v="Funcionamiento"/>
    <s v="Oficina Asesora de Planeación"/>
    <s v="81111500;81112100"/>
    <s v="Contratar la renovación de la membresía LACNIC para mantener la disponibilidad del bloque de direcciones IPV6 adquirido por la U.A.E. Cuerpo Oficial de Bomberos de Bogotá"/>
    <d v="2023-10-05T00:00:00"/>
    <d v="2023-10-23T00:00:00"/>
    <n v="2"/>
    <s v="CCE-10 Mínima cuantía"/>
    <x v="0"/>
    <s v="O21202020080484290 Otros servicios de telecomunicaciones vía Internet"/>
    <n v="7312200"/>
    <s v="N/A funcionamiento"/>
    <s v="N/A funcionamiento"/>
    <s v="SI SECOP"/>
  </r>
  <r>
    <n v="2023677"/>
    <x v="2"/>
    <s v="O23011605560000007637 - Fortalecimiento de la infraestructura de tecnología informática y de comunicaciones de la UAECOB"/>
    <s v="Oficina Asesora de Planeación"/>
    <n v="80111600"/>
    <s v="Prestar servicios profesionales con plena autonomía técnica y administrativa y bajo sus propios medios, en la administración, actualización, desarrollo y mantenimiento del Sistema Integrado de Administración de Personal - SIAP. -TIC"/>
    <d v="2023-06-01T00:00:00"/>
    <d v="2023-06-15T00:00:00"/>
    <n v="7"/>
    <s v="CCE-16 Contratación directa "/>
    <x v="0"/>
    <s v="O232020200883990_Otros servicios profesionales, técnicos y empresariales n.c.p."/>
    <n v="52500000"/>
    <s v="2-Implementar 100 % de la arquitectura TI conforme a las necesidades de la UAECOB"/>
    <s v="517-Implementar al 100% una estrategia de fortalecimiento de los sistemas de información para optimizar la gestión del Cuerpo Oficial de Bomberos"/>
    <s v="SI SECOP"/>
  </r>
  <r>
    <n v="2023678"/>
    <x v="2"/>
    <s v="O23011605560000007637 - Fortalecimiento de la infraestructura de tecnología informática y de comunicaciones de la UAECOB"/>
    <s v="Oficina Asesora de Planeación"/>
    <n v="80111600"/>
    <s v="Prestar Servicios Profesionales  con autonomía técnica y administrativa, en la administración, y gestión de  los sistemas de información y aplicativos con los que cuenta la UAE Cuerpo Oficial de Bomberos Bogotá. -TIC"/>
    <d v="2023-06-01T00:00:00"/>
    <d v="2023-06-15T00:00:00"/>
    <n v="6"/>
    <s v="CCE-16 Contratación directa "/>
    <x v="0"/>
    <s v="O232020200883990_Otros servicios profesionales, técnicos y empresariales n.c.p."/>
    <n v="39000000"/>
    <s v="2-Implementar 100 % de la arquitectura TI conforme a las necesidades de la UAECOB"/>
    <s v="517-Implementar al 100% una estrategia de fortalecimiento de los sistemas de información para optimizar la gestión del Cuerpo Oficial de Bomberos"/>
    <s v="SI SECOP"/>
  </r>
  <r>
    <n v="2023679"/>
    <x v="3"/>
    <s v="O23011602300000007658 - Fortalecimiento del Cuerpo Oficial de Bomberos Bogotá"/>
    <s v="Subdirección de Gestión del Riesgo"/>
    <n v="80111600"/>
    <s v="Prestar servicios de apoyo para la estructuracion y seguimiento de los procesos contractuales y demas aspectos juridicos de la Subdirección de Gestión del riesgo._SGR"/>
    <d v="2023-06-15T00:00:00"/>
    <d v="2023-06-14T00:00:00"/>
    <n v="8"/>
    <s v="CCE-16 Contratación directa "/>
    <x v="0"/>
    <s v="O232020200883990_Otros servicios profesionales, técnicos y empresariales n.c.p."/>
    <n v="296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680"/>
    <x v="3"/>
    <s v="O23011602300000007658 - Fortalecimiento del Cuerpo Oficial de Bomberos Bogotá"/>
    <s v="Subdirección de Gestión del Riesgo"/>
    <n v="80111600"/>
    <s v="Prestar servicios profesionales en las actividades de identificacion de escenarios a cargo de la Subdirección de Gestión del Riesgo._SGR"/>
    <d v="2023-06-23T00:00:00"/>
    <d v="2023-06-22T00:00:00"/>
    <n v="6"/>
    <s v="CCE-16 Contratación directa "/>
    <x v="0"/>
    <s v="O232020200883990_Otros servicios profesionales, técnicos y empresariales n.c.p."/>
    <n v="27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681"/>
    <x v="3"/>
    <s v="O23011602300000007658 - Fortalecimiento del Cuerpo Oficial de Bomberos Bogotá"/>
    <s v="Subdirección de Gestión del Riesgo"/>
    <n v="80111600"/>
    <s v="Prestar servicios profesionales para la estructuracion y seguimiento de los procesos contractuales y demas aspectos juridicos de la Subdirección de Gestión del riesgo._SGR"/>
    <d v="2023-05-23T00:00:00"/>
    <d v="2023-05-22T00:00:00"/>
    <n v="8"/>
    <s v="CCE-16 Contratación directa "/>
    <x v="0"/>
    <s v="O232020200883990_Otros servicios profesionales, técnicos y empresariales n.c.p."/>
    <n v="4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682"/>
    <x v="3"/>
    <s v="O23011602300000007658 - Fortalecimiento del Cuerpo Oficial de Bomberos Bogotá"/>
    <s v="Subdirección de Gestión del Riesgo"/>
    <n v="80111600"/>
    <s v="Prestar servicios profesionales en las actividades del MIPG de la Subdirección de Gestión del riesgo._SGR"/>
    <d v="2023-11-23T00:00:00"/>
    <d v="2023-11-28T00:00:00"/>
    <n v="1"/>
    <s v="CCE-16 Contratación directa "/>
    <x v="0"/>
    <s v="O232020200883990_Otros servicios profesionales, técnicos y empresariales n.c.p."/>
    <n v="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683"/>
    <x v="3"/>
    <s v="O23011602300000007658 - Fortalecimiento del Cuerpo Oficial de Bomberos Bogotá"/>
    <s v="Subdirección de Gestión del Riesgo"/>
    <n v="80111600"/>
    <s v="Adicion y prorroga contrato No 086-2023 _x000a_ Prestar servicios profesionales para las actividades de aglomeraciones de público y Eventos con Pirotecnia  desarrollados en el Distrito._SGR"/>
    <d v="2023-12-21T00:00:00"/>
    <d v="2023-12-20T00:00:00"/>
    <n v="1"/>
    <s v="CCE-16 Contratación directa "/>
    <x v="0"/>
    <s v="O232020200883990_Otros servicios profesionales, técnicos y empresariales n.c.p."/>
    <n v="48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NO SECOP"/>
  </r>
  <r>
    <n v="2023684"/>
    <x v="3"/>
    <s v="O23011602300000007658 - Fortalecimiento del Cuerpo Oficial de Bomberos Bogotá"/>
    <s v="Subdirección de Gestión del Riesgo"/>
    <n v="80111600"/>
    <s v="Adicion y prorroga contrato No 090-2023_x000a_ Apoyar las actividades de la Subdirección de Gestión del riesgo relacionadas con las aglomeraciones de público  y Eventos con Pirotecnia  desarrollados en el Distrito._SGR"/>
    <d v="2023-12-20T00:00:00"/>
    <d v="2023-12-19T00:00:00"/>
    <n v="1"/>
    <s v="CCE-16 Contratación directa "/>
    <x v="0"/>
    <s v="O232020200883990_Otros servicios profesionales, técnicos y empresariales n.c.p."/>
    <n v="335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NO SECOP"/>
  </r>
  <r>
    <n v="2023685"/>
    <x v="3"/>
    <s v="O23011602300000007658 - Fortalecimiento del Cuerpo Oficial de Bomberos Bogotá"/>
    <s v="Subdirección Logística"/>
    <n v="80111600"/>
    <s v="Prestación de servicios profesionales en la estructuración, definición y seguimiento de los aspectos técnicos y financieros de la gestión contractual a cargo de Subdirección Logística - SBLG"/>
    <d v="2023-05-30T00:00:00"/>
    <d v="2023-06-01T00:00:00"/>
    <n v="6"/>
    <s v="CCE-16 Contratación directa "/>
    <x v="0"/>
    <s v="O232020200883990_Otros servicios profesionales, técnicos y empresariales n.c.p."/>
    <n v="54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686"/>
    <x v="3"/>
    <s v="O23011602300000007658 - Fortalecimiento del Cuerpo Oficial de Bomberos Bogotá"/>
    <s v="Subdirección Logística"/>
    <n v="80111600"/>
    <s v="Adición y prorroga del Cto 441 de 2022 cuyo objeto es &quot; Prestar el servicio demantenimiento preventivo y correctivo, de latonería y pintura,incluyendo el suministro de repuestos, insumos y mano de obraespecializada para los vehículos pertenecientes al par"/>
    <d v="2023-05-15T00:00:00"/>
    <d v="2023-05-26T00:00:00"/>
    <n v="2"/>
    <s v="CCE-02 Licitación pública"/>
    <x v="0"/>
    <s v="O23202020088714199_Servicio de mantenimiento y reparación de vehículos automotores n.c.p."/>
    <n v="10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687"/>
    <x v="3"/>
    <s v="O23011602300000007658 - Fortalecimiento del Cuerpo Oficial de Bomberos Bogotá"/>
    <s v="Subdirección de Gestión del Riesgo"/>
    <n v="80111600"/>
    <s v="Prestar servicios profesionales en las actividades de Programas y Campañas de Prevención para la Subdirección de Gestión del Riesgo._SGR"/>
    <d v="2023-06-12T00:00:00"/>
    <d v="2023-06-11T00:00:00"/>
    <n v="5"/>
    <s v="CCE-16 Contratación directa "/>
    <x v="0"/>
    <s v="O232020200883990_Otros servicios profesionales, técnicos y empresariales n.c.p."/>
    <n v="225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688"/>
    <x v="1"/>
    <s v="Funcionamiento"/>
    <s v="Subdirección de Gestión Corporativa"/>
    <n v="80111600"/>
    <s v="Prestación de servicios profesionales en el acompañamiento y asistencia al área de gestión administrativa de la Subdirección de Gestión Corporativa, así como en el apoyo a la supervisión de los contratos que le sean asignados.-SGC"/>
    <d v="2023-06-01T00:00:00"/>
    <d v="2023-06-10T00:00:00"/>
    <n v="7"/>
    <s v="CCE-16 Contratación directa "/>
    <x v="0"/>
    <s v="N/A funcionamiento"/>
    <n v="42000000"/>
    <s v="N/A funcionamiento"/>
    <s v="N/A funcionamiento"/>
    <s v="SI SECOP"/>
  </r>
  <r>
    <n v="2023689"/>
    <x v="0"/>
    <s v="O23011605560000007655 - Fortalecimiento de la Planeación y Gestión de la UAECOB Bogotá"/>
    <s v="Subdirección de Gestión Corporativa"/>
    <n v="80111600"/>
    <s v="Prestación de servicios de apoyo a la gestión en la ejecución de los planes y programas de servicio al ciudadano a cargo de la Subdirección de Gestión Corporativa-SGC"/>
    <d v="2023-01-01T00:00:00"/>
    <d v="2023-01-15T00:00:00"/>
    <n v="11"/>
    <s v="CCE-16 Contratación directa "/>
    <x v="0"/>
    <s v="O232020200883990_Otros servicios profesionales, técnicos y empresariales n.c.p."/>
    <n v="17150000"/>
    <s v="1-Implementar 1 plan de ajuste y sostenibilidad del MIPG en la UAECOB"/>
    <s v="516-Gestionar el 100% de un (1) plan de adecuación y sostenibilidad de los sistemas de gestión de la Unidad Administrativa Especial Cuerpo Oficial de Bomberos"/>
    <s v="SI SECOP"/>
  </r>
  <r>
    <n v="2023690"/>
    <x v="0"/>
    <s v="O23011605560000007655 - Fortalecimiento de la Planeación y Gestión de la UAECOB Bogotá"/>
    <s v="Oficina Asesora de Planeación"/>
    <n v="80111600"/>
    <s v="Prestar servicios de apoyo a la gestión para actualizar y depurar el inventario de los elementos adquiridos por la Oficina Asesora de Planeación UAECOB-OAP"/>
    <d v="2023-06-01T00:00:00"/>
    <d v="2023-06-15T00:00:00"/>
    <n v="4"/>
    <s v="CCE-16 Contratación directa "/>
    <x v="0"/>
    <s v="O232020200883990_Otros servicios profesionales, técnicos y empresariales n.c.p."/>
    <n v="11238773"/>
    <s v="1-Implementar 1 plan de ajuste y sostenibilidad del MIPG en la UAECOB"/>
    <s v="516-Gestionar el 100% de un (1) plan de adecuación y sostenibilidad de los sistemas de gestión de la Unidad Administrativa Especial Cuerpo Oficial de Bomberos"/>
    <s v="SI SECOP"/>
  </r>
  <r>
    <n v="2023691"/>
    <x v="1"/>
    <s v="Funcionamiento"/>
    <s v="Oficina Asesora de Planeación"/>
    <n v="80111600"/>
    <s v="Prestación de servicios de apoyo asistencial para el desarrollo de actividades y procesos administrativos de la UAE Cuerpo Oficial de Bomberos"/>
    <d v="2023-06-01T00:00:00"/>
    <d v="2023-06-15T00:00:00"/>
    <n v="6"/>
    <s v="CCE-16 Contratación directa "/>
    <x v="0"/>
    <s v="O212020200883990_Otros servicios profesionales, técnicos y empresariales n.c.p."/>
    <n v="19800000"/>
    <s v="N/A funcionamiento"/>
    <s v="N/A funcionamiento"/>
    <s v="SI SECOP"/>
  </r>
  <r>
    <n v="2023692"/>
    <x v="3"/>
    <s v="O23011602300000007658 - Fortalecimiento del Cuerpo Oficial de Bomberos Bogotá"/>
    <s v="Subdirección Operativa"/>
    <n v="80111600"/>
    <s v="Prestar servicios profesionales a la Subdirección Operativa para apoyar y  gestionar las actividades relacionadas con el sistema de gestión de calidad y con el sistema de control interno. SO"/>
    <d v="2023-06-01T00:00:00"/>
    <d v="2023-06-15T00:00:00"/>
    <n v="8"/>
    <s v="CCE-16 Contratación directa "/>
    <x v="0"/>
    <s v="O232020200883990_Otros servicios profesionales, técnicos y empresariales n.c.p."/>
    <n v="336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693"/>
    <x v="3"/>
    <s v="O23011602300000007658 - Fortalecimiento del Cuerpo Oficial de Bomberos Bogotá"/>
    <s v="Subdirección Operativa"/>
    <n v="80111600"/>
    <s v="Prestación de servicios de apoyo a la gestión para ejecutar las actividades que dan  soporte al proceso de comunicaciones en emergencias, del Centro de Coordinación y Comunicaciones (C.C.C.) a cargo de la Subdirección Operativa. SO"/>
    <d v="2023-06-01T00:00:00"/>
    <d v="2023-06-15T00:00:00"/>
    <n v="8"/>
    <s v="CCE-16 Contratación directa "/>
    <x v="0"/>
    <s v="O232020200883990_Otros servicios profesionales, técnicos y empresariales n.c.p."/>
    <n v="1715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694"/>
    <x v="1"/>
    <s v="Funcionamiento"/>
    <s v="Subdirección de Gestión Corporativa"/>
    <s v="80161506;_x000a_811117;"/>
    <s v="Adición y prórroga No. 2 al contrato 409 de 2021 que tiene como objeto  &quot; Prestar los servicios para la administración integral, conservación y custodia del archivo central, incluyendo digitalización de documentos requeridos por la UAECOB -SGC"/>
    <d v="2023-01-16T00:00:00"/>
    <d v="2023-05-20T00:00:00"/>
    <n v="1"/>
    <s v="CCE-02 Licitación pública"/>
    <x v="0"/>
    <s v="N/A funcionamiento"/>
    <n v="5139234"/>
    <s v="N/A funcionamiento"/>
    <s v="N/A funcionamiento"/>
    <s v="NO SECOP"/>
  </r>
  <r>
    <n v="2023695"/>
    <x v="1"/>
    <s v="Funcionamiento"/>
    <s v="Subdirección de Gestión Humana"/>
    <n v="80111600"/>
    <s v="SGH - Prestar servicios profesionales para apoyar el seguimiento del sistema de gestión de seguridad y salud en el trabajo en la Subdirección de Gestión Humana."/>
    <d v="2023-05-20T00:00:00"/>
    <d v="2023-05-22T00:00:00"/>
    <n v="5"/>
    <s v="CCE-16 Contratación directa "/>
    <x v="0"/>
    <s v="N/A funcionamiento"/>
    <n v="19000000"/>
    <s v="N/A funcionamiento"/>
    <s v="N/A funcionamiento"/>
    <s v="NO SECOP"/>
  </r>
  <r>
    <n v="2023696"/>
    <x v="3"/>
    <s v="O23011602300000007658 - Fortalecimiento del Cuerpo Oficial de Bomberos Bogotá"/>
    <s v="Subdirección de Gestión Humana"/>
    <n v="80111600"/>
    <s v="SGH - Prestar servicios profesionales en el desarrollo de las actividades y de los diferentes procesos que tiene a cargo la Subdirección de Gestión Humana de la UAE Cuerpo Oficial de Bomberos de Bogotá."/>
    <d v="2023-06-20T00:00:00"/>
    <d v="2023-06-22T00:00:00"/>
    <n v="5"/>
    <s v="CCE-16 Contratación directa "/>
    <x v="0"/>
    <s v="O232020200883990_Otros servicios profesionales, técnicos y empresariales n.c.p."/>
    <n v="300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697"/>
    <x v="3"/>
    <s v="O23011602300000007658 - Fortalecimiento del Cuerpo Oficial de Bomberos Bogotá"/>
    <s v="Subdirección de Gestión Humana"/>
    <n v="80111600"/>
    <s v="SGH - Prestar servicios profesionales a la entidad para fortalecer y posicionar los diferentes programas asociados a la misionalidad de la UAECOB."/>
    <d v="2023-05-20T00:00:00"/>
    <d v="2023-05-22T00:00:00"/>
    <n v="7"/>
    <s v="CCE-16 Contratación directa "/>
    <x v="0"/>
    <s v="O232020200883990_Otros servicios profesionales, técnicos y empresariales n.c.p."/>
    <n v="550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698"/>
    <x v="3"/>
    <s v="O23011602300000007658 - Fortalecimiento del Cuerpo Oficial de Bomberos Bogotá"/>
    <s v="Subdirección de Gestión Humana"/>
    <n v="80111600"/>
    <s v="SGH - Prestar servicios de apoyo en el sistema de gestión de seguridad y salud en el trabajo en la Subdirección de Gestión Humana de la UAE Cuerpo Oficial de Bomberos."/>
    <d v="2023-05-20T00:00:00"/>
    <d v="2023-05-22T00:00:00"/>
    <n v="5"/>
    <s v="CCE-16 Contratación directa "/>
    <x v="0"/>
    <s v="O232020200883990_Otros servicios profesionales, técnicos y empresariales n.c.p."/>
    <n v="1656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699"/>
    <x v="3"/>
    <s v="O23011602300000007658 - Fortalecimiento del Cuerpo Oficial de Bomberos Bogotá"/>
    <s v="Subdirección de Gestión Humana"/>
    <n v="80111600"/>
    <s v="SGH - Prestar servicios profesionales para la implementación y seguimiento del sistema de gestión de seguridad y salud en el trabajo en la Subdirección de Gestión Humana."/>
    <d v="2023-05-20T00:00:00"/>
    <d v="2023-05-22T00:00:00"/>
    <n v="6"/>
    <s v="CCE-16 Contratación directa "/>
    <x v="0"/>
    <s v="O232020200883990_Otros servicios profesionales, técnicos y empresariales n.c.p."/>
    <n v="313115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00"/>
    <x v="3"/>
    <s v="O23011602300000007658 - Fortalecimiento del Cuerpo Oficial de Bomberos Bogotá"/>
    <s v="Subdirección de Gestión Humana"/>
    <n v="80111600"/>
    <s v="SGH - Prestar sus servicios profesionales en la Subdirección de Gestión Humana, en los procesos contractuales y demás actividades relacionadas con la Subdirección de Gestión Humana"/>
    <d v="2023-05-20T00:00:00"/>
    <d v="2023-05-22T00:00:00"/>
    <n v="5"/>
    <s v="CCE-16 Contratación directa "/>
    <x v="0"/>
    <s v="O232020200883990_Otros servicios profesionales, técnicos y empresariales n.c.p."/>
    <n v="195615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01"/>
    <x v="3"/>
    <s v="O23011602300000007658 - Fortalecimiento del Cuerpo Oficial de Bomberos Bogotá"/>
    <s v="Subdirección de Gestión Humana"/>
    <n v="80111600"/>
    <s v="SGH - Prestar de servicios profesionales para desarrollar actividades jurídicas en atención a los distintos requerimientos de la Subdirección de Gestión Humana."/>
    <d v="2023-05-20T00:00:00"/>
    <d v="2023-05-22T00:00:00"/>
    <n v="4"/>
    <s v="CCE-16 Contratación directa "/>
    <x v="0"/>
    <s v="O232020200883990_Otros servicios profesionales, técnicos y empresariales n.c.p."/>
    <n v="207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04"/>
    <x v="2"/>
    <s v="O23011605560000007637 - Fortalecimiento de la infraestructura de tecnología informática y de comunicaciones de la UAECOB"/>
    <s v="Oficina Asesora de Planeación"/>
    <n v="80111600"/>
    <s v="Adicion y prorroga del contrato No. 274 de 2023, cuyo objeto es: &quot;Prestar servicios profesionales para administrar los sistemas misionales, gestionar la apropiación del conocimiento, sus mantenimientos, actualizaciones e implementaciones del mismo&quot;"/>
    <d v="2023-07-03T00:00:00"/>
    <d v="2023-07-17T00:00:00"/>
    <n v="2"/>
    <s v="CCE-16 Contratación directa "/>
    <x v="0"/>
    <s v="O232020200883990_Otros servicios profesionales, técnicos y empresariales n.c.p."/>
    <n v="12000000"/>
    <s v="3-Habilitar 3 servicios ciudadanos digitales básicos en la UAECOB"/>
    <s v="517-Implementar al 100% una estrategia de fortalecimiento de los sistemas de información para optimizar la gestión del Cuerpo Oficial de Bomberos"/>
    <s v="SI SECOP"/>
  </r>
  <r>
    <n v="2023705"/>
    <x v="2"/>
    <s v="O23011605560000007637 - Fortalecimiento de la infraestructura de tecnología informática y de comunicaciones de la UAECOB"/>
    <s v="Oficina Asesora de Planeación"/>
    <n v="80111600"/>
    <s v="Prestar servicios profesionales para apoyar el portafolio de productos, servicios tecnológicos, gestión y administración de la herramienta de mesa de ayuda dispuesta por la UAE Cuerpo Oficial de Bomberos de Bogotá - TIC."/>
    <d v="2023-06-01T00:00:00"/>
    <d v="2023-06-15T00:00:00"/>
    <n v="5"/>
    <s v="CCE-16 Contratación directa "/>
    <x v="0"/>
    <s v="O232020200883990_Otros servicios profesionales, técnicos y empresariales n.c.p."/>
    <n v="21500000"/>
    <s v="2-Implementar 100 % de la arquitectura TI conforme a las necesidades de la UAECOB"/>
    <s v="517-Implementar al 100% una estrategia de fortalecimiento de los sistemas de información para optimizar la gestión del Cuerpo Oficial de Bomberos"/>
    <s v="SI SECOP"/>
  </r>
  <r>
    <n v="2023706"/>
    <x v="0"/>
    <s v="O23011605560000007655 - Fortalecimiento de la Planeación y Gestión de la UAECOB Bogotá"/>
    <s v="Subdirección de Gestión Humana"/>
    <n v="80111600"/>
    <s v="SGH - Prestar servicios de apoyo en la Subdirección de Gestión Humana de la UAE Cuerpo Oficial de Bomberos en el proceso de ausentismos del personal."/>
    <d v="2023-05-23T00:00:00"/>
    <d v="2023-05-26T00:00:00"/>
    <n v="6"/>
    <s v="CCE-16 Contratación directa "/>
    <x v="0"/>
    <s v="O232020200883990_Otros servicios profesionales, técnicos y empresariales n.c.p."/>
    <n v="18216000"/>
    <s v="1-Implementar 1 plan de ajuste y sostenibilidad del MIPG en la UAECOB"/>
    <s v="516-Gestionar el 100% de un (1) plan de adecuación y sostenibilidad de los sistemas de gestión de la Unidad Administrativa Especial Cuerpo Oficial de Bomberos"/>
    <s v="SI SECOP"/>
  </r>
  <r>
    <n v="2023707"/>
    <x v="0"/>
    <s v="O23011605560000007655 - Fortalecimiento de la Planeación y Gestión de la UAECOB Bogotá"/>
    <s v="Subdirección de Gestión Humana"/>
    <n v="80111600"/>
    <s v="SGH - Prestar servicios profesionales en  la Subdirección de Gestión Humana de la UAE Cuerpo Oficial de Bomberos de Bogotá D.C. en lo relacionado con los procesos de administración y aplicación de los instrumentos archivísticos vigentes en el archivo de g"/>
    <d v="2023-05-23T00:00:00"/>
    <d v="2023-05-26T00:00:00"/>
    <n v="5"/>
    <s v="CCE-16 Contratación directa "/>
    <x v="0"/>
    <s v="O232020200883990_Otros servicios profesionales, técnicos y empresariales n.c.p."/>
    <n v="21735000"/>
    <s v="1-Implementar 1 plan de ajuste y sostenibilidad del MIPG en la UAECOB"/>
    <s v="516-Gestionar el 100% de un (1) plan de adecuación y sostenibilidad de los sistemas de gestión de la Unidad Administrativa Especial Cuerpo Oficial de Bomberos"/>
    <s v="SI SECOP"/>
  </r>
  <r>
    <n v="2023708"/>
    <x v="0"/>
    <s v="O23011605560000007655 - Fortalecimiento de la Planeación y Gestión de la UAECOB Bogotá"/>
    <s v="Subdirección de Gestión Humana"/>
    <n v="80111600"/>
    <s v="SGH - Prestar servicios profesionales en la Subdirección de Gestión Humana de la UAE Cuerpo Oficial de Bomberos en temas de Administración de Personal."/>
    <d v="2023-05-23T00:00:00"/>
    <d v="2023-05-26T00:00:00"/>
    <n v="5"/>
    <s v="CCE-16 Contratación directa "/>
    <x v="0"/>
    <s v="O232020200883990_Otros servicios profesionales, técnicos y empresariales n.c.p."/>
    <n v="21735000"/>
    <s v="1-Implementar 1 plan de ajuste y sostenibilidad del MIPG en la UAECOB"/>
    <s v="516-Gestionar el 100% de un (1) plan de adecuación y sostenibilidad de los sistemas de gestión de la Unidad Administrativa Especial Cuerpo Oficial de Bomberos"/>
    <s v="SI SECOP"/>
  </r>
  <r>
    <n v="2023709"/>
    <x v="0"/>
    <s v="O23011605560000007655 - Fortalecimiento de la Planeación y Gestión de la UAECOB Bogotá"/>
    <s v="Subdirección de Gestión Humana"/>
    <n v="80111600"/>
    <s v="SGH - Prestar servicios profesionales en la Subdirección de Gestión Humana de la UAE Cuerpo Oficial de Bomberos en temas de liquidación de demandas y conciliaciones."/>
    <d v="2023-05-23T00:00:00"/>
    <d v="2023-05-26T00:00:00"/>
    <n v="5"/>
    <s v="CCE-16 Contratación directa "/>
    <x v="0"/>
    <s v="O232020200883990_Otros servicios profesionales, técnicos y empresariales n.c.p."/>
    <n v="19925000"/>
    <s v="1-Implementar 1 plan de ajuste y sostenibilidad del MIPG en la UAECOB"/>
    <s v="516-Gestionar el 100% de un (1) plan de adecuación y sostenibilidad de los sistemas de gestión de la Unidad Administrativa Especial Cuerpo Oficial de Bomberos"/>
    <s v="SI SECOP"/>
  </r>
  <r>
    <n v="2023710"/>
    <x v="0"/>
    <s v="O23011605560000007655 - Fortalecimiento de la Planeación y Gestión de la UAECOB Bogotá"/>
    <s v="Subdirección de Gestión Humana"/>
    <n v="80111600"/>
    <s v="SGH - Prestar servicios de apoyo en la Subdirección de Gestión Humana de la UAE Cuerpo Oficial de Bomberos"/>
    <d v="2023-05-23T00:00:00"/>
    <d v="2023-05-26T00:00:00"/>
    <n v="5"/>
    <s v="CCE-16 Contratación directa "/>
    <x v="0"/>
    <s v="O232020200883990_Otros servicios profesionales, técnicos y empresariales n.c.p."/>
    <n v="12375000"/>
    <s v="1-Implementar 1 plan de ajuste y sostenibilidad del MIPG en la UAECOB"/>
    <s v="516-Gestionar el 100% de un (1) plan de adecuación y sostenibilidad de los sistemas de gestión de la Unidad Administrativa Especial Cuerpo Oficial de Bomberos"/>
    <s v="SI SECOP"/>
  </r>
  <r>
    <n v="2023711"/>
    <x v="0"/>
    <s v="O23011605560000007655 - Fortalecimiento de la Planeación y Gestión de la UAECOB Bogotá"/>
    <s v="Subdirección de Gestión Humana"/>
    <n v="80111600"/>
    <s v="SGH - Prestar sus servicios profesionales en el proceso de liquidación de demandas y conciliaciones administrativas para la Subdirección de Gestión Humana de la UAE Cuerpo Oficial de Bomberos."/>
    <d v="2023-05-23T00:00:00"/>
    <d v="2023-05-26T00:00:00"/>
    <n v="5"/>
    <s v="CCE-16 Contratación directa "/>
    <x v="0"/>
    <s v="O232020200883990_Otros servicios profesionales, técnicos y empresariales n.c.p."/>
    <n v="22950000"/>
    <s v="1-Implementar 1 plan de ajuste y sostenibilidad del MIPG en la UAECOB"/>
    <s v="516-Gestionar el 100% de un (1) plan de adecuación y sostenibilidad de los sistemas de gestión de la Unidad Administrativa Especial Cuerpo Oficial de Bomberos"/>
    <s v="SI SECOP"/>
  </r>
  <r>
    <n v="2023712"/>
    <x v="0"/>
    <s v="O23011605560000007655 - Fortalecimiento de la Planeación y Gestión de la UAECOB Bogotá"/>
    <s v="Subdirección de Gestión Humana"/>
    <n v="80111600"/>
    <s v="SGH - Prestar sus servicios profesionales en comunicación interna y externa referente a temas de la Escuela de formación Bomberil y del sistema de gestión de seguridad y salud en el trabajo."/>
    <d v="2023-05-23T00:00:00"/>
    <d v="2023-05-26T00:00:00"/>
    <n v="4"/>
    <s v="CCE-16 Contratación directa "/>
    <x v="0"/>
    <s v="O232020200883990_Otros servicios profesionales, técnicos y empresariales n.c.p."/>
    <n v="16000000"/>
    <s v="1-Implementar 1 plan de ajuste y sostenibilidad del MIPG en la UAECOB"/>
    <s v="516-Gestionar el 100% de un (1) plan de adecuación y sostenibilidad de los sistemas de gestión de la Unidad Administrativa Especial Cuerpo Oficial de Bomberos"/>
    <s v="SI SECOP"/>
  </r>
  <r>
    <n v="2023713"/>
    <x v="0"/>
    <s v="O23011605560000007655 - Fortalecimiento de la Planeación y Gestión de la UAECOB Bogotá"/>
    <s v="Subdirección de Gestión Humana"/>
    <n v="80111600"/>
    <s v="Adición y prórroga al contrato No. 348 de 2023, cuyo objeto es &quot;SGH - Prestar sus servicios profesionales en la gestión contractual y presupuestal de la Subdirección de Gestión Humana de la UAE Cuerpo Oficial de Bomberos&quot;."/>
    <d v="2023-09-10T00:00:00"/>
    <d v="2023-09-11T00:00:00"/>
    <n v="2"/>
    <s v="CCE-16 Contratación directa "/>
    <x v="0"/>
    <s v="O232020200883990_Otros servicios profesionales, técnicos y empresariales n.c.p."/>
    <n v="3694000"/>
    <s v="1-Implementar 1 plan de ajuste y sostenibilidad del MIPG en la UAECOB"/>
    <s v="516-Gestionar el 100% de un (1) plan de adecuación y sostenibilidad de los sistemas de gestión de la Unidad Administrativa Especial Cuerpo Oficial de Bomberos"/>
    <s v="SI SECOP"/>
  </r>
  <r>
    <n v="2023714"/>
    <x v="3"/>
    <s v="O23011602300000007658 - Fortalecimiento del Cuerpo Oficial de Bomberos Bogotá"/>
    <s v="Subdirección de Gestión Humana"/>
    <n v="80111600"/>
    <s v="SGH -Prestar sus servicios profesionales en la Subdirección de Gestión Humana, en la administración de sistema de seguridad y salud en el trabajo"/>
    <d v="2023-05-23T00:00:00"/>
    <d v="2023-05-26T00:00:00"/>
    <n v="6"/>
    <s v="CCE-16 Contratación directa "/>
    <x v="0"/>
    <s v="O232020200883990_Otros servicios profesionales, técnicos y empresariales n.c.p."/>
    <n v="313115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15"/>
    <x v="3"/>
    <s v="O23011602300000007658 - Fortalecimiento del Cuerpo Oficial de Bomberos Bogotá"/>
    <s v="Subdirección de Gestión Humana"/>
    <n v="80111600"/>
    <s v="SGH - Prestar servicios profesionales para apoyar el programa de vigilancia epidemiológico al riesgo psicosocial y actividades de seguridad y salud en el trabajo en la Subdirección de Gestión Humana."/>
    <d v="2023-05-23T00:00:00"/>
    <d v="2023-05-26T00:00:00"/>
    <n v="5"/>
    <s v="CCE-16 Contratación directa "/>
    <x v="0"/>
    <s v="O232020200883990_Otros servicios profesionales, técnicos y empresariales n.c.p."/>
    <n v="232875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16"/>
    <x v="3"/>
    <s v="O23011602300000007658 - Fortalecimiento del Cuerpo Oficial de Bomberos Bogotá"/>
    <s v="Subdirección de Gestión Humana"/>
    <n v="80111600"/>
    <s v="SGH - Prestar servicios de apoyo a la gestión en la Subdirección de Gestión Humana en las diferentes actividades logísticas relacionadas con  el proceso de Academia."/>
    <d v="2023-05-23T00:00:00"/>
    <d v="2023-05-26T00:00:00"/>
    <n v="5"/>
    <s v="CCE-16 Contratación directa "/>
    <x v="0"/>
    <s v="O232020200883990_Otros servicios profesionales, técnicos y empresariales n.c.p."/>
    <n v="11025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17"/>
    <x v="3"/>
    <s v="O23011602300000007658 - Fortalecimiento del Cuerpo Oficial de Bomberos Bogotá"/>
    <s v="Subdirección de Gestión Humana"/>
    <n v="80111600"/>
    <s v="SGH - Prestar de servicios profesionales para desarrollar actividades jurídicas relacionadas con la academia bomberil, recobro de incapacidades y procesos administrativos de la Subdirección de Gestión Humana."/>
    <d v="2023-05-23T00:00:00"/>
    <d v="2023-05-26T00:00:00"/>
    <n v="4"/>
    <s v="CCE-16 Contratación directa "/>
    <x v="0"/>
    <s v="O232020200883990_Otros servicios profesionales, técnicos y empresariales n.c.p."/>
    <n v="207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18"/>
    <x v="3"/>
    <s v="O23011602300000007658 - Fortalecimiento del Cuerpo Oficial de Bomberos Bogotá"/>
    <s v="Subdirección de Gestión Humana"/>
    <n v="80111600"/>
    <s v="SGH - Prestar servicios profesionales para el fortalecimiento transversal del sistema de seguridad y salud en el trabajo."/>
    <d v="2023-05-23T00:00:00"/>
    <d v="2023-05-26T00:00:00"/>
    <n v="4"/>
    <s v="CCE-16 Contratación directa "/>
    <x v="0"/>
    <s v="O232020200883990_Otros servicios profesionales, técnicos y empresariales n.c.p."/>
    <n v="207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19"/>
    <x v="3"/>
    <s v="O23011602300000007658 - Fortalecimiento del Cuerpo Oficial de Bomberos Bogotá"/>
    <s v="Subdirección de Gestión Humana"/>
    <n v="80111600"/>
    <s v="SGH - Prestar servicios profesionales para apoyar el programa de desórdenes musculoesqueléticos de la UAE Cuerpo Oficial de Bomberos de Bogotá."/>
    <d v="2023-05-23T00:00:00"/>
    <d v="2023-05-26T00:00:00"/>
    <n v="5"/>
    <s v="CCE-16 Contratación directa "/>
    <x v="0"/>
    <s v="O232020200883990_Otros servicios profesionales, técnicos y empresariales n.c.p."/>
    <n v="17325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20"/>
    <x v="3"/>
    <s v="O23011602300000007658 - Fortalecimiento del Cuerpo Oficial de Bomberos Bogotá"/>
    <s v="Subdirección de Gestión Humana"/>
    <n v="80111600"/>
    <s v="SGH - Prestar servicios de apoyo a la gestión en la Subdirección de Gestión Humana en las diferentes actividades logísticas relacionadas con  el proceso de Academia."/>
    <d v="2023-05-23T00:00:00"/>
    <d v="2023-05-26T00:00:00"/>
    <n v="4"/>
    <s v="CCE-16 Contratación directa "/>
    <x v="0"/>
    <s v="O232020200883990_Otros servicios profesionales, técnicos y empresariales n.c.p."/>
    <n v="98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21"/>
    <x v="3"/>
    <s v="O23011602300000007658 - Fortalecimiento del Cuerpo Oficial de Bomberos Bogotá"/>
    <s v="Subdirección de Gestión Humana"/>
    <n v="80111600"/>
    <s v="SGH - Prestar de servicios profesionales para desarrollar actividades jurídicas relacionados con los procesos contractuales a cargo de la Subdirección de Gestión Humana."/>
    <d v="2023-05-23T00:00:00"/>
    <d v="2023-05-26T00:00:00"/>
    <n v="5"/>
    <s v="CCE-16 Contratación directa "/>
    <x v="0"/>
    <s v="O232020200883990_Otros servicios profesionales, técnicos y empresariales n.c.p."/>
    <n v="232875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22"/>
    <x v="3"/>
    <s v="O23011602300000007658 - Fortalecimiento del Cuerpo Oficial de Bomberos Bogotá"/>
    <s v="Subdirección de Gestión Humana"/>
    <n v="80111600"/>
    <s v="SGH - Prestar de servicios profesionales para desarrollar actividades jurídicas en atención a los distintos requerimientos de la Subdirección de Gestión Humana."/>
    <d v="2023-05-23T00:00:00"/>
    <d v="2023-05-26T00:00:00"/>
    <n v="5"/>
    <s v="CCE-16 Contratación directa "/>
    <x v="0"/>
    <s v="O232020200883990_Otros servicios profesionales, técnicos y empresariales n.c.p."/>
    <n v="3000000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23"/>
    <x v="1"/>
    <s v="Funcionamiento"/>
    <s v="Subdirección de Gestión Humana"/>
    <s v="80111600"/>
    <s v="SGH - Prestar servicios de apoyo a la gestión en cumplimiento de los planes institucionales de la Subdirección de Gestión Humana específicamente para desarrollo organizacional."/>
    <d v="2023-05-23T00:00:00"/>
    <d v="2023-05-26T00:00:00"/>
    <n v="5"/>
    <s v="CCE-16 Contratación directa "/>
    <x v="0"/>
    <s v="N/A funcionamiento"/>
    <n v="11025000"/>
    <s v="N/A funcionamiento"/>
    <s v="N/A funcionamiento"/>
    <s v="SI SECOP"/>
  </r>
  <r>
    <n v="2023724"/>
    <x v="1"/>
    <s v="Funcionamiento"/>
    <s v="Subdirección de Gestión Humana"/>
    <n v="80111600"/>
    <s v="SGH - Prestar sus servicios profesionales en la Subdirección de Gestión Humana en el proceso de liquidación de demandas y conciliaciones administrativas."/>
    <d v="2023-07-27T00:00:00"/>
    <d v="2023-08-01T00:00:00"/>
    <n v="3"/>
    <s v="CCE-16 Contratación directa "/>
    <x v="0"/>
    <s v="N/A funcionamiento"/>
    <n v="11000000"/>
    <s v="N/A funcionamiento"/>
    <s v="N/A funcionamiento"/>
    <s v="SI SECOP"/>
  </r>
  <r>
    <n v="2023725"/>
    <x v="1"/>
    <s v="Funcionamiento"/>
    <s v="Subdirección de Gestión Humana"/>
    <n v="80111600"/>
    <s v="SGH - Prestar servicios profesionales en la Subdirección de Gestión Humana de la UAE Cuerpo Oficial de Bomberos en temas de liquidación de demandas y conciliaciones."/>
    <d v="2023-05-23T00:00:00"/>
    <d v="2023-05-26T00:00:00"/>
    <n v="5"/>
    <s v="CCE-16 Contratación directa "/>
    <x v="0"/>
    <s v="N/A funcionamiento"/>
    <n v="17100000"/>
    <s v="N/A funcionamiento"/>
    <s v="N/A funcionamiento"/>
    <s v="SI SECOP"/>
  </r>
  <r>
    <n v="2023726"/>
    <x v="1"/>
    <s v="Funcionamiento"/>
    <s v="Subdirección de Gestión Humana"/>
    <n v="80111600"/>
    <s v="SGH - Ejecutar actividades de apoyo a la gestión en  la Subdirección de Gestión Humana de la UAE Cuerpo Oficial de Bomberos de Bogotá D.C. en lo relacionado con los procesos de actualización, custodia y manejo del archivo de gestión de la Subdirección."/>
    <d v="2023-05-23T00:00:00"/>
    <d v="2023-05-26T00:00:00"/>
    <n v="5"/>
    <s v="CCE-16 Contratación directa "/>
    <x v="0"/>
    <s v="N/A funcionamiento"/>
    <n v="13972500"/>
    <s v="N/A funcionamiento"/>
    <s v="N/A funcionamiento"/>
    <s v="SI SECOP"/>
  </r>
  <r>
    <n v="2023727"/>
    <x v="1"/>
    <s v="Funcionamiento"/>
    <s v="Subdirección de Gestión Humana"/>
    <n v="80111600"/>
    <s v="SGH - Prestar servicios de apoyo a los procesos de la Subdirección de Gestión Humana de la UAE Cuerpo Oficial de Bomberos."/>
    <d v="2023-05-23T00:00:00"/>
    <d v="2023-05-26T00:00:00"/>
    <n v="5"/>
    <s v="CCE-16 Contratación directa "/>
    <x v="0"/>
    <s v="N/A funcionamiento"/>
    <n v="14000000"/>
    <s v="N/A funcionamiento"/>
    <s v="N/A funcionamiento"/>
    <s v="SI SECOP"/>
  </r>
  <r>
    <n v="2023728"/>
    <x v="1"/>
    <s v="Funcionamiento"/>
    <s v="Subdirección de Gestión Humana"/>
    <n v="80111600"/>
    <s v="SGH - Prestar servicios de apoyo a los procesos de la Subdirección de Gestión Humana de la UAE Cuerpo Oficial de Bomberos."/>
    <d v="2023-05-23T00:00:00"/>
    <d v="2023-05-26T00:00:00"/>
    <n v="4"/>
    <s v="CCE-16 Contratación directa "/>
    <x v="0"/>
    <s v="N/A funcionamiento"/>
    <n v="9800000"/>
    <s v="N/A funcionamiento"/>
    <s v="N/A funcionamiento"/>
    <s v="SI SECOP"/>
  </r>
  <r>
    <n v="2023729"/>
    <x v="1"/>
    <s v="Funcionamiento"/>
    <s v="Subdirección de Gestión Humana"/>
    <n v="80111600"/>
    <s v="SGH - Prestar servicios profesionales para apoyar el sistema de seguridad y salud en el trabajo en la Subdirección de Gestión Humana."/>
    <d v="2023-05-23T00:00:00"/>
    <d v="2023-05-26T00:00:00"/>
    <n v="4"/>
    <s v="CCE-16 Contratación directa "/>
    <x v="0"/>
    <s v="N/A funcionamiento"/>
    <n v="15200000"/>
    <s v="N/A funcionamiento"/>
    <s v="N/A funcionamiento"/>
    <s v="SI SECOP"/>
  </r>
  <r>
    <n v="2023730"/>
    <x v="0"/>
    <s v="O23011605560000007655 - Fortalecimiento de la Planeación y Gestión de la UAECOB Bogotá"/>
    <s v="Subdirección de Gestión Corporativa"/>
    <n v="80111600"/>
    <s v="Adición No.1 al contrato 353 de 2023 que tiene como objeto &quot;Prestar los servicios profesionales para la gestión administrativa y operativa de la Subdirección de Gestión Corporativa en el proceso de adquisición de bienes y servicios-SGC"/>
    <d v="2023-05-25T00:00:00"/>
    <d v="2023-06-01T00:00:00"/>
    <n v="7"/>
    <s v="CCE-16 Contratación directa "/>
    <x v="0"/>
    <s v="O232020200883990_Otros servicios profesionales, técnicos y empresariales n.c.p."/>
    <n v="5146960"/>
    <s v="1-Implementar 1 plan de ajuste y sostenibilidad del MIPG en la UAECOB"/>
    <s v="516-Gestionar el 100% de un (1) plan de adecuación y sostenibilidad de los sistemas de gestión de la Unidad Administrativa Especial Cuerpo Oficial de Bomberos"/>
    <s v="NO SECOP"/>
  </r>
  <r>
    <n v="2023731"/>
    <x v="3"/>
    <s v="O23011602300000007658 - Fortalecimiento del Cuerpo Oficial de Bomberos Bogotá"/>
    <s v="Subdirección de Gestión Corporativa"/>
    <s v="81101500;_x000a_80101600"/>
    <s v=" Adición y prórroga No. 1 al contrato 510 de 2022  que tiene como objeto &quot;Elaboración de estudios y diseños técnicos para la construcción de la estación de bomberos de Caobos Salazar B-13 de la UAE Cuerpo Oficial de Bomberos de Bogotá – SGC"/>
    <d v="2023-05-29T00:00:00"/>
    <d v="2023-06-01T00:00:00"/>
    <s v="N/A"/>
    <s v="CCE-20 Concurso de méritos abierto"/>
    <x v="0"/>
    <s v="O2320202005040554590_Otros servicios especializados de la construcción "/>
    <n v="58882570"/>
    <s v="4-Adecuar seis (6) estaciones de Bomberos"/>
    <s v="226-Reforzar, Adecuar y Ampliar  6 estaciones de Bomberos"/>
    <s v="NO SECOP"/>
  </r>
  <r>
    <n v="2023732"/>
    <x v="3"/>
    <s v="O23011602300000007658 - Fortalecimiento del Cuerpo Oficial de Bomberos Bogotá"/>
    <s v="Subdirección de Gestión Corporativa"/>
    <s v="80101600;_x000a_81101500;_x000a_72101500;_x000a_72121400;"/>
    <s v="Adición y prórroga No. 1 al contrato 537 de 2022  que tiene como objeto &quot;Interventoría técnica, administrativa, financiera, contable, jurídica y ambiental para la elaboración de estudios y diseños técnicos para la construcción de la estación de Bomberos d"/>
    <d v="2023-05-29T00:00:00"/>
    <d v="2023-06-01T00:00:00"/>
    <n v="2"/>
    <s v="CCE-20 Concurso de méritos abierto"/>
    <x v="0"/>
    <s v="O2320202005040554590_Otros servicios especializados de la construcción "/>
    <n v="18021210"/>
    <s v="4-Adecuar seis (6) estaciones de Bomberos"/>
    <s v="226-Reforzar, Adecuar y Ampliar  6 estaciones de Bomberos"/>
    <s v="NO SECOP"/>
  </r>
  <r>
    <n v="2023734"/>
    <x v="0"/>
    <s v="O23011605560000007655 - Fortalecimiento de la Planeación y Gestión de la UAECOB Bogotá"/>
    <s v="Subdirección de Gestión Humana"/>
    <n v="80111600"/>
    <s v="SGH - Prestar de servicios profesionales para desarrollar actividades jurídicas relacionadas con los diferentes procesos administrativos de la Subdirección de Gestión Humana."/>
    <d v="2023-06-01T00:00:00"/>
    <d v="2023-06-04T00:00:00"/>
    <n v="5"/>
    <s v="CCE-16 Contratación directa "/>
    <x v="0"/>
    <s v="O232020200883990_Otros servicios profesionales, técnicos y empresariales n.c.p."/>
    <n v="22500000"/>
    <s v="1-Implementar 1 plan de ajuste y sostenibilidad del MIPG en la UAECOB"/>
    <s v="516-Gestionar el 100% de un (1) plan de adecuación y sostenibilidad de los sistemas de gestión de la Unidad Administrativa Especial Cuerpo Oficial de Bomberos"/>
    <s v="SI SECOP"/>
  </r>
  <r>
    <n v="2023735"/>
    <x v="3"/>
    <s v="O23011602300000007658 - Fortalecimiento del Cuerpo Oficial de Bomberos Bogotá"/>
    <s v="Subdirección Operativa"/>
    <n v="80111600"/>
    <s v="Prestación de servicios profesionales de carácter administrativo y financiero en el marco de los procesos y procedimientos a cargo de la Subdirección Operativa - SO"/>
    <d v="2023-06-01T00:00:00"/>
    <d v="2023-06-15T00:00:00"/>
    <n v="7"/>
    <s v="CCE-16 Contratación directa "/>
    <x v="0"/>
    <s v="O232020200883990_Otros servicios profesionales, técnicos y empresariales n.c.p."/>
    <n v="33600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736"/>
    <x v="3"/>
    <s v="O23011602300000007658 - Fortalecimiento del Cuerpo Oficial de Bomberos Bogotá"/>
    <s v="Subdirección de Gestión Corporativa"/>
    <s v="72121400;72151700;95121700"/>
    <s v="Adición y Prórroga No. 2 al contrato 683 de 2021 que tiene como objeto&quot;Construcción de la Ampliación y Reforzamiento Estructural de la Estaciónde Bomberos de Marichuela.-SGC"/>
    <d v="2023-05-30T00:00:00"/>
    <d v="2023-06-01T00:00:00"/>
    <n v="3"/>
    <s v="CCE-02 Licitación pública"/>
    <x v="1"/>
    <s v="O2320202005040554590_Otros servicios especializados de la construcción "/>
    <n v="778415902"/>
    <s v="4-Adecuar seis (6) estaciones de Bomberos"/>
    <s v="226-Reforzar, Adecuar y Ampliar  6 estaciones de Bomberos"/>
    <s v="NO SECOP"/>
  </r>
  <r>
    <n v="2023737"/>
    <x v="3"/>
    <s v="O23011602300000007658 - Fortalecimiento del Cuerpo Oficial de Bomberos Bogotá"/>
    <s v="Subdirección de Gestión Corporativa"/>
    <s v="72121400;_x000a_72151700;_x000a_95121700;"/>
    <s v="Adición y Prórroga No. 2 al contrato 683 de 2021 que tiene como objeto&quot;Construcción de la Ampliación y Reforzamiento Estructural de la Estación de Bomberos de Marichuela.-SGC"/>
    <d v="2023-05-30T00:00:00"/>
    <d v="2023-06-01T00:00:00"/>
    <n v="3"/>
    <s v="CCE-02 Licitación pública"/>
    <x v="0"/>
    <s v="O2320202005040554590_Otros servicios especializados de la construcción "/>
    <n v="321584098"/>
    <s v="4-Adecuar seis (6) estaciones de Bomberos"/>
    <s v="226-Reforzar, Adecuar y Ampliar  6 estaciones de Bomberos"/>
    <s v="NO SECOP"/>
  </r>
  <r>
    <n v="2023738"/>
    <x v="3"/>
    <s v="O23011602300000007658 - Fortalecimiento del Cuerpo Oficial de Bomberos Bogotá"/>
    <s v="Subdirección de Gestión Corporativa"/>
    <s v="80101600;_x000a_81101500;_x000a_72101500;_x000a_72121400;"/>
    <s v="Adición y prórroga No. 3 al contrato 690 de 2021 que tiene como objeto &quot;Interventoría técnica, administrativa, financiera, contable, jurídica y ambiental para la Construcción de la ampliación y reforzamiento estructural de la estación de bomberos de Maric"/>
    <d v="2023-05-30T00:00:00"/>
    <d v="2023-06-01T00:00:00"/>
    <n v="3"/>
    <s v="CCE-20 Concurso de méritos abierto"/>
    <x v="0"/>
    <s v="O2320202005040554590_Otros servicios especializados de la construcción "/>
    <n v="133252428"/>
    <s v="4-Adecuar seis (6) estaciones de Bomberos"/>
    <s v="226-Reforzar, Adecuar y Ampliar  6 estaciones de Bomberos"/>
    <s v="NO SECOP"/>
  </r>
  <r>
    <n v="2023739"/>
    <x v="2"/>
    <s v="O23011605560000007637 - Fortalecimiento de la infraestructura de tecnología informática y de comunicaciones de la UAECOB"/>
    <s v="Oficina Asesora de Planeación"/>
    <s v="72101500;73152100"/>
    <s v="Pago pasivo exigible del contrato 705 de 2021 cuyo objeto es &quot;Contratar el servicio de Mantenimiento de aires acondicionados de la UAECOB&quot;"/>
    <d v="2023-06-01T00:00:00"/>
    <d v="2023-06-30T00:00:00"/>
    <n v="1"/>
    <s v="CCE-10 Mínima cuantía"/>
    <x v="3"/>
    <s v="O232020200883132_Servicios de soporte en tecnologías de la información (TI)"/>
    <n v="4908114"/>
    <s v="2-Implementar 100 % de la arquitectura TI conforme a las necesidades de la UAECOB"/>
    <s v="517-Implementar al 100% una estrategia de fortalecimiento de los sistemas de información para optimizar la gestión del Cuerpo Oficial de Bomberos"/>
    <s v="NO SECOP"/>
  </r>
  <r>
    <n v="2023740"/>
    <x v="1"/>
    <s v="Funcionamiento"/>
    <s v="Subdirección de Gestión Humana"/>
    <n v="84131600"/>
    <s v="Prórroga al contrato No. 450 de 2021, cuyo objeto es &quot;Seleccionar una administradora de riesgos laborales (ARL) para la prevención, atención de accidentes de trabajo, enfermedades laborales de los funcionarios y contratistas de la Unidad Administrativa Es"/>
    <d v="2023-07-30T00:00:00"/>
    <d v="2023-07-30T00:00:00"/>
    <n v="24"/>
    <s v="CCE-20 Concurso de méritos abierto"/>
    <x v="0"/>
    <s v="N/A funcionamiento"/>
    <n v="0"/>
    <s v="N/A funcionamiento"/>
    <s v="N/A funcionamiento"/>
    <s v="NO SECOP"/>
  </r>
  <r>
    <n v="2023741"/>
    <x v="2"/>
    <s v="O23011605560000007637 - Fortalecimiento de la infraestructura de tecnología informática y de comunicaciones de la UAECOB"/>
    <s v="Oficina Asesora de Planeación"/>
    <s v="81112400; 81112300;81112500;81112200"/>
    <s v="Contratar el alquiler de Tablets y portátil especializado para la UAE Cuerpo Oficial de Bomberos Bogotá - TIC"/>
    <d v="2023-10-10T00:00:00"/>
    <d v="2023-11-24T00:00:00"/>
    <n v="9"/>
    <s v="CCE-07 Selección abreviada subasta inversa"/>
    <x v="0"/>
    <s v="O232020200883159_Otros servicios de alojamiento y suministro de infraestructura en tecnología de la información (TI)"/>
    <n v="100000000"/>
    <s v="2-Implementar 100 % de la arquitectura TI conforme a las necesidades de la UAECOB"/>
    <s v="517-Implementar al 100% una estrategia de fortalecimiento de los sistemas de información para optimizar la gestión del Cuerpo Oficial de Bomberos"/>
    <s v="SI SECOP"/>
  </r>
  <r>
    <n v="2023742"/>
    <x v="1"/>
    <s v="Funcionamiento"/>
    <s v="Oficina Asesora de Planeación"/>
    <n v="80111600"/>
    <s v="Prestar los servicios profesionales jurídicos para apoyar las actividades propias de la gestión contractual que adelanta la UAE Cuerpo Oficial de Bomberos"/>
    <d v="2023-06-01T00:00:00"/>
    <d v="2023-06-15T00:00:00"/>
    <n v="5"/>
    <s v="CCE-16 Contratación directa "/>
    <x v="0"/>
    <s v="O21202020080282199_Otros servicios jurídicos n.c.p."/>
    <n v="25000000"/>
    <s v="N/A funcionamiento"/>
    <s v="N/A funcionamiento"/>
    <s v="SI SECOP"/>
  </r>
  <r>
    <n v="2023743"/>
    <x v="3"/>
    <s v="O23011602300000007658 - Fortalecimiento del Cuerpo Oficial de Bomberos Bogotá"/>
    <s v="Subdirección Logística"/>
    <n v="80111600"/>
    <s v="Prestación de servicios de apoyo a la gestión de los procesos a cargo de la Subdirección Logística - SBLG"/>
    <d v="2023-05-16T00:00:00"/>
    <d v="2023-05-30T00:00:00"/>
    <n v="5"/>
    <s v="CCE-16 Contratación directa "/>
    <x v="0"/>
    <s v="O232020200883990_Otros servicios profesionales, técnicos y empresariales n.c.p."/>
    <n v="9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744"/>
    <x v="0"/>
    <s v="O23011605560000007655 - Fortalecimiento de la Planeación y Gestión de la UAECOB Bogotá"/>
    <s v="Subdirección de Gestión del Riesgo"/>
    <n v="80111600"/>
    <s v="Prestar servicios de apoyo a la gestión en las actividades de soporte operacional de la UAECOB._SGR"/>
    <d v="2023-06-01T00:00:00"/>
    <d v="2023-06-10T00:00:00"/>
    <n v="5"/>
    <s v="CCE-16 Contratación directa "/>
    <x v="0"/>
    <s v="O232020200883990_Otros servicios profesionales, técnicos y empresariales n.c.p."/>
    <n v="0"/>
    <s v="1-Implementar 1 plan de ajuste y sostenibilidad del MIPG en la UAECOB"/>
    <s v="516-Gestionar el 100% de un (1) plan de adecuación y sostenibilidad de los sistemas de gestión de la Unidad Administrativa Especial Cuerpo Oficial de Bomberos"/>
    <s v="SI SECOP"/>
  </r>
  <r>
    <n v="2023745"/>
    <x v="3"/>
    <s v="O23011602300000007658 - Fortalecimiento del Cuerpo Oficial de Bomberos Bogotá"/>
    <s v="Subdirección de Gestión Humana"/>
    <n v="80111600"/>
    <s v="SGH - Prestar de servicios profesionales para desarrollar actividades jurídicas relacionadas con los diferentes requerimientos administrativos y contractuales de la Subdirección de Gestión Humana."/>
    <d v="2023-06-15T00:00:00"/>
    <d v="2023-06-18T00:00:00"/>
    <n v="4"/>
    <s v="CCE-16 Contratación directa "/>
    <x v="0"/>
    <s v="O232020200883990_Otros servicios profesionales, técnicos y empresariales n.c.p."/>
    <n v="0"/>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46"/>
    <x v="0"/>
    <s v="O23011605560000007655 - Fortalecimiento de la Planeación y Gestión de la UAECOB Bogotá"/>
    <s v="Dirección"/>
    <n v="80111600"/>
    <s v="Adicion y Prorroga al contrato No. 327 de 2023 Cuyo objeto es: &quot;Prestar servicios profesionales para asesorar a la Dirección General en las estrategias de fortalecimiento de los procesos y procedimientos, de sostenibilidad, planes y programas que sean req"/>
    <d v="2023-08-15T00:00:00"/>
    <d v="2023-08-31T00:00:00"/>
    <n v="2"/>
    <s v="CCE-16 Contratación directa "/>
    <x v="0"/>
    <s v="O232020200883990_Otros servicios profesionales, técnicos y empresariales n.c.p."/>
    <n v="18640000"/>
    <s v="1-Implementar 1 plan de ajuste y sostenibilidad del MIPG en la UAECOB"/>
    <s v="516-Gestionar el 100% de un (1) plan de adecuación y sostenibilidad de los sistemas de gestión de la Unidad Administrativa Especial Cuerpo Oficial de Bomberos"/>
    <s v="NO SECOP"/>
  </r>
  <r>
    <n v="2023747"/>
    <x v="1"/>
    <s v="Funcionamiento"/>
    <s v="Oficina Jurídica"/>
    <n v="80111600"/>
    <s v="Adición y prórroga al contrato 64 de 2023 cuyo objeto es: &quot;Prestar los servicios profesionales jurídicos para apoyar las actuaciones procesales y procedimentales de la Oficina Jurídica&quot;"/>
    <d v="2023-07-15T00:00:00"/>
    <d v="2023-07-15T00:00:00"/>
    <n v="1"/>
    <s v="CCE-16 Contratación directa "/>
    <x v="0"/>
    <s v="N/A funcionamiento"/>
    <n v="6000000"/>
    <s v="N/A funcionamiento"/>
    <s v="N/A funcionamiento"/>
    <s v="NO SECOP"/>
  </r>
  <r>
    <n v="2023748"/>
    <x v="0"/>
    <s v="O23011605560000007655 - Fortalecimiento de la Planeación y Gestión de la UAECOB Bogotá"/>
    <s v="Oficina Jurídica"/>
    <n v="80111600"/>
    <s v="Prestar los servicios profesionales jurídicos especializados en el desarrollo de las funciones de la Oficina Jurídica"/>
    <d v="2023-07-15T00:00:00"/>
    <d v="2023-07-15T00:00:00"/>
    <n v="1.5"/>
    <s v="CCE-16 Contratación directa "/>
    <x v="0"/>
    <s v="O232020200882199_Otros servicios jurídicos n.c.p."/>
    <n v="16065000"/>
    <s v="1-Implementar 1 plan de ajuste y sostenibilidad del MIPG en la UAECOB"/>
    <s v="516-Gestionar el 100% de un (1) plan de adecuación y sostenibilidad de los sistemas de gestión de la Unidad Administrativa Especial Cuerpo Oficial de Bomberos"/>
    <s v="NO SECOP"/>
  </r>
  <r>
    <n v="2023749"/>
    <x v="1"/>
    <s v="Funcionamiento"/>
    <s v="Subdirección de Gestión Corporativa"/>
    <s v="84131503;"/>
    <s v="Adición No. 1 al contrato 278 de 2023 con objeto &quot;Seleccionar propuesta para contratar con una o varias compañías de seguros legalmente autorizadas para funcionar en el país, los seguros patrimoniales, generales, de aviación y personas requeridos parala a"/>
    <d v="2023-01-22T00:00:00"/>
    <d v="2023-01-25T00:00:00"/>
    <s v="N/A"/>
    <s v="CCE-99 Seléccion abreviada - acuerdo marco"/>
    <x v="0"/>
    <s v="N/A funcionamiento"/>
    <n v="48000000"/>
    <s v="N/A funcionamiento"/>
    <s v="N/A funcionamiento"/>
    <s v="NO SECOP"/>
  </r>
  <r>
    <n v="2023751"/>
    <x v="3"/>
    <s v="O23011602300000007658 - Fortalecimiento del Cuerpo Oficial de Bomberos Bogotá"/>
    <s v="Subdirección Logística"/>
    <n v="80111600"/>
    <s v="Prestar servicios de apoyo a la gestión en los aspectos jurídicos de la Subdirección Logística -SBLG"/>
    <d v="2023-06-20T00:00:00"/>
    <d v="2023-06-22T00:00:00"/>
    <n v="4"/>
    <s v="CCE-16 Contratación directa "/>
    <x v="0"/>
    <s v="O232020200882199_Otros servicios jurídicos n.c.p."/>
    <n v="12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752"/>
    <x v="3"/>
    <s v="O23011602300000007658 - Fortalecimiento del Cuerpo Oficial de Bomberos Bogotá"/>
    <s v="Subdirección Logística"/>
    <s v="39121321;_x000a_31162800;_x000a_39121700;_x000a_211024"/>
    <s v="Adquisición de herramientas básicas para atención de incidentes - SBLG"/>
    <d v="2023-08-01T00:00:00"/>
    <d v="2023-08-01T00:00:00"/>
    <n v="8"/>
    <s v=" CCE-10 Mínima cuantía - Grandes Superficies"/>
    <x v="0"/>
    <s v="O23201010030208 Otra maquinaria para usos especiales y sus partes y piezas"/>
    <n v="3248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753"/>
    <x v="3"/>
    <s v="O23011602300000007658 - Fortalecimiento del Cuerpo Oficial de Bomberos Bogotá"/>
    <s v="Subdirección Logística"/>
    <n v="21102401"/>
    <s v="Adquisición de elementos de apicultura para atención de incidentes - SBLG"/>
    <d v="2023-08-01T00:00:00"/>
    <d v="2023-08-01T00:00:00"/>
    <n v="8"/>
    <s v="CCE-10 Mínima cuantía"/>
    <x v="0"/>
    <s v="O23201010030208 Otra maquinaria para usos especiales y sus partes y piezas"/>
    <n v="12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755"/>
    <x v="3"/>
    <s v="O23011602300000007658 - Fortalecimiento del Cuerpo Oficial de Bomberos Bogotá"/>
    <s v="Subdirección Operativa"/>
    <n v="80111600"/>
    <s v="Prestación de servicios de apoyo a la gestión para ejecutar las actividades que dan  soporte al proceso de comunicaciones en emergencias, del Centro de Coordinación y Comunicaciones (C.C.C.) a cargo de la Subdirección Operativa. SO"/>
    <d v="2023-06-25T00:00:00"/>
    <d v="2023-06-28T00:00:00"/>
    <n v="6"/>
    <s v="CCE-16 Contratación directa "/>
    <x v="0"/>
    <s v="O232020200883990_Otros servicios profesionales, técnicos y empresariales n.c.p."/>
    <n v="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756"/>
    <x v="3"/>
    <s v="O23011602300000007658 - Fortalecimiento del Cuerpo Oficial de Bomberos Bogotá"/>
    <s v="Subdirección Operativa"/>
    <s v="25131600, 25131700, 25131800"/>
    <s v="Adquisición de UAS para el grupo especializado SART de la UAECOB - SO"/>
    <d v="2023-08-15T00:00:00"/>
    <d v="2023-09-01T00:00:00"/>
    <n v="6"/>
    <s v="CCE-07 Selección abreviada subasta inversa"/>
    <x v="0"/>
    <s v="O23201010030208 Otra máquinaria para usos especiales y sus partes"/>
    <n v="55812000"/>
    <s v="6-Implementar 100% de un programa de renovación de equipo menor, herramientas, accesorios y elementos de protección personal en la UAECOB"/>
    <s v="224-Implementar al 100% un programa de formación, modernización y sostenibilidad de la Unidad Administrativa Especial Cuerpo Oficial de Bomberos - UAECOB, para la respuesta efectiva en la atención de emergencias y desastres"/>
    <s v="SI SECOP"/>
  </r>
  <r>
    <n v="2023757"/>
    <x v="3"/>
    <s v="O23011602300000007658 - Fortalecimiento del Cuerpo Oficial de Bomberos Bogotá"/>
    <s v="Subdirección Logística"/>
    <n v="80111600"/>
    <s v="Prestación de servicios profesionales para uso y apropiación relacionados con la gestión administrativa de las herramientas tecnológicas de la Subdirección Logística - SBLG"/>
    <d v="2023-06-20T00:00:00"/>
    <d v="2023-06-22T00:00:00"/>
    <n v="5.5"/>
    <s v="CCE-16 Contratación directa "/>
    <x v="0"/>
    <s v="O232020200883990_Otros servicios profesionales, técnicos y empresariales n.c.p."/>
    <n v="22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758"/>
    <x v="3"/>
    <s v="O23011602300000007658 - Fortalecimiento del Cuerpo Oficial de Bomberos Bogotá"/>
    <s v="Subdirección Logística"/>
    <n v="78181500"/>
    <s v="Prestar el servicio de mantenimiento preventivo y correctivo, de latonería y pintura, incluyendo el suministro de repuestos, insumos y mano de obra especializada para los vehículos pertenecientes al parque automotor de la U.A.E. Cuerpo Oficial de Bomberos"/>
    <d v="2023-07-18T00:00:00"/>
    <s v="30/07/2023_x0009_"/>
    <n v="12"/>
    <s v="CCE-06 Selección abreviada menor cuantía"/>
    <x v="0"/>
    <s v="O23202020088714199_Servicio de mantenimiento y reparación de vehículos automotores n.c.p."/>
    <n v="550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759"/>
    <x v="3"/>
    <s v="O23011602300000007658 - Fortalecimiento del Cuerpo Oficial de Bomberos Bogotá"/>
    <s v="Subdirección Logística"/>
    <s v="90101800; _x000a_90101600;_x000a_50192700;_x000a_50192700;_x000a_50112000;_x000a_50202311;_x000a_50201709;_x000a_50161509;  _x000a_50192110;  _x000a_93131602;"/>
    <s v="Contratar el suministro de raciones de campaña para el cuerpo oficial de Bomberos de Bogotá - SBLG"/>
    <d v="2023-09-15T00:00:00"/>
    <d v="2023-10-15T00:00:00"/>
    <n v="3"/>
    <s v="CCE-10 Mínima cuantía"/>
    <x v="0"/>
    <s v="O232020200663393_Otros servicios de comidas contratadas"/>
    <n v="10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760"/>
    <x v="3"/>
    <s v="O23011602300000007658 - Fortalecimiento del Cuerpo Oficial de Bomberos Bogotá"/>
    <s v="Subdirección Logística"/>
    <s v="42141501;42141502;42141503;42142101;42142103;42142105;42142108;42172010;42172013;42172016;42172201;42281502;42291902"/>
    <s v="Adición al CTO 433 de 2022, cuyo objeto es &quot;Proveer el suministro de elementos de bioseguridad, trauma kit e insumos medicos basicos para la atencion de emergencias.&quot;"/>
    <d v="2023-07-18T00:00:00"/>
    <s v="30/08/2023_x0009_"/>
    <n v="3"/>
    <s v="CCE-07 Selección abreviada subasta inversa"/>
    <x v="0"/>
    <s v="O2320201003083899997_Artículos n.c.p. para protección"/>
    <n v="28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NO SECOP"/>
  </r>
  <r>
    <n v="2023761"/>
    <x v="3"/>
    <s v="O23011602300000007658 - Fortalecimiento del Cuerpo Oficial de Bomberos Bogotá"/>
    <s v="Subdirección Logística"/>
    <n v="80111600"/>
    <s v="Prestar servicios Profesionales en la Subdirección Logística, en actividades relacionadas con la gestión y sostenimiento del parque automotor de la UAE Cuerpo Oficial de Bomberos de Bogotá. SBLG"/>
    <d v="2023-07-17T00:00:00"/>
    <d v="2023-07-20T00:00:00"/>
    <n v="4"/>
    <s v="CCE-16 Contratación directa "/>
    <x v="0"/>
    <s v="O232020200883990_Otros servicios profesionales, técnicos y empresariales n.c.p."/>
    <n v="188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762"/>
    <x v="3"/>
    <s v="O23011602300000007658 - Fortalecimiento del Cuerpo Oficial de Bomberos Bogotá"/>
    <s v="Subdirección Logística"/>
    <n v="80111600"/>
    <s v="Prestar servicios profesionales para la gestión, trámites administrativos y financieros para los procesos que adelanta la Subdirección Logística- SBLG"/>
    <d v="2023-08-30T00:00:00"/>
    <d v="2023-09-01T00:00:00"/>
    <n v="4"/>
    <s v="CCE-16 Contratación directa "/>
    <x v="0"/>
    <s v="O232020200883990_Otros servicios profesionales, técnicos y empresariales n.c.p."/>
    <n v="16000000"/>
    <s v="8-Implementar 100% de un programa de suministros y consumibles para la atención de emergencias en la UAECOB"/>
    <s v="224-Implementar al 100% un programa de formación, modernización y sostenibilidad de la Unidad Administrativa Especial Cuerpo Oficial de Bomberos - UAECOB, para la respuesta efectiva en la atención de emergencias y desastres"/>
    <s v="SI SECOP"/>
  </r>
  <r>
    <n v="2023763"/>
    <x v="1"/>
    <s v="Funcionamiento"/>
    <s v="Subdirección de Gestión Corporativa"/>
    <n v="47131800"/>
    <s v="Suministro de insumos para lavadoras-SGC"/>
    <d v="2023-08-01T00:00:00"/>
    <d v="2023-08-15T00:00:00"/>
    <n v="8"/>
    <s v="CCE-10 Mínima cuantía"/>
    <x v="0"/>
    <s v="N/A funcionamiento"/>
    <n v="19000000"/>
    <s v="N/A funcionamiento"/>
    <s v="N/A funcionamiento"/>
    <s v="SI SECOP"/>
  </r>
  <r>
    <n v="2023764"/>
    <x v="3"/>
    <s v="O23011602300000007658 - Fortalecimiento del Cuerpo Oficial de Bomberos Bogotá"/>
    <s v="Subdirección de Gestión Corporativa"/>
    <s v="23271800;_x000a_26111700;_x000a_26121500;_x000a_26121600;_x000a_27111800:_x000a_27111900:_x000a_27112000;_x000a_27112100;_x000a_27112800;"/>
    <s v="Adición No. 1 al contrato 366 de 2023 que tiene como objeto&quot;Suministro de materiales, equipos y herramientas para el mejoramiento integral de las instalaciones de la UAE Cuerpo Oficial de Bomberos  -SGC "/>
    <d v="2023-07-15T00:00:00"/>
    <d v="2023-07-28T00:00:00"/>
    <n v="10"/>
    <s v="CCE-99 Seléccion abreviada - acuerdo marco"/>
    <x v="0"/>
    <s v="O23201010030208 Otra maquinaria para usos especiales y sus partes y piezas"/>
    <n v="52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65"/>
    <x v="3"/>
    <s v="O23011602300000007658 - Fortalecimiento del Cuerpo Oficial de Bomberos Bogotá"/>
    <s v="Subdirección de Gestión Humana"/>
    <s v="30111600_x000a_39121700_x000a_39121900_x000a_40141700_x000a_40172900"/>
    <s v="SGH - Suministro de elementos logísticos pedagógicos necesario para el desarrollo de entrenamiento en cursos especializados, entrenamiento misional, capacitación en el puesto de trabajo para el personal operativo y administrativo de la Unidad Administrati"/>
    <d v="2023-08-01T00:00:00"/>
    <d v="2023-09-15T00:00:00"/>
    <n v="6"/>
    <s v="CCE-07 Selección abreviada subasta inversa"/>
    <x v="0"/>
    <s v="O232020200883990_Otros servicios profesionales, técnicos y empresariales n.c.p."/>
    <n v="282342175"/>
    <s v="2-Implementar 100% del programa de capacitación, formación y entrenamiento al personal uniformado de la Unidad Administrativa Cuerpo Oficial de Bomberos de Bogotá"/>
    <s v="222-Implementar al 100% un (1) programa de capacitación, formación y entrenamiento al personal en el marco de la Academia Bomberil de Bogotá"/>
    <s v="SI SECOP"/>
  </r>
  <r>
    <n v="2023766"/>
    <x v="3"/>
    <s v="O23011602300000007658 - Fortalecimiento del Cuerpo Oficial de Bomberos Bogotá"/>
    <s v="Subdirección de Gestión del Riesgo"/>
    <s v="80141900_x000a_90111500_x000a_90111600_x000a_80141900"/>
    <s v="ADICIÓN Y PRORROGA CTO 540-2022 Prestación de servicios como operador logístico, relacionados con la organización, administración, ejecución y demás acciones logísticas con el fin de promover temáticas que fortalezcan la misionalidad de la entidad a travé"/>
    <d v="2023-04-06T00:00:00"/>
    <d v="2023-06-01T00:00:00"/>
    <n v="6"/>
    <s v="CCE-06 Selección abreviada menor cuantía"/>
    <x v="0"/>
    <s v="O232020200883990_Otros servicios profesionales, técnicos y empresariales n.c.p."/>
    <n v="20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NO SECOP"/>
  </r>
  <r>
    <n v="2023767"/>
    <x v="1"/>
    <s v="Funcionamiento"/>
    <s v="Subdirección de Gestión Corporativa"/>
    <n v="80111600"/>
    <s v="Adición y prórroga No.1 al contrato 082 de 2023 con objeto &quot;Prestación de servicios de apoyo a la gestión del proceso de inventarios de la Subdirección de Gestión Corporativa.-SGC"/>
    <d v="2023-07-31T00:00:00"/>
    <d v="2023-08-04T00:00:00"/>
    <n v="4"/>
    <s v="CCE-16 Contratación directa "/>
    <x v="0"/>
    <s v="N/A funcionamiento"/>
    <n v="8400000"/>
    <s v="N/A funcionamiento"/>
    <s v="N/A funcionamiento"/>
    <s v="NO SECOP"/>
  </r>
  <r>
    <n v="2023768"/>
    <x v="1"/>
    <s v="Funcionamiento"/>
    <s v="Subdirección de Gestión Corporativa"/>
    <n v="80111600"/>
    <s v="Adición y prórroga No.1 al contrato 101 de 2023 con objeto &quot;Prestación de servicios de apoyo a la gestión del proceso de inventariosde la Subdirección de Gestión Corporativa.-SGC"/>
    <d v="2023-07-31T00:00:00"/>
    <d v="2023-08-04T00:00:00"/>
    <n v="4"/>
    <s v="CCE-16 Contratación directa "/>
    <x v="0"/>
    <s v="N/A funcionamiento"/>
    <n v="9800000"/>
    <s v="N/A funcionamiento"/>
    <s v="N/A funcionamiento"/>
    <s v="NO SECOP"/>
  </r>
  <r>
    <n v="2023771"/>
    <x v="1"/>
    <s v="Funcionamiento"/>
    <s v="Oficina Asesora de Planeación"/>
    <n v="43233200"/>
    <s v="Contratar el soporte y mantenimiento preventivo y correctivo con repuestos para los sistemas de video vigilancia de las estaciones de la U.A.E. Cuerpo Oficial de Bomberos de Bogotá - TIC"/>
    <d v="2023-10-05T00:00:00"/>
    <d v="2023-11-15T00:00:00"/>
    <n v="12"/>
    <s v="CCE-07 Selección abreviada subasta inversa"/>
    <x v="0"/>
    <s v="O2120202008078715303 _Servicio de mantenimiento de cámaras de televisión"/>
    <n v="100000000"/>
    <s v="N/A funcionamiento"/>
    <s v="N/A funcionamiento"/>
    <s v="SI SECOP"/>
  </r>
  <r>
    <n v="2023772"/>
    <x v="2"/>
    <s v="O23011605560000007637 - Fortalecimiento de la infraestructura de tecnología informática y de comunicaciones de la UAECOB"/>
    <s v="Oficina Asesora de Planeación"/>
    <n v="81112401"/>
    <s v="Adición y prórroga  al contrato No. 557 de 2023 cuyo objeto es &quot;Contratar el alquiler de equipos tecnológicos, periféricos y servicios _x000a_complementarios para la U.A.E. Cuerpo Oficial de Bomberos de _x000a_Bogotá. – TI&quot;"/>
    <d v="2023-11-03T00:00:00"/>
    <d v="2023-12-04T00:00:00"/>
    <n v="3"/>
    <s v="CCE-99 Seléccion abreviada - acuerdo marco"/>
    <x v="0"/>
    <s v="O232020200883159_Otros servicios de alojamiento y suministro de infraestructura en tecnología de la información (TI)"/>
    <n v="18887747"/>
    <s v="2-Implementar 100 % de la arquitectura TI conforme a las necesidades de la UAECOB"/>
    <s v="517-Implementar al 100% una estrategia de fortalecimiento de los sistemas de información para optimizar la gestión del Cuerpo Oficial de Bomberos"/>
    <s v="NO SECOP"/>
  </r>
  <r>
    <n v="2023773"/>
    <x v="2"/>
    <s v="O23011605560000007637 - Fortalecimiento de la infraestructura de tecnología informática y de comunicaciones de la UAECOB"/>
    <s v="Oficina Asesora de Planeación"/>
    <n v="81112401"/>
    <s v="Adición y prórroga  al contrato No. 558 de 2023 cuyo objeto es &quot;Contratar el alquiler de equipos tecnológicos, periféricos y servicios _x000a_complementarios para la U.A.E. Cuerpo Oficial de Bomberos de _x000a_Bogotá. – TI&quot;"/>
    <d v="2023-11-03T00:00:00"/>
    <d v="2023-12-04T00:00:00"/>
    <n v="3"/>
    <s v="CCE-99 Seléccion abreviada - acuerdo marco"/>
    <x v="0"/>
    <s v="O232020200883159_Otros servicios de alojamiento y suministro de infraestructura en tecnología de la información (TI)"/>
    <n v="2980321"/>
    <s v="2-Implementar 100 % de la arquitectura TI conforme a las necesidades de la UAECOB"/>
    <s v="517-Implementar al 100% una estrategia de fortalecimiento de los sistemas de información para optimizar la gestión del Cuerpo Oficial de Bomberos"/>
    <s v="NO SECOP"/>
  </r>
  <r>
    <n v="2023774"/>
    <x v="0"/>
    <s v="O23011605560000007655 - Fortalecimiento de la Planeación y Gestión de la UAECOB Bogotá"/>
    <s v="Oficina Asesora de Planeación"/>
    <n v="80111600"/>
    <s v="Reconocimiento y pago Pasivo Exigible contrato de prestación servicios No 469 de 2020 cuyo objeto es: &quot;prestación de servicios profesionales en la Oficina Asesora de Planeación, en el marco de los procesos y procedimientos a cargo de la dependencia&quot;."/>
    <d v="2023-04-25T00:00:00"/>
    <d v="2023-04-25T00:00:00"/>
    <n v="1"/>
    <s v="CCE-16 Contratación directa "/>
    <x v="3"/>
    <s v="O232020200883990_Otros servicios profesionales, técnicos y empresariales n.c.p."/>
    <n v="133334"/>
    <s v="1-Implementar 1 plan de ajuste y sostenibilidad del MIPG en la UAECOB"/>
    <s v="516-Gestionar el 100% de un (1) plan de adecuación y sostenibilidad de los sistemas de gestión de la Unidad Administrativa Especial Cuerpo Oficial de Bomberos"/>
    <s v="NO SECOP"/>
  </r>
  <r>
    <n v="2023775"/>
    <x v="3"/>
    <s v="O23011602300000007658 - Fortalecimiento del Cuerpo Oficial de Bomberos Bogotá"/>
    <s v="Subdirección Logística"/>
    <n v="80111600"/>
    <s v="Prestación de servicios de apoyo a la gestión administrativa, documental y actualización de bases de datos a cargo del equipo menor de la Subdirección Logística - SBLG"/>
    <d v="2023-08-25T00:00:00"/>
    <d v="2023-08-30T00:00:00"/>
    <n v="4"/>
    <s v="CCE-16 Contratación directa "/>
    <x v="0"/>
    <s v="O232020200883990_Otros servicios profesionales, técnicos y empresariales n.c.p."/>
    <n v="1108576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776"/>
    <x v="0"/>
    <s v="O23011605560000007655 - Fortalecimiento de la Planeación y Gestión de la UAECOB Bogotá"/>
    <s v="Subdirección de Gestión Humana"/>
    <n v="80111600"/>
    <s v="Pago pasivo exigible del contrato 002 de 2021 cuyo objeto es &quot;Prestar sus servicios profesionales brindando acompañamiento legal en la Subdirección de Gestión Humana de la UAE Cuerpo Oficial de Bomberos&quot;"/>
    <d v="2023-08-08T00:00:00"/>
    <d v="2023-08-10T00:00:00"/>
    <n v="1"/>
    <s v="CCE-16 Contratación directa "/>
    <x v="0"/>
    <s v="O232020200883990_Otros servicios profesionales, técnicos y empresariales n.c.p."/>
    <n v="1166667"/>
    <s v="1-Implementar 1 plan de ajuste y sostenibilidad del MIPG en la UAECOB"/>
    <s v="516-Gestionar el 100% de un (1) plan de adecuación y sostenibilidad de los sistemas de gestión de la Unidad Administrativa Especial Cuerpo Oficial de Bomberos"/>
    <s v="NO SECOP"/>
  </r>
  <r>
    <n v="2023777"/>
    <x v="0"/>
    <s v="O23011605560000007655 - Fortalecimiento de la Planeación y Gestión de la UAECOB Bogotá"/>
    <s v="Dirección"/>
    <n v="80111600"/>
    <s v="“Adición y prórroga del contrato 136 de 2023, cuyo objeto es: &quot;Prestar servicios profesionales a la Dirección General en actividades de articulación interinstitucional entre las diferentes dependencias, entidades del sector, y demás que estén relacionadas"/>
    <d v="2023-08-04T00:00:00"/>
    <d v="2023-08-05T00:00:00"/>
    <n v="2"/>
    <s v="CCE-16 Contratación directa "/>
    <x v="0"/>
    <s v="O232020200883990_Otros servicios profesionales, técnicos y empresariales n.c.p."/>
    <n v="14240000"/>
    <s v="1-Implementar 1 plan de ajuste y sostenibilidad del MIPG en la UAECOB"/>
    <s v="516-Gestionar el 100% de un (1) plan de adecuación y sostenibilidad de los sistemas de gestión de la Unidad Administrativa Especial Cuerpo Oficial de Bomberos"/>
    <s v="NO SECOP"/>
  </r>
  <r>
    <n v="2023778"/>
    <x v="0"/>
    <s v="O23011605560000007655 - Fortalecimiento de la Planeación y Gestión de la UAECOB Bogotá"/>
    <s v="Oficina de Control Interno"/>
    <n v="80111600"/>
    <s v="Adición y prorroga al contrato 020 de 2023 cuyo objeto es &quot;Prestar los servicios profesionales  en la Oficina de Control Interno para el desarrollo del Plan Anual de Auditorías.&quot;"/>
    <d v="2023-09-01T00:00:00"/>
    <d v="2023-09-11T00:00:00"/>
    <n v="4"/>
    <s v="CCE-16 Contratación directa "/>
    <x v="0"/>
    <s v="O232020200883990_Otros servicios profesionales, técnicos y empresariales n.c.p."/>
    <n v="26450332"/>
    <s v="1-Implementar 1 plan de ajuste y sostenibilidad del MIPG en la UAECOB"/>
    <s v="516-Gestionar el 100% de un (1) plan de adecuación y sostenibilidad de los sistemas de gestión de la Unidad Administrativa Especial Cuerpo Oficial de Bomberos"/>
    <s v="SI SECOP"/>
  </r>
  <r>
    <n v="2023779"/>
    <x v="0"/>
    <s v="O23011605560000007655 - Fortalecimiento de la Planeación y Gestión de la UAECOB Bogotá"/>
    <s v="Oficina de Control Interno"/>
    <n v="80111600"/>
    <s v="Adición y prorroga al contrato 022 de 2023  cuyo objeto es “Prestar servicios de apoyo a la gestión como técnico en la Oficina de Control Interno para ejecutar procesos y procedimientos administrativos y asistenciales teniendo en cuenta el Plan Anual de A"/>
    <d v="2023-09-01T00:00:00"/>
    <d v="2023-09-11T00:00:00"/>
    <n v="4"/>
    <s v="CCE-16 Contratación directa "/>
    <x v="0"/>
    <s v="O232020200883990_Otros servicios profesionales, técnicos y empresariales n.c.p."/>
    <n v="13158811"/>
    <s v="1-Implementar 1 plan de ajuste y sostenibilidad del MIPG en la UAECOB"/>
    <s v="516-Gestionar el 100% de un (1) plan de adecuación y sostenibilidad de los sistemas de gestión de la Unidad Administrativa Especial Cuerpo Oficial de Bomberos"/>
    <s v="SI SECOP"/>
  </r>
  <r>
    <n v="2023780"/>
    <x v="1"/>
    <s v="Funcionamiento"/>
    <s v="Oficina Asesora de Planeación"/>
    <s v="81111811;"/>
    <s v="Adición  y prórroga al Contrato No. 237 de 2023, cuyo objeto es &quot;Contratar soporte técnico en sitio y mantenimiento correctivo con_x000a_suministro de repuestos para la infraestructura tecnológica de la_x000a_UAE Cuerpo Oficial de Bomberos de Bogotá y SUPERCADES de_x000a_B"/>
    <d v="2023-09-07T00:00:00"/>
    <d v="2023-09-21T00:00:00"/>
    <n v="3"/>
    <s v="CCE-99 Seléccion abreviada - acuerdo marco"/>
    <x v="0"/>
    <s v="O21202020080787130 Servicios de mantenimiento y reparación de computa"/>
    <n v="91323067"/>
    <s v="N/A funcionamiento"/>
    <s v="N/A funcionamiento"/>
    <s v="NO SECOP"/>
  </r>
  <r>
    <n v="2023781"/>
    <x v="3"/>
    <s v="O23011602300000007658 - Fortalecimiento del Cuerpo Oficial de Bomberos Bogotá"/>
    <s v="Subdirección Logística"/>
    <s v="N/A"/>
    <s v=" (Pago de Pasivos) - CTO 348 DE 2019, Suministro de alimentación e hidratación"/>
    <d v="2023-09-15T00:00:00"/>
    <d v="2023-09-20T00:00:00"/>
    <n v="1"/>
    <s v="N/A"/>
    <x v="3"/>
    <s v="O232020200663393_Otros servicios de comidas contratadas"/>
    <n v="4008757"/>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782"/>
    <x v="1"/>
    <s v="Funcionamiento"/>
    <s v="Oficina Jurídica"/>
    <n v="80111600"/>
    <s v="Adición y prórroga al contrato 001 de 2023 cuyo objeto es: &quot;Prestar los servicios profesionales jurídicos especializados para la verificación de la legalidad contractual en el desarrollo de las funciones de la Oficina Jurídica&quot;"/>
    <d v="2023-09-10T00:00:00"/>
    <d v="2023-09-10T00:00:00"/>
    <n v="3.9"/>
    <s v="CCE-16 Contratación directa "/>
    <x v="0"/>
    <s v="N/A funcionamiento"/>
    <n v="34960000"/>
    <s v="N/A funcionamiento"/>
    <s v="N/A funcionamiento"/>
    <s v="NO SECOP"/>
  </r>
  <r>
    <n v="2023784"/>
    <x v="1"/>
    <s v="Funcionamiento"/>
    <s v="Subdirección de Gestión Humana"/>
    <n v="80111600"/>
    <s v="SGH - Prestar sus servicios profesionales en la gestión contractual y presupuestal de la Subdirección de Gestión Humana de la UAE Cuerpo Oficial de Bomberos."/>
    <d v="2023-09-10T00:00:00"/>
    <d v="2023-09-18T00:00:00"/>
    <n v="6"/>
    <s v="CCE-16 Contratación directa "/>
    <x v="0"/>
    <s v="N/A funcionamiento"/>
    <n v="27500000"/>
    <s v="N/A funcionamiento"/>
    <s v="N/A funcionamiento"/>
    <s v="SI SECOP"/>
  </r>
  <r>
    <n v="2023785"/>
    <x v="3"/>
    <s v="O23011602300000007658 - Fortalecimiento del Cuerpo Oficial de Bomberos Bogotá"/>
    <s v="Subdirección de Gestión Corporativa"/>
    <s v="N/A"/>
    <s v="Reconocimiento y pago Pasivo Exigible contrato de suministros No 540 de 2021 suscrito con CENTRO FERRETERO MAFER SAS, para el suministro de materiales, equipos y herramientas para el mejoramiento integral de as instalaciones de la UAE Cuerpo Oficial de Bo"/>
    <s v="N/A"/>
    <s v="N/A"/>
    <s v="N/A"/>
    <s v="N/A"/>
    <x v="3"/>
    <s v="O23201010030208 Otra maquinaria para usos especiales y sus partes y piezas"/>
    <n v="7959086"/>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86"/>
    <x v="3"/>
    <s v="O23011602300000007658 - Fortalecimiento del Cuerpo Oficial de Bomberos Bogotá"/>
    <s v="Subdirección de Gestión Corporativa"/>
    <s v="N/A"/>
    <s v="Reconocimiento y pago Pasivo Exigible contrato No 683 de 2021 suscrito con CONSORCIO RYC"/>
    <s v="N/A"/>
    <s v="N/A"/>
    <s v="N/A"/>
    <s v="N/A"/>
    <x v="3"/>
    <s v="O2320202005040554590_Otros servicios especializados de la construcción"/>
    <n v="92859158"/>
    <s v="4-Adecuar seis (6) estaciones de Bomberos"/>
    <s v="226-Reforzar, Adecuar y Ampliar  6 estaciones de Bomberos"/>
    <s v="NO SECOP"/>
  </r>
  <r>
    <n v="2023787"/>
    <x v="3"/>
    <s v="O23011602300000007658 - Fortalecimiento del Cuerpo Oficial de Bomberos Bogotá"/>
    <s v="Subdirección de Gestión Corporativa"/>
    <s v="N/A"/>
    <s v="Reconocimiento y pago Pasivo Exigible contrato No 690 de 2021 suscrito con GAVINCO INGENIEROS CONSULTORES S.A.S"/>
    <s v="N/A"/>
    <s v="N/A"/>
    <s v="N/A"/>
    <s v="N/A"/>
    <x v="3"/>
    <s v="O2320202005040554590_Otros servicios especializados de la construcción"/>
    <n v="76320300"/>
    <s v="4-Adecuar seis (6) estaciones de Bomberos"/>
    <s v="226-Reforzar, Adecuar y Ampliar  6 estaciones de Bomberos"/>
    <s v="NO SECOP"/>
  </r>
  <r>
    <n v="2023788"/>
    <x v="3"/>
    <s v="O23011602300000007658 - Fortalecimiento del Cuerpo Oficial de Bomberos Bogotá"/>
    <s v="Subdirección de Gestión Corporativa"/>
    <s v="N/A"/>
    <s v="Reconocimiento y pago Pasivo Exigible contrato No 401 de 2018  suscrito con CONSORCIO CP001-UAE"/>
    <s v="N/A"/>
    <s v="N/A"/>
    <s v="N/A"/>
    <s v="N/A"/>
    <x v="3"/>
    <s v="O2320202005040554590_Otros servicios especializados de la construcción"/>
    <n v="9842115"/>
    <s v="4-Adecuar seis (6) estaciones de Bomberos"/>
    <s v="226-Reforzar, Adecuar y Ampliar  6 estaciones de Bomberos"/>
    <s v="NO SECOP"/>
  </r>
  <r>
    <n v="2023789"/>
    <x v="3"/>
    <s v="O23011602300000007658 - Fortalecimiento del Cuerpo Oficial de Bomberos Bogotá"/>
    <s v="Subdirección de Gestión Corporativa"/>
    <s v="N/A"/>
    <s v="Reconocimiento y pago Pasivo Exigible contrato No 714 de 2021  suscrito con OSCAR HERNANDO DUQUE DUQUE "/>
    <s v="N/A"/>
    <s v="N/A"/>
    <s v="N/A"/>
    <s v="N/A"/>
    <x v="3"/>
    <s v="O23201010030208 Otra maquinaria para usos especiales y sus partes y piezas"/>
    <n v="1085863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90"/>
    <x v="3"/>
    <s v="O23011602300000007658 - Fortalecimiento del Cuerpo Oficial de Bomberos Bogotá"/>
    <s v="Subdirección de Gestión Corporativa"/>
    <s v="N/A"/>
    <s v="Reconocimiento y pago Pasivo Exigible contrato No 331 de 2019  suscrito con PROMCIVILES SAS"/>
    <s v="N/A"/>
    <s v="N/A"/>
    <s v="N/A"/>
    <s v="N/A"/>
    <x v="3"/>
    <s v="O2320202005040554590_Otros servicios especializados de la construcción"/>
    <n v="17153174"/>
    <s v="4-Adecuar seis (6) estaciones de Bomberos"/>
    <s v="226-Reforzar, Adecuar y Ampliar  6 estaciones de Bomberos"/>
    <s v="NO SECOP"/>
  </r>
  <r>
    <n v="2023791"/>
    <x v="3"/>
    <s v="O23011602300000007658 - Fortalecimiento del Cuerpo Oficial de Bomberos Bogotá"/>
    <s v="Subdirección de Gestión Corporativa"/>
    <s v="N/A"/>
    <s v="Reconocimiento y pago Pasivo Exigible contrato No 620 DE 2020  suscrito con MAURICIO RAFAEL PABA PINZON"/>
    <s v="N/A"/>
    <s v="N/A"/>
    <s v="N/A"/>
    <s v="N/A"/>
    <x v="3"/>
    <s v="O2320202005040554590_Otros servicios especializados de la construcción"/>
    <n v="35252285"/>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92"/>
    <x v="3"/>
    <s v="O23011602300000007658 - Fortalecimiento del Cuerpo Oficial de Bomberos Bogotá"/>
    <s v="Subdirección de Gestión Corporativa"/>
    <s v="80111600;"/>
    <s v="Adición y prórroga No. 1 al contrato 303 de 2023 que tiene como objeto &quot;Prestar servicios profesionales para acompañar jurídicamente los procesos y procedimientos del área de infraestructura de la Subdirección de Gestión Corporativa.SGC"/>
    <d v="2023-09-15T00:00:00"/>
    <d v="2023-09-25T00:00:00"/>
    <n v="3"/>
    <s v="CCE-16 Contratación directa "/>
    <x v="0"/>
    <s v="O232020200882199_Otros servicios jurídicos n.c.p."/>
    <n v="27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93"/>
    <x v="3"/>
    <s v="O23011602300000007658 - Fortalecimiento del Cuerpo Oficial de Bomberos Bogotá"/>
    <s v="Subdirección de Gestión Corporativa"/>
    <s v="80111600;"/>
    <s v="Adición y prórroga No. 1 al contrato 110 de 2023 que tiene como objeto &quot; Prestación de servicios profesionales especializados para apoyar las actividades técnicas del Área de Infraestructura de la Subdirección de Gestión Corporativa-SGC"/>
    <d v="2023-09-15T00:00:00"/>
    <d v="2023-09-25T00:00:00"/>
    <n v="1"/>
    <s v="CCE-16 Contratación directa "/>
    <x v="0"/>
    <s v="O232020200883990_Otros servicios profesionales, técnicos y empresariales n.c.p."/>
    <n v="73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94"/>
    <x v="3"/>
    <s v="O23011602300000007658 - Fortalecimiento del Cuerpo Oficial de Bomberos Bogotá"/>
    <s v="Subdirección de Gestión Corporativa"/>
    <s v="80111600;"/>
    <s v="Prestación de servicios profesionales para adelantar  actividades técnicas  y trámites administrativos  del Área de Infraestructura de la Subdirección de Gestión Corporativa-SGC"/>
    <d v="2023-09-15T00:00:00"/>
    <d v="2023-09-25T00:00:00"/>
    <n v="3"/>
    <s v="CCE-16 Contratación directa "/>
    <x v="0"/>
    <s v="O232020200883990_Otros servicios profesionales, técnicos y empresariales n.c.p."/>
    <n v="186642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95"/>
    <x v="3"/>
    <s v="O23011602300000007658 - Fortalecimiento del Cuerpo Oficial de Bomberos Bogotá"/>
    <s v="Subdirección de Gestión Corporativa"/>
    <s v="80111600;"/>
    <s v="Adición y prórroga No. 1 al contrato 182 DE 2023 que tiene como objeto &quot; Prestación de servicios profesionales especializados para articular y revisar los procesos y procedimientos del área de infraestructura, así como en el apoyo a la supervisión de los "/>
    <d v="2023-09-15T00:00:00"/>
    <d v="2023-09-25T00:00:00"/>
    <n v="1"/>
    <s v="CCE-16 Contratación directa "/>
    <x v="0"/>
    <s v="O232020200883990_Otros servicios profesionales, técnicos y empresariales n.c.p."/>
    <n v="927584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96"/>
    <x v="3"/>
    <s v="O23011602300000007658 - Fortalecimiento del Cuerpo Oficial de Bomberos Bogotá"/>
    <s v="Subdirección de Gestión Corporativa"/>
    <s v="80111600;"/>
    <s v="Adición y prórroga No. 1 al contrato 155 DE 2023 que tiene como objeto &quot;Prestación de Servicios Profesionales en temas financieros, administrativas y misionales para apoyar los proyectos de infraestructura de la Subdirección de Gestión Corporativa.-SGC"/>
    <d v="2023-09-15T00:00:00"/>
    <d v="2023-09-25T00:00:00"/>
    <n v="1"/>
    <s v="CCE-16 Contratación directa "/>
    <x v="0"/>
    <s v="O232020200883990_Otros servicios profesionales, técnicos y empresariales n.c.p."/>
    <n v="55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97"/>
    <x v="3"/>
    <s v="O23011602300000007658 - Fortalecimiento del Cuerpo Oficial de Bomberos Bogotá"/>
    <s v="Subdirección de Gestión Corporativa"/>
    <s v="80111600;"/>
    <s v="Adición y prórroga No. 1 al contrato 270 de 2023 que tiene como objeto &quot; Prestación de Servicios Profesionales para la formulación, seguimiento y ejecución de procesos presupuestales y financieros a cargo de la Subdirección de Gestión Corporativa -SGC"/>
    <d v="2023-09-15T00:00:00"/>
    <d v="2023-09-25T00:00:00"/>
    <n v="1"/>
    <s v="CCE-16 Contratación directa "/>
    <x v="0"/>
    <s v="O232020200883990_Otros servicios profesionales, técnicos y empresariales n.c.p."/>
    <n v="825776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98"/>
    <x v="3"/>
    <s v="O23011602300000007658 - Fortalecimiento del Cuerpo Oficial de Bomberos Bogotá"/>
    <s v="Subdirección de Gestión Corporativa"/>
    <s v="80111600;"/>
    <s v="Adición y prórroga No. 1 al contrato 324 de 2023 que tiene como objeto &quot;Prestación de servicios profesionales especializados para apoyar las actividades técnicas del Área de Infraestructura de la Subdirección de Gestión Corporativa-SGC"/>
    <d v="2023-09-15T00:00:00"/>
    <d v="2023-09-25T00:00:00"/>
    <n v="1"/>
    <s v="CCE-16 Contratación directa "/>
    <x v="0"/>
    <s v="O232020200883990_Otros servicios profesionales, técnicos y empresariales n.c.p."/>
    <n v="73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799"/>
    <x v="3"/>
    <s v="O23011602300000007658 - Fortalecimiento del Cuerpo Oficial de Bomberos Bogotá"/>
    <s v="Subdirección de Gestión Corporativa"/>
    <s v="80111600;"/>
    <s v="Adición y prórroga No. 1 al contrato 173 de 2023 que tiene como objeto&quot;Prestar servicios profesionales con el fin de atender los trámites ambientales y los demás que requiera el área de Infraestructura de la Subdirección de Gestión Corporativa. SGC"/>
    <d v="2023-09-15T00:00:00"/>
    <d v="2023-09-25T00:00:00"/>
    <n v="2"/>
    <s v="CCE-16 Contratación directa "/>
    <x v="0"/>
    <s v="O232020200883990_Otros servicios profesionales, técnicos y empresariales n.c.p."/>
    <n v="9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800"/>
    <x v="3"/>
    <s v="O23011602300000007658 - Fortalecimiento del Cuerpo Oficial de Bomberos Bogotá"/>
    <s v="Subdirección de Gestión Corporativa"/>
    <s v="47111500;_x000a_73152100;"/>
    <s v="Adición No. 1 al contrato 134 de 2023 que tiene como objeto mantenimiento preventivo y correctivo, que incluye el suministro de insumos y repuestos de las lavadoras y secadoras industriales ubicadas en las estaciones de bomberos de la UAE Cuerpo Oficial d"/>
    <d v="2023-09-15T00:00:00"/>
    <d v="2023-09-25T00:00:00"/>
    <s v="N/A"/>
    <s v="CCE-10 Mínima cuantía"/>
    <x v="0"/>
    <s v="O23202020088715999_Servicio de mantenimiento y reparación de otros equipos n.c.p."/>
    <n v="1600000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801"/>
    <x v="3"/>
    <s v="O23011602300000007658 - Fortalecimiento del Cuerpo Oficial de Bomberos Bogotá"/>
    <s v="Subdirección de Gestión Corporativa"/>
    <s v="56101500_x000a_;561217"/>
    <s v="Adición No. 1 al contrato 634 de 2022 que tiene como objeto &quot;  Suministro de muebles, enseres, maquinaria, equipo y demás elementos quesean requeridos por las diferentes estaciones y edificio comando de la UAE Cuerpo Oficial de Bomberos Bogotá- SGC"/>
    <d v="2023-09-15T00:00:00"/>
    <d v="2023-09-25T00:00:00"/>
    <s v="N/A"/>
    <s v="CCE-07 Selección abreviada subasta inversa"/>
    <x v="0"/>
    <s v="O23201010030208 Otra maquinaria para usos especiales y sus partes y piezas"/>
    <n v="13442452"/>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NO SECOP"/>
  </r>
  <r>
    <n v="2023802"/>
    <x v="1"/>
    <s v="Funcionamiento"/>
    <s v="Oficina Jurídica"/>
    <n v="80111600"/>
    <s v="Adición y prórroga al contrato 201 de 2023 cuyo objeto es: &quot;Prestación de servicios profesionales jurídicos para orientar y apoyar el trámite y la gestión de los procesos disciplinarios que se adelanten en la Oficina Jurídica de la Unidad Administrativa E"/>
    <d v="2023-11-15T00:00:00"/>
    <d v="2023-11-15T00:00:00"/>
    <n v="1.5"/>
    <s v="CCE-16 Contratación directa "/>
    <x v="0"/>
    <s v="N/A funcionamiento"/>
    <n v="10033333"/>
    <s v="N/A funcionamiento"/>
    <s v="N/A funcionamiento"/>
    <s v="NO SECOP"/>
  </r>
  <r>
    <n v="2023803"/>
    <x v="1"/>
    <s v="Funcionamiento"/>
    <s v="Subdirección de Gestión Humana"/>
    <n v="80111600"/>
    <s v="SGH - Prestar servicios profesionales y de apoyo para soportar las actividades administrativas de la dependencia."/>
    <d v="2023-09-01T00:00:00"/>
    <d v="2023-09-17T00:00:00"/>
    <n v="6"/>
    <s v="CCE-16 Contratación directa "/>
    <x v="0"/>
    <s v="N/A funcionamiento"/>
    <n v="74889500"/>
    <s v="N/A funcionamiento"/>
    <s v="N/A funcionamiento"/>
    <s v="SI SECOP"/>
  </r>
  <r>
    <n v="2023804"/>
    <x v="3"/>
    <s v="O23011602300000007658 - Fortalecimiento del Cuerpo Oficial de Bomberos Bogotá"/>
    <s v="Subdirección de Gestión del Riesgo"/>
    <n v="80111600"/>
    <s v="Adicion y prorroga contrato No 112 -2023 -Prestar servicios de apoyo a la gestion en las actividades de monitoreo del riesgo para la Subdirección de Gestión del Riesgo._SGR Auxiliar"/>
    <d v="2023-01-16T00:00:00"/>
    <d v="2023-01-16T00:00:00"/>
    <n v="2"/>
    <s v="CCE-16 Contratación directa "/>
    <x v="0"/>
    <s v="O232020200883990_Otros servicios profesionales, técnicos y empresariales n.c.p."/>
    <n v="5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NO SECOP"/>
  </r>
  <r>
    <n v="2023806"/>
    <x v="0"/>
    <s v="O23011605560000007655 - Fortalecimiento de la Planeación y Gestión de la UAECOB Bogotá"/>
    <s v="Oficina Jurídica"/>
    <n v="80111600"/>
    <s v="Adición y prórroga al contrato 283 de 2023 cuyo objeto es: &quot;Prestar los servicios profesionales  jurídicos para apoyar las actividades propias de la gestión contractual que adelanta la Oficina Jurídica&quot;"/>
    <d v="2023-10-10T00:00:00"/>
    <d v="2023-10-10T00:00:00"/>
    <n v="1.6"/>
    <s v="CCE-16 Contratación directa "/>
    <x v="0"/>
    <s v="O232020200882199_Otros servicios jurídicos n.c.p."/>
    <n v="12750000"/>
    <s v="1-Implementar 1 plan de ajuste y sostenibilidad del MIPG en la UAECOB"/>
    <s v="516-Gestionar el 100% de un (1) plan de adecuación y sostenibilidad de los sistemas de gestión de la Unidad Administrativa Especial Cuerpo Oficial de Bomberos"/>
    <s v="NO SECOP"/>
  </r>
  <r>
    <n v="2023807"/>
    <x v="0"/>
    <s v="O23011605560000007655 - Fortalecimiento de la Planeación y Gestión de la UAECOB Bogotá"/>
    <s v="Oficina Jurídica"/>
    <n v="80111600"/>
    <s v="Adición y prórroga al contrato 421 de 2023 cuyo objeto es: &quot;Prestar los servicios profesionales para realizar el acompañamiento administrativo y financiero en temas de liquidación y cierre de expedientes, como demás actuaciones administrativas requeridas "/>
    <d v="2023-10-10T00:00:00"/>
    <d v="2023-10-10T00:00:00"/>
    <n v="0.4"/>
    <s v="CCE-16 Contratación directa "/>
    <x v="0"/>
    <s v="O232020200882199_Otros servicios jurídicos n.c.p."/>
    <n v="2805000"/>
    <s v="1-Implementar 1 plan de ajuste y sostenibilidad del MIPG en la UAECOB"/>
    <s v="516-Gestionar el 100% de un (1) plan de adecuación y sostenibilidad de los sistemas de gestión de la Unidad Administrativa Especial Cuerpo Oficial de Bomberos"/>
    <s v="NO SECOP"/>
  </r>
  <r>
    <n v="2023808"/>
    <x v="0"/>
    <s v="O23011605560000007655 - Fortalecimiento de la Planeación y Gestión de la UAECOB Bogotá"/>
    <s v="Oficina Jurídica"/>
    <n v="80111600"/>
    <s v="Adición y prórroga al contrato 294 de 2023 cuyo objeto es: &quot;Prestar los servicios profesionales  jurídicos para apoyar las actividades propias de la gestión contractual que adelanta la Oficina Jurídica&quot;"/>
    <d v="2023-10-10T00:00:00"/>
    <d v="2023-10-10T00:00:00"/>
    <n v="3"/>
    <s v="CCE-16 Contratación directa "/>
    <x v="0"/>
    <s v="O232020200882199_Otros servicios jurídicos n.c.p."/>
    <n v="12300000"/>
    <s v="1-Implementar 1 plan de ajuste y sostenibilidad del MIPG en la UAECOB"/>
    <s v="516-Gestionar el 100% de un (1) plan de adecuación y sostenibilidad de los sistemas de gestión de la Unidad Administrativa Especial Cuerpo Oficial de Bomberos"/>
    <s v="NO SECOP"/>
  </r>
  <r>
    <n v="2023810"/>
    <x v="0"/>
    <s v="O23011605560000007655 - Fortalecimiento de la Planeación y Gestión de la UAECOB Bogotá"/>
    <s v="Oficina Jurídica"/>
    <n v="80111600"/>
    <s v="Adición y prórroga al contrato 282 de 2023 cuyo objeto es: &quot;Prestar los servicios de apoyo para las gestiones administrativas requeridas en la Oficina Jurídica&quot;."/>
    <d v="2023-10-10T00:00:00"/>
    <d v="2023-10-10T00:00:00"/>
    <n v="2.2999999999999998"/>
    <s v="CCE-16 Contratación directa "/>
    <x v="0"/>
    <s v="O232020200882199_Otros servicios jurídicos n.c.p."/>
    <n v="8283333"/>
    <s v="1-Implementar 1 plan de ajuste y sostenibilidad del MIPG en la UAECOB"/>
    <s v="516-Gestionar el 100% de un (1) plan de adecuación y sostenibilidad de los sistemas de gestión de la Unidad Administrativa Especial Cuerpo Oficial de Bomberos"/>
    <s v="NO SECOP"/>
  </r>
  <r>
    <n v="2023811"/>
    <x v="0"/>
    <s v="O23011605560000007655 - Fortalecimiento de la Planeación y Gestión de la UAECOB Bogotá"/>
    <s v="Oficina Jurídica"/>
    <n v="80111600"/>
    <s v="Adición y prórroga al contrato 381 de 2023 cuyo objeto es: &quot;Prestar los servicios de apoyo para las gestiones documentales y administrativas requerida por la Oficina Jurídica&quot;"/>
    <d v="2023-10-10T00:00:00"/>
    <d v="2023-10-10T00:00:00"/>
    <n v="1"/>
    <s v="CCE-16 Contratación directa "/>
    <x v="0"/>
    <s v="O232020200883990_Otros servicios profesionales, técnicos y empresariales n.c.p."/>
    <n v="2900000"/>
    <s v="1-Implementar 1 plan de ajuste y sostenibilidad del MIPG en la UAECOB"/>
    <s v="516-Gestionar el 100% de un (1) plan de adecuación y sostenibilidad de los sistemas de gestión de la Unidad Administrativa Especial Cuerpo Oficial de Bomberos"/>
    <s v="NO SECOP"/>
  </r>
  <r>
    <n v="2023812"/>
    <x v="0"/>
    <s v="O23011605560000007655 - Fortalecimiento de la Planeación y Gestión de la UAECOB Bogotá"/>
    <s v="Oficina Jurídica"/>
    <n v="80111600"/>
    <s v="Adición y prórroga al contrato 298 de 2023 cuyo objeto es: &quot;Prestar los servicios de apoyo para las gestiones documentales y administrativas requerida por la Oficina Jurídica&quot;"/>
    <d v="2023-10-10T00:00:00"/>
    <d v="2023-10-10T00:00:00"/>
    <n v="3"/>
    <s v="CCE-16 Contratación directa "/>
    <x v="0"/>
    <s v="O232020200883990_Otros servicios profesionales, técnicos y empresariales n.c.p."/>
    <n v="8700000"/>
    <s v="1-Implementar 1 plan de ajuste y sostenibilidad del MIPG en la UAECOB"/>
    <s v="516-Gestionar el 100% de un (1) plan de adecuación y sostenibilidad de los sistemas de gestión de la Unidad Administrativa Especial Cuerpo Oficial de Bomberos"/>
    <s v="NO SECOP"/>
  </r>
  <r>
    <n v="2023813"/>
    <x v="0"/>
    <s v="O23011605560000007655 - Fortalecimiento de la Planeación y Gestión de la UAECOB Bogotá"/>
    <s v="Oficina Jurídica"/>
    <n v="80111600"/>
    <s v="Adición y prórroga al contrato 378 de 2023 cuyo objeto es: &quot;Prestar los servicios de apoyo para las gestiones documentales y administrativas requerida por la Oficina Jurídica&quot;"/>
    <d v="2023-10-10T00:00:00"/>
    <d v="2023-10-10T00:00:00"/>
    <n v="1"/>
    <s v="CCE-16 Contratación directa "/>
    <x v="0"/>
    <s v="O232020200883990_Otros servicios profesionales, técnicos y empresariales n.c.p."/>
    <n v="2900000"/>
    <s v="1-Implementar 1 plan de ajuste y sostenibilidad del MIPG en la UAECOB"/>
    <s v="516-Gestionar el 100% de un (1) plan de adecuación y sostenibilidad de los sistemas de gestión de la Unidad Administrativa Especial Cuerpo Oficial de Bomberos"/>
    <s v="NO SECOP"/>
  </r>
  <r>
    <n v="2023814"/>
    <x v="0"/>
    <s v="O23011605560000007655 - Fortalecimiento de la Planeación y Gestión de la UAECOB Bogotá"/>
    <s v="Oficina Jurídica"/>
    <n v="80111600"/>
    <s v="Adición y prórroga al contrato 286 de 2023 cuyo objeto es: &quot;Prestar los servicios profesionales  jurídicos para apoyar las actividades propias de la gestión contractual que adelanta la Oficina Jurídica&quot;"/>
    <d v="2023-10-10T00:00:00"/>
    <d v="2023-10-10T00:00:00"/>
    <n v="3"/>
    <s v="CCE-16 Contratación directa "/>
    <x v="0"/>
    <s v="O232020200882199_Otros servicios jurídicos n.c.p."/>
    <n v="11400000"/>
    <s v="1-Implementar 1 plan de ajuste y sostenibilidad del MIPG en la UAECOB"/>
    <s v="516-Gestionar el 100% de un (1) plan de adecuación y sostenibilidad de los sistemas de gestión de la Unidad Administrativa Especial Cuerpo Oficial de Bomberos"/>
    <s v="NO SECOP"/>
  </r>
  <r>
    <n v="2023815"/>
    <x v="0"/>
    <s v="O23011605560000007655 - Fortalecimiento de la Planeación y Gestión de la UAECOB Bogotá"/>
    <s v="Oficina Jurídica"/>
    <n v="80111600"/>
    <s v="Adición y prórroga al contrato 384 de 2023 cuyo objeto es: &quot;Prestar servicios profesionales  para apoyar en las acciones de control y manejo de la información y la presentación de los informes reglamentarios a los entes de control por parte de la Oficina "/>
    <d v="2023-10-10T00:00:00"/>
    <d v="2023-10-10T00:00:00"/>
    <n v="0.5"/>
    <s v="CCE-16 Contratación directa "/>
    <x v="0"/>
    <s v="O232020200883990_Otros servicios profesionales, técnicos y empresariales n.c.p."/>
    <n v="2550000"/>
    <s v="1-Implementar 1 plan de ajuste y sostenibilidad del MIPG en la UAECOB"/>
    <s v="516-Gestionar el 100% de un (1) plan de adecuación y sostenibilidad de los sistemas de gestión de la Unidad Administrativa Especial Cuerpo Oficial de Bomberos"/>
    <s v="NO SECOP"/>
  </r>
  <r>
    <n v="2023816"/>
    <x v="0"/>
    <s v="O23011605560000007655 - Fortalecimiento de la Planeación y Gestión de la UAECOB Bogotá"/>
    <s v="Oficina Jurídica"/>
    <n v="80111600"/>
    <s v="Adición y prórroga al contrato 308 de 2023 cuyo objeto es: &quot;Prestar los servicios de apoyo para los tramites, gestiones y actividades propias que se requieran en los diferentes procesos disciplinarios propios de la etapa de juzgamiento de la Oficina Juríd"/>
    <d v="2023-10-10T00:00:00"/>
    <d v="2023-10-10T00:00:00"/>
    <n v="3"/>
    <s v="CCE-16 Contratación directa "/>
    <x v="0"/>
    <s v="O232020200882199_Otros servicios jurídicos n.c.p."/>
    <n v="10200000"/>
    <s v="1-Implementar 1 plan de ajuste y sostenibilidad del MIPG en la UAECOB"/>
    <s v="516-Gestionar el 100% de un (1) plan de adecuación y sostenibilidad de los sistemas de gestión de la Unidad Administrativa Especial Cuerpo Oficial de Bomberos"/>
    <s v="NO SECOP"/>
  </r>
  <r>
    <n v="2023817"/>
    <x v="0"/>
    <s v="O23011605560000007655 - Fortalecimiento de la Planeación y Gestión de la UAECOB Bogotá"/>
    <s v="Oficina Jurídica"/>
    <n v="80111600"/>
    <s v="Adición y prórroga al contrato 349 de 2023 cuyo objeto es: &quot;Prestar servicios profesionales para apoyar las diferentes actuaciones jurídicas que adelanta la UACOB&quot;"/>
    <d v="2023-10-10T00:00:00"/>
    <d v="2023-10-10T00:00:00"/>
    <n v="2.5"/>
    <s v="CCE-16 Contratación directa "/>
    <x v="0"/>
    <s v="O232020200882199_Otros servicios jurídicos n.c.p."/>
    <n v="9625000"/>
    <s v="1-Implementar 1 plan de ajuste y sostenibilidad del MIPG en la UAECOB"/>
    <s v="516-Gestionar el 100% de un (1) plan de adecuación y sostenibilidad de los sistemas de gestión de la Unidad Administrativa Especial Cuerpo Oficial de Bomberos"/>
    <s v="NO SECOP"/>
  </r>
  <r>
    <n v="2023818"/>
    <x v="0"/>
    <s v="O23011605560000007655 - Fortalecimiento de la Planeación y Gestión de la UAECOB Bogotá"/>
    <s v="Oficina Jurídica"/>
    <n v="80111600"/>
    <s v="Adición y prórroga al contrato 350 de 2023 cuyo objeto es: &quot;Prestar los servicios profesionales para apoyar la depuración de la cartera de cobro coactivo, así como actividades propias de la defensa judicial de la Entidad y demas actiuaciones relacionadas "/>
    <d v="2023-10-10T00:00:00"/>
    <d v="2023-10-10T00:00:00"/>
    <n v="0.3"/>
    <s v="CCE-16 Contratación directa "/>
    <x v="0"/>
    <s v="O232020200882199_Otros servicios jurídicos n.c.p."/>
    <n v="1666667"/>
    <s v="1-Implementar 1 plan de ajuste y sostenibilidad del MIPG en la UAECOB"/>
    <s v="516-Gestionar el 100% de un (1) plan de adecuación y sostenibilidad de los sistemas de gestión de la Unidad Administrativa Especial Cuerpo Oficial de Bomberos"/>
    <s v="NO SECOP"/>
  </r>
  <r>
    <n v="2023819"/>
    <x v="0"/>
    <s v="O23011605560000007655 - Fortalecimiento de la Planeación y Gestión de la UAECOB Bogotá"/>
    <s v="Oficina de Control Disciplinario Interno"/>
    <n v="80111600"/>
    <s v=" Adición y prórroga del Contrato 200 de 2023 cuyo objeto es &quot;Prestar los servicios profesionales jurídicos en la Oficina de Control Disciplinario Interno de la entidad relacionados con los procesos disciplinarios&quot;"/>
    <d v="2023-09-15T00:00:00"/>
    <d v="2023-09-15T00:00:00"/>
    <n v="3"/>
    <s v="CCE-16 Contratación directa "/>
    <x v="0"/>
    <s v="O232020200883990_Otros servicios profesionales, técnicos y empresariales n.c.p."/>
    <n v="25000000"/>
    <s v="1-Implementar 1 plan de ajuste y sostenibilidad del MIPG en la UAECOB"/>
    <s v="516-Gestionar el 100% de un (1) plan de adecuación y sostenibilidad de los sistemas de gestión de la Unidad Administrativa Especial Cuerpo Oficial de Bomberos"/>
    <s v="NO SECOP"/>
  </r>
  <r>
    <n v="2023820"/>
    <x v="0"/>
    <s v="O23011605560000007655 - Fortalecimiento de la Planeación y Gestión de la UAECOB Bogotá"/>
    <s v="Oficina de Control Disciplinario Interno"/>
    <n v="80111600"/>
    <s v="Adición y prórroga del Contrato 250 de 2023 cuyo objeto es &quot;Prestación de servicios profesionales jurídicos para apoyar la gestión de las actuaciones disciplinarias que se encuentren a cargo y adelante la Oficina de Control Disciplinario Interno en el rol"/>
    <d v="2023-09-15T00:00:00"/>
    <d v="2023-09-15T00:00:00"/>
    <n v="2"/>
    <s v="CCE-16 Contratación directa "/>
    <x v="0"/>
    <s v="O232020200883990_Otros servicios profesionales, técnicos y empresariales n.c.p."/>
    <n v="10000000"/>
    <s v="1-Implementar 1 plan de ajuste y sostenibilidad del MIPG en la UAECOB"/>
    <s v="516-Gestionar el 100% de un (1) plan de adecuación y sostenibilidad de los sistemas de gestión de la Unidad Administrativa Especial Cuerpo Oficial de Bomberos"/>
    <s v="NO SECOP"/>
  </r>
  <r>
    <n v="2023821"/>
    <x v="0"/>
    <s v="O23011605560000007655 - Fortalecimiento de la Planeación y Gestión de la UAECOB Bogotá"/>
    <s v="Dirección-Comunicaciones y Prensa"/>
    <n v="80111600"/>
    <s v="&quot;Adición y prorroga al contrato 364-2023 cuyo objeto es &quot;Prestación de servicios profesionales en asuntos de comunicaciones y prensa para apoyar la divulgación y socialización de la información relacionada con la misionalidad de la UAECOB de manera intern"/>
    <d v="2023-09-15T00:00:00"/>
    <d v="2023-09-15T00:00:00"/>
    <n v="1"/>
    <s v="CCE-16 Contratación directa "/>
    <x v="0"/>
    <s v="O232020200883990_Otros servicios profesionales, técnicos y empresariales n.c.p."/>
    <n v="5000000"/>
    <s v="1-Implementar 1 plan de ajuste y sostenibilidad del MIPG en la UAECOB"/>
    <s v="516-Gestionar el 100% de un (1) plan de adecuación y sostenibilidad de los sistemas de gestión de la Unidad Administrativa Especial Cuerpo Oficial de Bomberos"/>
    <s v="NO SECOP"/>
  </r>
  <r>
    <n v="2023822"/>
    <x v="3"/>
    <s v="O23011602300000007658 - Fortalecimiento del Cuerpo Oficial de Bomberos Bogotá"/>
    <s v="Subdirección Logística"/>
    <n v="80111600"/>
    <s v="Adición y Prorroga del Cto No. 527 de 2023 cuyo objeto es “Prestar servicios de apoyo a la gestión en los aspectos jurídicos de la Subdirección Logística -SBLG” "/>
    <d v="2023-10-01T00:00:00"/>
    <d v="2023-10-05T00:00:00"/>
    <n v="2"/>
    <s v="CCE-16 Contratación directa "/>
    <x v="0"/>
    <s v="O232020200883990_Otros servicios profesionales, técnicos y empresariales n.c.p."/>
    <n v="45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823"/>
    <x v="3"/>
    <s v="O23011602300000007658 - Fortalecimiento del Cuerpo Oficial de Bomberos Bogotá"/>
    <s v="Subdirección Logística"/>
    <n v="80111600"/>
    <s v="Adición y Prorroga del Cto No. 474 de 2023 cuyo objeto es “Prestación de servicios de apoyo a la gestión como conductor de acuerdo a las necesidades de desplazamiento que requiera la Subdirección Logística - SBLG” "/>
    <d v="2023-10-01T00:00:00"/>
    <d v="2023-10-05T00:00:00"/>
    <n v="2"/>
    <s v="CCE-16 Contratación directa "/>
    <x v="0"/>
    <s v="O232020200883990_Otros servicios profesionales, técnicos y empresariales n.c.p."/>
    <n v="465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824"/>
    <x v="3"/>
    <s v="O23011602300000007658 - Fortalecimiento del Cuerpo Oficial de Bomberos Bogotá"/>
    <s v="Subdirección Logística"/>
    <n v="80111600"/>
    <s v="Adición y Prorroga del Cto No. 396 de 2023 cuyo objeto es “Prestar servicios de apoyo a la gestión en temas administrativos para el seguimiento y control de suministros y consumibles derivados de los contratos de la Subdirección Logística -SBLG. "/>
    <d v="2023-10-01T00:00:00"/>
    <d v="2023-10-05T00:00:00"/>
    <n v="2"/>
    <s v="CCE-16 Contratación directa "/>
    <x v="0"/>
    <s v="O232020200883990_Otros servicios profesionales, técnicos y empresariales n.c.p."/>
    <n v="4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825"/>
    <x v="3"/>
    <s v="O23011602300000007658 - Fortalecimiento del Cuerpo Oficial de Bomberos Bogotá"/>
    <s v="Subdirección Logística"/>
    <n v="80111600"/>
    <s v="Adición y Prorroga del Cto No. 428 de 2023 cuyo objeto es “Prestación de servicios de apoyo a la gestión administrativa y documental en el trámite y atención de requerimientos del personal operativo logístico de la Subdirección Logística, - SBLG” "/>
    <d v="2023-10-01T00:00:00"/>
    <d v="2023-10-05T00:00:00"/>
    <n v="2"/>
    <s v="CCE-16 Contratación directa "/>
    <x v="0"/>
    <s v="O232020200883990_Otros servicios profesionales, técnicos y empresariales n.c.p."/>
    <n v="48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826"/>
    <x v="3"/>
    <s v="O23011602300000007658 - Fortalecimiento del Cuerpo Oficial de Bomberos Bogotá"/>
    <s v="Subdirección Logística"/>
    <n v="80111600"/>
    <s v="Adición y prórroga  del Cto No. 450 de 2023 cuyo objeto es “Prestación de servicios profesionales para realizar el seguimiento y monitoreo a los diferentes procesos y procedimientos del equipo menor a cargo de la Subdirección Logística - SBLG” "/>
    <d v="2023-10-01T00:00:00"/>
    <d v="2023-10-05T00:00:00"/>
    <n v="2"/>
    <s v="CCE-16 Contratación directa "/>
    <x v="0"/>
    <s v="O232020200883990_Otros servicios profesionales, técnicos y empresariales n.c.p."/>
    <n v="6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827"/>
    <x v="3"/>
    <s v="O23011602300000007658 - Fortalecimiento del Cuerpo Oficial de Bomberos Bogotá"/>
    <s v="Subdirección Logística"/>
    <n v="80111600"/>
    <s v="Adición y prórroga  del Cto No. 478 de 2023 cuyo objeto es “Prestación de servicios profesionales en la gestión integral del equipo menor a cargo de la Subdirección Logística garantizando su operatividad y funcionamiento. SBLG” "/>
    <d v="2023-10-01T00:00:00"/>
    <d v="2023-10-05T00:00:00"/>
    <n v="2"/>
    <s v="CCE-16 Contratación directa "/>
    <x v="0"/>
    <s v="O232020200883990_Otros servicios profesionales, técnicos y empresariales n.c.p."/>
    <n v="14083333"/>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828"/>
    <x v="3"/>
    <s v="O23011602300000007658 - Fortalecimiento del Cuerpo Oficial de Bomberos Bogotá"/>
    <s v="Subdirección Logística"/>
    <n v="80111600"/>
    <s v="Adición y prórroga  del Cto No. 094 de 2023 cuyo objeto es “Prestación de servicios profesionales en la formulación e implementación de estrategias de comunicación que promueva el uso y apropiación de los programas desarrollados por la Subdirección Logíst"/>
    <d v="2023-10-01T00:00:00"/>
    <d v="2023-10-05T00:00:00"/>
    <n v="2"/>
    <s v="CCE-16 Contratación directa "/>
    <x v="0"/>
    <s v="O232020200883990_Otros servicios profesionales, técnicos y empresariales n.c.p."/>
    <n v="7333333"/>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829"/>
    <x v="3"/>
    <s v="O23011602300000007658 - Fortalecimiento del Cuerpo Oficial de Bomberos Bogotá"/>
    <s v="Subdirección Logística"/>
    <n v="80111600"/>
    <s v="Adición y prórroga  del Cto No. 534 de 2023 cuyo objeto es “Prestación de servicios de apoyo a la gestión para realizar el diagnóstico, los mantenimientos preventivos y correctivos a fin de garantizar la permanente funcionalidad de los equipos menores per"/>
    <d v="2023-10-01T00:00:00"/>
    <d v="2023-10-05T00:00:00"/>
    <n v="2"/>
    <s v="CCE-16 Contratación directa "/>
    <x v="0"/>
    <s v="O232020200883990_Otros servicios profesionales, técnicos y empresariales n.c.p."/>
    <n v="3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830"/>
    <x v="3"/>
    <s v="O23011602300000007658 - Fortalecimiento del Cuerpo Oficial de Bomberos Bogotá"/>
    <s v="Subdirección Logística"/>
    <n v="80111600"/>
    <s v="Adición y prorroga del Cto no. 517 de 2023 cuyo objeto es “prestación de servicios de apoyo a la gestión del correcto funcionamiento de los equipos menores pertenecientes a la UAECOB, en la Subdirección logística SBLG”"/>
    <d v="2023-10-01T00:00:00"/>
    <d v="2023-10-05T00:00:00"/>
    <n v="2"/>
    <s v="CCE-16 Contratación directa "/>
    <x v="0"/>
    <s v="O232020200883990_Otros servicios profesionales, técnicos y empresariales n.c.p."/>
    <n v="3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r>
    <n v="2023831"/>
    <x v="3"/>
    <s v="O23011602300000007658 - Fortalecimiento del Cuerpo Oficial de Bomberos Bogotá"/>
    <s v="Subdirección Logística"/>
    <n v="80111600"/>
    <s v="Prestar servicios profesionales para realizar el seguimiento y control de las solicitudes que se reciban a través de las herramientas de tecnológicas de la mesa de logística a cargo Subdirección Logística – SBLG "/>
    <d v="2023-10-01T00:00:00"/>
    <d v="2023-10-05T00:00:00"/>
    <n v="4"/>
    <s v="CCE-16 Contratación directa "/>
    <x v="0"/>
    <s v="O232020200883990_Otros servicios profesionales, técnicos y empresariales n.c.p."/>
    <n v="18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832"/>
    <x v="1"/>
    <s v="Funcionamiento"/>
    <s v="Subdirección de Gestión Corporativa"/>
    <s v="841315;"/>
    <s v="Adición No.1 al contrato 632 de 2022 que tiene como objeto &quot;Contratar los seguros de casco aviación aeronaves no tripuladas (drones)de propiedad y de aquellos por los cuales es legalmente responsable a Unidad Administrativa Especial del Cuerpo Oficial de "/>
    <d v="2023-09-18T00:00:00"/>
    <d v="2023-09-22T00:00:00"/>
    <s v="N/A"/>
    <s v="CCE-10 Mínima cuantía"/>
    <x v="0"/>
    <s v="N/A funcionamiento"/>
    <n v="8400000"/>
    <s v="N/A funcionamiento"/>
    <s v="N/A funcionamiento"/>
    <s v="NO SECOP"/>
  </r>
  <r>
    <n v="2023833"/>
    <x v="1"/>
    <s v="Funcionamiento"/>
    <s v="Subdirección de Gestión Corporativa"/>
    <s v="47131800;"/>
    <s v="Suministro de insumos de lavadoras para la UAE Cuerpo Oficial de Bomberos-SGC"/>
    <d v="2023-09-18T00:00:00"/>
    <d v="2023-09-22T00:00:00"/>
    <n v="10"/>
    <s v="CCE-10 Mínima cuantía"/>
    <x v="0"/>
    <s v="N/A funcionamiento"/>
    <n v="14865678"/>
    <s v="N/A funcionamiento"/>
    <s v="N/A funcionamiento"/>
    <s v="SI SECOP"/>
  </r>
  <r>
    <n v="2023834"/>
    <x v="1"/>
    <s v="Funcionamiento"/>
    <s v="Subdirección de Gestión Corporativa"/>
    <s v="44103100;_x000a_44103101;_x000a_44103103;_x000a_44103105;_x000a_44103106;_x000a_44103108;_x000a_44103110;_x000a_44103111;"/>
    <s v="Adición No.1 al contrato 122 de 2023 que tiene como objeto&quot;Suministro de insumos para computador e impresoras para las dependencias de la UAE Cuerpo Oficial de Bomberos.-SGC&quot;"/>
    <d v="2023-09-18T00:00:00"/>
    <d v="2023-09-22T00:00:00"/>
    <s v="N/A"/>
    <s v="CCE-99 Seléccion abreviada - acuerdo marco"/>
    <x v="0"/>
    <s v="N/A funcionamiento"/>
    <n v="30000000"/>
    <s v="N/A funcionamiento"/>
    <s v="N/A funcionamiento"/>
    <s v="NO SECOP"/>
  </r>
  <r>
    <n v="2023835"/>
    <x v="3"/>
    <s v="O23011602300000007658 - Fortalecimiento del Cuerpo Oficial de Bomberos Bogotá"/>
    <s v="Subdirección de Gestión Corporativa"/>
    <s v="N/A"/>
    <s v="Reconocimiento y pago Pasivo Exigible contrato de Interventorìa No 690 de 2021 suscrito con GAVINCO INGENIEROS CONSULTORES S.A.S"/>
    <s v="N/A"/>
    <s v="N/A"/>
    <s v="N/A"/>
    <s v="N/A"/>
    <x v="3"/>
    <s v="O2320202005040554590_Otros servicios especializados de la construcción"/>
    <n v="17217745"/>
    <s v="4-Adecuar seis (6) estaciones de Bomberos"/>
    <s v="226-Reforzar, Adecuar y Ampliar  6 estaciones de Bomberos"/>
    <s v="NO SECOP"/>
  </r>
  <r>
    <n v="2023836"/>
    <x v="3"/>
    <s v="O23011602300000007658 - Fortalecimiento del Cuerpo Oficial de Bomberos Bogotá"/>
    <s v="Subdirección de Gestión Corporativa"/>
    <n v="80111600"/>
    <s v="Prestación de servicios profesionales especializados en temas financieros, administrativos y precontractuales, contractuales y poscontractuales de los procesos del área de infraestructura de la Subdirección de Gestión Corporativa.-SGC"/>
    <d v="2023-09-22T00:00:00"/>
    <d v="2023-10-01T00:00:00"/>
    <n v="3.5"/>
    <s v="CCE-16 Contratación directa "/>
    <x v="0"/>
    <s v="O232020200883990_Otros servicios profesionales, técnicos y empresariales n.c.p."/>
    <n v="26924310"/>
    <s v="5-Implementar 100% de un programa de mantenimiento a las estaciones de bomberos de Bogotá"/>
    <s v="224-Implementar al 100% un programa de formación, modernización y sostenibilidad de la Unidad Administrativa Especial Cuerpo Oficial de Bomberos - UAECOB, para la respuesta efectiva en la atención de emergencias y desastres"/>
    <s v="SI SECOP"/>
  </r>
  <r>
    <n v="2023837"/>
    <x v="2"/>
    <s v="O23011605560000007637 - Fortalecimiento de la infraestructura de tecnología informática y de comunicaciones de la UAECOB"/>
    <s v="Oficina Asesora de Planeación"/>
    <n v="80111600"/>
    <s v="Adición y Prorroga del contrato No. 13 de 2023, cuyo objeto es &quot;Prestar  servicios  profesionales  para administrar y gestionar la  seguridad  y privacidad de la información dentro de la infraestructura tecnológica y de comunicaciones  utilizada por UAE C"/>
    <d v="2023-10-15T00:00:00"/>
    <d v="2023-10-30T00:00:00"/>
    <n v="2"/>
    <s v="CCE-16 Contratación directa "/>
    <x v="0"/>
    <s v="O232020200883990_Otros servicios profesionales, técnicos y empresariales n.c.p."/>
    <n v="13000000"/>
    <s v="1-Implementar 100 %  del modelo de seguridad y privacidad de la información en la UAECOB alineado a la Política de Gobierno Digital."/>
    <s v="517-Implementar al 100% una estrategia de fortalecimiento de los sistemas de información para optimizar la gestión del Cuerpo Oficial de Bomberos"/>
    <s v="NO SECOP"/>
  </r>
  <r>
    <n v="2023838"/>
    <x v="2"/>
    <s v="O23011605560000007637 - Fortalecimiento de la infraestructura de tecnología informática y de comunicaciones de la UAECOB"/>
    <s v="Oficina Asesora de Planeación"/>
    <n v="80111600"/>
    <s v="Adicion y prorroga del contrato No. 58 de 2023, cuyo objeto es: &quot;Prestar los servicios profesionales administrativos y financieros en la gestión contractual relacionados con los proyectos y funciones de la Oficina Asesora de Planeación-TIC&quot;"/>
    <d v="2023-12-01T00:00:00"/>
    <d v="2023-12-15T00:00:00"/>
    <n v="1"/>
    <s v="CCE-16 Contratación directa "/>
    <x v="0"/>
    <s v="O232020200883990_Otros servicios profesionales, técnicos y empresariales n.c.p."/>
    <n v="5000000"/>
    <s v="2-Implementar 100 % de la arquitectura TI conforme a las necesidades de la UAECOB"/>
    <s v="517-Implementar al 100% una estrategia de fortalecimiento de los sistemas de información para optimizar la gestión del Cuerpo Oficial de Bomberos"/>
    <s v="NO SECOP"/>
  </r>
  <r>
    <n v="2023839"/>
    <x v="2"/>
    <s v="O23011605560000007637 - Fortalecimiento de la infraestructura de tecnología informática y de comunicaciones de la UAECOB"/>
    <s v="Oficina Asesora de Planeación"/>
    <n v="80111600"/>
    <s v="Adición y prorroga del contrato No. 494 de 2023, cuyo objeto es &quot;Prestar servicios profesionales con plena autonomía técnica y administrativa, en la administración y gestión de la infraestructura tecnológica de servidores y componentes relacionados con lo"/>
    <d v="2023-11-22T00:00:00"/>
    <d v="2023-12-07T00:00:00"/>
    <n v="1"/>
    <s v="CCE-16 Contratación directa "/>
    <x v="0"/>
    <s v="O232020200883990_Otros servicios profesionales, técnicos y empresariales n.c.p."/>
    <n v="6500000"/>
    <s v="2-Implementar 100 % de la arquitectura TI conforme a las necesidades de la UAECOB"/>
    <s v="517-Implementar al 100% una estrategia de fortalecimiento de los sistemas de información para optimizar la gestión del Cuerpo Oficial de Bomberos"/>
    <s v="NO SECOP"/>
  </r>
  <r>
    <n v="2023840"/>
    <x v="2"/>
    <s v="O23011605560000007637 - Fortalecimiento de la infraestructura de tecnología informática y de comunicaciones de la UAECOB"/>
    <s v="Oficina Asesora de Planeación"/>
    <n v="80111600"/>
    <s v="Adición y Prorroga del contrato No. 532 de 2023, cuyo objeto es: &quot;Prestar Servicios Profesionales con plena autonomía técnica y administrativa, como gestor de la Política del Sistema de Gestión de Seguridad de la Información - SGSI, Gobierno Digital, Tran"/>
    <d v="2023-11-13T00:00:00"/>
    <d v="2023-11-28T00:00:00"/>
    <n v="1"/>
    <s v="CCE-16 Contratación directa "/>
    <x v="0"/>
    <s v="O232020200883990_Otros servicios profesionales, técnicos y empresariales n.c.p."/>
    <n v="6800000"/>
    <s v="3-Habilitar 3 servicios ciudadanos digitales básicos en la UAECOB"/>
    <s v="517-Implementar al 100% una estrategia de fortalecimiento de los sistemas de información para optimizar la gestión del Cuerpo Oficial de Bomberos"/>
    <s v="NO SECOP"/>
  </r>
  <r>
    <n v="2023841"/>
    <x v="2"/>
    <s v="O23011605560000007637 - Fortalecimiento de la infraestructura de tecnología informática y de comunicaciones de la UAECOB"/>
    <s v="Oficina Asesora de Planeación"/>
    <n v="80111600"/>
    <s v="Adicion y prorroga del contrato No. 447 Prestar Servicios Profesionales  con autonomía técnica y administrativa, en la administración, y gestión de  los sistemas de información y aplicativos con los que cuenta la UAE Cuerpo Oficial de Bomberos Bogotá. -TI"/>
    <d v="2023-12-08T00:00:00"/>
    <d v="2023-12-23T00:00:00"/>
    <n v="1"/>
    <s v="CCE-16 Contratación directa "/>
    <x v="0"/>
    <s v="O232020200883990_Otros servicios profesionales, técnicos y empresariales n.c.p."/>
    <n v="6500000"/>
    <s v="2-Implementar 100 % de la arquitectura TI conforme a las necesidades de la UAECOB"/>
    <s v="517-Implementar al 100% una estrategia de fortalecimiento de los sistemas de información para optimizar la gestión del Cuerpo Oficial de Bomberos"/>
    <s v="NO SECOP"/>
  </r>
  <r>
    <n v="2023842"/>
    <x v="2"/>
    <s v="O23011605560000007637 - Fortalecimiento de la infraestructura de tecnología informática y de comunicaciones de la UAECOB"/>
    <s v="Oficina Asesora de Planeación"/>
    <n v="80111600"/>
    <s v="Prestar servicios profesionales en la administración de los sistemas misionales, asi como, gestionar la apropiación del conocimiento, sus mantenimientos, actualizaciones e implementaciones de los mismos"/>
    <d v="2023-09-20T00:00:00"/>
    <d v="2023-10-05T00:00:00"/>
    <n v="2"/>
    <s v="CCE-16 Contratación directa "/>
    <x v="0"/>
    <s v="O232020200883990_Otros servicios profesionales, técnicos y empresariales n.c.p."/>
    <n v="12000000"/>
    <s v="3-Habilitar 3 servicios ciudadanos digitales básicos en la UAECOB"/>
    <s v="517-Implementar al 100% una estrategia de fortalecimiento de los sistemas de información para optimizar la gestión del Cuerpo Oficial de Bomberos"/>
    <s v="SI SECOP"/>
  </r>
  <r>
    <n v="2023843"/>
    <x v="0"/>
    <s v="O23011605560000007655 - Fortalecimiento de la Planeación y Gestión de la UAECOB Bogotá"/>
    <s v="Oficina Asesora de Planeación"/>
    <n v="80111600"/>
    <s v="Prestar servicios profesionales especializados a la Jefatura de la Oficina Asesora de Planeación en el fortalecimiento, articulación, seguimiento y gestión de los proyectos de inversión y la implementación del modelo integrado de planeación y gestión en e"/>
    <d v="2023-09-18T00:00:00"/>
    <d v="2023-10-03T00:00:00"/>
    <n v="4"/>
    <s v="CCE-16 Contratación directa "/>
    <x v="3"/>
    <s v="O232020200883990_Otros servicios profesionales, técnicos y empresariales n.c.p."/>
    <n v="32000000"/>
    <s v="1-Implementar 1 plan de ajuste y sostenibilidad del MIPG en la UAECOB"/>
    <s v="516-Gestionar el 100% de un (1) plan de adecuación y sostenibilidad de los sistemas de gestión de la Unidad Administrativa Especial Cuerpo Oficial de Bomberos"/>
    <s v="NO SECOP"/>
  </r>
  <r>
    <n v="2023844"/>
    <x v="0"/>
    <s v="O23011605560000007655 - Fortalecimiento de la Planeación y Gestión de la UAECOB Bogotá"/>
    <s v="Subdirección de Gestión Corporativa"/>
    <n v="80111600"/>
    <s v="Adición y prórroga No.1 al contrato 078 de 2023 con objeto &quot;Prestación de servicios de apoyo a la gestión para desarrollar actividades de tipo administrativo relacionadas con las funciones propias de la Subdirección de Gestión Corporativa-SGC"/>
    <d v="2023-09-18T00:00:00"/>
    <d v="2023-09-22T00:00:00"/>
    <n v="1"/>
    <s v="CCE-16 Contratación directa "/>
    <x v="0"/>
    <s v="O232020200883990_Otros servicios profesionales, técnicos y empresariales n.c.p."/>
    <n v="3350000"/>
    <s v="1-Implementar 1 plan de ajuste y sostenibilidad del MIPG en la UAECOB"/>
    <s v="516-Gestionar el 100% de un (1) plan de adecuación y sostenibilidad de los sistemas de gestión de la Unidad Administrativa Especial Cuerpo Oficial de Bomberos"/>
    <s v="NO SECOP"/>
  </r>
  <r>
    <n v="2023845"/>
    <x v="0"/>
    <s v="O23011605560000007655 - Fortalecimiento de la Planeación y Gestión de la UAECOB Bogotá"/>
    <s v="Subdirección de Gestión Corporativa"/>
    <n v="80111600"/>
    <s v="Adición y prórroga No. 1 al contrato 034 de 2023 con objeto &quot;Prestar los servicios como conductor de la Subdirección de Gestión Corporativa -SGC"/>
    <d v="2023-09-18T00:00:00"/>
    <d v="2023-09-22T00:00:00"/>
    <s v="3.5"/>
    <s v="CCE-16 Contratación directa "/>
    <x v="0"/>
    <s v="O232020200883990_Otros servicios profesionales, técnicos y empresariales n.c.p."/>
    <n v="11085760"/>
    <s v="1-Implementar 1 plan de ajuste y sostenibilidad del MIPG en la UAECOB"/>
    <s v="516-Gestionar el 100% de un (1) plan de adecuación y sostenibilidad de los sistemas de gestión de la Unidad Administrativa Especial Cuerpo Oficial de Bomberos"/>
    <s v="NO SECOP"/>
  </r>
  <r>
    <n v="2023846"/>
    <x v="0"/>
    <s v="O23011605560000007655 - Fortalecimiento de la Planeación y Gestión de la UAECOB Bogotá"/>
    <s v="Subdirección de Gestión Corporativa"/>
    <n v="80111600"/>
    <s v="Adición y prórroga No.1 al contrato 395 de 2023 con objeto &quot;Prestación de servicios de apoyo a la gestión en la ejecución de los planes y programas de servicio al ciudadano a cargo de la Subdirección de Gestión Corporativa-SGC"/>
    <d v="2023-09-18T00:00:00"/>
    <d v="2023-09-22T00:00:00"/>
    <n v="2"/>
    <s v="CCE-16 Contratación directa "/>
    <x v="0"/>
    <s v="O232020200883990_Otros servicios profesionales, técnicos y empresariales n.c.p."/>
    <n v="4900000"/>
    <s v="1-Implementar 1 plan de ajuste y sostenibilidad del MIPG en la UAECOB"/>
    <s v="516-Gestionar el 100% de un (1) plan de adecuación y sostenibilidad de los sistemas de gestión de la Unidad Administrativa Especial Cuerpo Oficial de Bomberos"/>
    <s v="NO SECOP"/>
  </r>
  <r>
    <n v="2023847"/>
    <x v="0"/>
    <s v="O23011605560000007655 - Fortalecimiento de la Planeación y Gestión de la UAECOB Bogotá"/>
    <s v="Subdirección de Gestión Corporativa"/>
    <n v="80111600"/>
    <s v="Adición y prórroga No.1 al contrato 356 de 2023 con objeto &quot;Prestación de servicios de apoyo a la gestión documental de la Subdirección de Gestión Corporativa de la Unidad-SGC"/>
    <d v="2023-09-18T00:00:00"/>
    <d v="2023-09-22T00:00:00"/>
    <n v="1"/>
    <s v="CCE-16 Contratación directa "/>
    <x v="0"/>
    <s v="O232020200883990_Otros servicios profesionales, técnicos y empresariales n.c.p."/>
    <n v="2450000"/>
    <s v="1-Implementar 1 plan de ajuste y sostenibilidad del MIPG en la UAECOB"/>
    <s v="516-Gestionar el 100% de un (1) plan de adecuación y sostenibilidad de los sistemas de gestión de la Unidad Administrativa Especial Cuerpo Oficial de Bomberos"/>
    <s v="NO SECOP"/>
  </r>
  <r>
    <n v="2023848"/>
    <x v="0"/>
    <s v="O23011605560000007655 - Fortalecimiento de la Planeación y Gestión de la UAECOB Bogotá"/>
    <s v="Subdirección de Gestión Corporativa"/>
    <n v="80111600"/>
    <s v="Adición y prórroga No.1 al contrato 351 de 2023 con objeto &quot;Prestar servicios profesionales en la Subdirección de Gestión Corporativa en lo relacionado con los procesos de inventarios.-SGC"/>
    <d v="2023-09-18T00:00:00"/>
    <d v="2023-09-22T00:00:00"/>
    <s v="2.5"/>
    <s v="CCE-16 Contratación directa "/>
    <x v="0"/>
    <s v="O232020200883990_Otros servicios profesionales, técnicos y empresariales n.c.p."/>
    <n v="17000000"/>
    <s v="1-Implementar 1 plan de ajuste y sostenibilidad del MIPG en la UAECOB"/>
    <s v="516-Gestionar el 100% de un (1) plan de adecuación y sostenibilidad de los sistemas de gestión de la Unidad Administrativa Especial Cuerpo Oficial de Bomberos"/>
    <s v="NO SECOP"/>
  </r>
  <r>
    <n v="2023849"/>
    <x v="0"/>
    <s v="O23011605560000007655 - Fortalecimiento de la Planeación y Gestión de la UAECOB Bogotá"/>
    <s v="Subdirección de Gestión Corporativa"/>
    <n v="80111600"/>
    <s v="Adición y prórroga No.1 al contrato 293 de 2023 con objeto &quot;Prestación de servicios de apoyo a la gestión documental de la Subdirección de Gestión Corporativa de la Unidad-SGC"/>
    <d v="2023-09-18T00:00:00"/>
    <d v="2023-09-22T00:00:00"/>
    <n v="3"/>
    <s v="CCE-16 Contratación directa "/>
    <x v="0"/>
    <s v="O232020200883990_Otros servicios profesionales, técnicos y empresariales n.c.p."/>
    <n v="7350000"/>
    <s v="1-Implementar 1 plan de ajuste y sostenibilidad del MIPG en la UAECOB"/>
    <s v="516-Gestionar el 100% de un (1) plan de adecuación y sostenibilidad de los sistemas de gestión de la Unidad Administrativa Especial Cuerpo Oficial de Bomberos"/>
    <s v="NO SECOP"/>
  </r>
  <r>
    <n v="2023850"/>
    <x v="0"/>
    <s v="O23011605560000007655 - Fortalecimiento de la Planeación y Gestión de la UAECOB Bogotá"/>
    <s v="Subdirección de Gestión Corporativa"/>
    <n v="80111600"/>
    <s v="Adición y prórroga No.1 al contrato 388 de 2023 con objeto &quot;Prestación de servicios de apoyo a la gestión en la ejecución de los planes y programas de servicio al ciudadano a cargo de la Subdirección de Gestión Corporativa-SGC"/>
    <d v="2023-09-18T00:00:00"/>
    <d v="2023-09-22T00:00:00"/>
    <n v="2"/>
    <s v="CCE-16 Contratación directa "/>
    <x v="0"/>
    <s v="O232020200883990_Otros servicios profesionales, técnicos y empresariales n.c.p."/>
    <n v="4900000"/>
    <s v="1-Implementar 1 plan de ajuste y sostenibilidad del MIPG en la UAECOB"/>
    <s v="516-Gestionar el 100% de un (1) plan de adecuación y sostenibilidad de los sistemas de gestión de la Unidad Administrativa Especial Cuerpo Oficial de Bomberos"/>
    <s v="NO SECOP"/>
  </r>
  <r>
    <n v="2023851"/>
    <x v="0"/>
    <s v="O23011605560000007655 - Fortalecimiento de la Planeación y Gestión de la UAECOB Bogotá"/>
    <s v="Subdirección de Gestión Corporativa"/>
    <n v="80111600"/>
    <s v="Adición y prórroga No.1 al contrato 424 de 2023 con objeto &quot;Prestación de servicios de apoyo a la gestión en la ejecución de los planes y programas de servicio al ciudadano a cargo de la Subdirección de Gestión Corporativa-SGC"/>
    <d v="2023-09-18T00:00:00"/>
    <d v="2023-09-22T00:00:00"/>
    <n v="2"/>
    <s v="CCE-16 Contratación directa "/>
    <x v="0"/>
    <s v="O232020200883990_Otros servicios profesionales, técnicos y empresariales n.c.p."/>
    <n v="4900000"/>
    <s v="1-Implementar 1 plan de ajuste y sostenibilidad del MIPG en la UAECOB"/>
    <s v="516-Gestionar el 100% de un (1) plan de adecuación y sostenibilidad de los sistemas de gestión de la Unidad Administrativa Especial Cuerpo Oficial de Bomberos"/>
    <s v="NO SECOP"/>
  </r>
  <r>
    <n v="2023852"/>
    <x v="0"/>
    <s v="O23011605560000007655 - Fortalecimiento de la Planeación y Gestión de la UAECOB Bogotá"/>
    <s v="Subdirección de Gestión Corporativa"/>
    <n v="80111600"/>
    <s v="Adición y prórroga No.1 al contrato 365 de 2023 con objeto &quot;Prestación de servicios de apoyo a la gestión en la ejecución de los planes y programas de servicio al ciudadano a cargo de la Subdirección de Gestión Corporativa-SGC "/>
    <d v="2023-09-18T00:00:00"/>
    <d v="2023-09-22T00:00:00"/>
    <n v="2"/>
    <s v="CCE-16 Contratación directa "/>
    <x v="0"/>
    <s v="O232020200883990_Otros servicios profesionales, técnicos y empresariales n.c.p."/>
    <n v="4900000"/>
    <s v="1-Implementar 1 plan de ajuste y sostenibilidad del MIPG en la UAECOB"/>
    <s v="516-Gestionar el 100% de un (1) plan de adecuación y sostenibilidad de los sistemas de gestión de la Unidad Administrativa Especial Cuerpo Oficial de Bomberos"/>
    <s v="NO SECOP"/>
  </r>
  <r>
    <n v="2023853"/>
    <x v="0"/>
    <s v="O23011605560000007655 - Fortalecimiento de la Planeación y Gestión de la UAECOB Bogotá"/>
    <s v="Subdirección de Gestión Corporativa"/>
    <n v="80111600"/>
    <s v="Adición y prórroga No.1 al contrato 387 de 2023 con objeto &quot;Prestación de servicios de apoyo a la gestión en la ejecución de los planes y programas de servicio al ciudadano a cargo de la Subdirección de Gestión Corporativa-SGC"/>
    <d v="2023-09-18T00:00:00"/>
    <d v="2023-09-22T00:00:00"/>
    <s v="2.5"/>
    <s v="CCE-16 Contratación directa "/>
    <x v="0"/>
    <s v="O232020200883990_Otros servicios profesionales, técnicos y empresariales n.c.p."/>
    <n v="6125000"/>
    <s v="1-Implementar 1 plan de ajuste y sostenibilidad del MIPG en la UAECOB"/>
    <s v="516-Gestionar el 100% de un (1) plan de adecuación y sostenibilidad de los sistemas de gestión de la Unidad Administrativa Especial Cuerpo Oficial de Bomberos"/>
    <s v="NO SECOP"/>
  </r>
  <r>
    <n v="2023854"/>
    <x v="0"/>
    <s v="O23011605560000007655 - Fortalecimiento de la Planeación y Gestión de la UAECOB Bogotá"/>
    <s v="Subdirección de Gestión Corporativa"/>
    <n v="80111600"/>
    <s v="Adición y prórroga No.1 al contrato 403 de 2023 con objeto &quot;Prestar servicios profesionales para realizar acompañamiento en la elaboración y revisión de actas de liquidación y demás actuaciones administrativas requeridas en la etapa postcontractual del pr"/>
    <d v="2023-09-18T00:00:00"/>
    <d v="2023-09-22T00:00:00"/>
    <n v="1"/>
    <s v="CCE-16 Contratación directa "/>
    <x v="0"/>
    <s v="O232020200883990_Otros servicios profesionales, técnicos y empresariales n.c.p."/>
    <n v="7300000"/>
    <s v="1-Implementar 1 plan de ajuste y sostenibilidad del MIPG en la UAECOB"/>
    <s v="516-Gestionar el 100% de un (1) plan de adecuación y sostenibilidad de los sistemas de gestión de la Unidad Administrativa Especial Cuerpo Oficial de Bomberos"/>
    <s v="NO SECOP"/>
  </r>
  <r>
    <n v="2023855"/>
    <x v="1"/>
    <s v="Funcionamiento"/>
    <s v="Subdirección de Gestión Corporativa"/>
    <n v="80111600"/>
    <s v="Adición y prórroga No.1 al contrato 102 de 2023 con objeto &quot;Prestación de servicios de apoyo a la gestión del proceso de inventarios de la Subdirección de Gestión Corporativa.-SGC"/>
    <d v="2023-09-18T00:00:00"/>
    <d v="2023-09-22T00:00:00"/>
    <n v="2"/>
    <s v="CCE-16 Contratación directa "/>
    <x v="0"/>
    <s v="N/A funcionamiento"/>
    <n v="4900000"/>
    <s v="N/A funcionamiento"/>
    <s v="N/A funcionamiento"/>
    <s v="NO SECOP"/>
  </r>
  <r>
    <n v="2023856"/>
    <x v="1"/>
    <s v="Funcionamiento"/>
    <s v="Subdirección de Gestión Corporativa"/>
    <n v="80111600"/>
    <s v="Adición y prórroga No.1 al contrato 206 de 2023 con objeto &quot;Prestación de servicios profesionales en la implementación, consolidación, seguimiento y reporte de los lineamientos ambientales en cada una de las sedes de la UAE CUERPO OFICIAL DE BOMBEROS BOGO"/>
    <d v="2023-09-18T00:00:00"/>
    <d v="2023-09-22T00:00:00"/>
    <n v="2"/>
    <s v="CCE-16 Contratación directa "/>
    <x v="0"/>
    <s v="N/A funcionamiento"/>
    <n v="8000000"/>
    <s v="N/A funcionamiento"/>
    <s v="N/A funcionamiento"/>
    <s v="NO SECOP"/>
  </r>
  <r>
    <n v="2023857"/>
    <x v="1"/>
    <s v="Funcionamiento"/>
    <s v="Subdirección de Gestión Corporativa"/>
    <n v="80111600"/>
    <s v="Adición y prórroga No.1 al contrato 095 de 2023 con objeto &quot;Prestación de servicios de apoyo a la gestión del proceso de inventarios de la Subdirección de Gestión Corporativa.-SGC"/>
    <d v="2023-09-18T00:00:00"/>
    <d v="2023-09-22T00:00:00"/>
    <n v="2"/>
    <s v="CCE-16 Contratación directa "/>
    <x v="0"/>
    <s v="N/A funcionamiento"/>
    <n v="4900000"/>
    <s v="N/A funcionamiento"/>
    <s v="N/A funcionamiento"/>
    <s v="NO SECOP"/>
  </r>
  <r>
    <n v="2023858"/>
    <x v="1"/>
    <s v="Funcionamiento"/>
    <s v="Subdirección de Gestión Corporativa"/>
    <n v="80111600"/>
    <s v="Adición y prórroga No.1 al contrato 067 de 2023 con objeto &quot;Prestación de servicios profesionales para la ejecución de los procesos contables que se desarrollan en el Área Financiera de la UAE Cuerpo Oficial de Bomberos asignados. -SGC"/>
    <d v="2023-09-18T00:00:00"/>
    <d v="2023-09-22T00:00:00"/>
    <n v="3"/>
    <s v="CCE-16 Contratación directa "/>
    <x v="0"/>
    <s v="N/A funcionamiento"/>
    <n v="20400000"/>
    <s v="N/A funcionamiento"/>
    <s v="N/A funcionamiento"/>
    <s v="NO SECOP"/>
  </r>
  <r>
    <n v="2023859"/>
    <x v="1"/>
    <s v="Funcionamiento"/>
    <s v="Subdirección de Gestión Corporativa"/>
    <n v="80111600"/>
    <s v="Prestación de servicios de apoyo a la gestión del proceso de inventarios de la Subdirección de Gestión Corporativa.-SGC"/>
    <d v="2023-09-18T00:00:00"/>
    <d v="2023-09-22T00:00:00"/>
    <n v="2"/>
    <s v="CCE-16 Contratación directa "/>
    <x v="0"/>
    <s v="N/A funcionamiento"/>
    <n v="4200000"/>
    <s v="N/A funcionamiento"/>
    <s v="N/A funcionamiento"/>
    <s v="SI SECOP"/>
  </r>
  <r>
    <n v="2023860"/>
    <x v="1"/>
    <s v="Funcionamiento"/>
    <s v="Subdirección de Gestión Corporativa"/>
    <n v="80111600"/>
    <s v="Prestación de servicios de apoyo a la gestión del proceso de inventariosde la Subdirección de Gestión Corporativa.-SGC"/>
    <d v="2023-09-18T00:00:00"/>
    <d v="2023-09-22T00:00:00"/>
    <n v="2"/>
    <s v="CCE-16 Contratación directa "/>
    <x v="0"/>
    <s v="N/A funcionamiento"/>
    <n v="4900000"/>
    <s v="N/A funcionamiento"/>
    <s v="N/A funcionamiento"/>
    <s v="SI SECOP"/>
  </r>
  <r>
    <n v="2023861"/>
    <x v="1"/>
    <s v="Funcionamiento"/>
    <s v="Subdirección de Gestión Corporativa"/>
    <n v="80111600"/>
    <s v="Prestación de servicios profesionales al área Financiera de la Subdirección de Gestión Corporativa. -SGC."/>
    <d v="2023-09-18T00:00:00"/>
    <d v="2023-09-22T00:00:00"/>
    <n v="3"/>
    <s v="CCE-16 Contratación directa "/>
    <x v="0"/>
    <s v="N/A funcionamiento"/>
    <n v="14100000"/>
    <s v="N/A funcionamiento"/>
    <s v="N/A funcionamiento"/>
    <s v="SI SECOP"/>
  </r>
  <r>
    <n v="2023862"/>
    <x v="1"/>
    <s v="Funcionamiento"/>
    <s v="Subdirección de Gestión Corporativa"/>
    <n v="80111600"/>
    <s v="Prestación de servicios profesionales en el acompañamiento y asistencia al proceso de gestión documental de la UAE Cuerpo oficial de Bomberos , así como en el apoyo a la supervisión de los contratos que le sean asignados.-SGC"/>
    <d v="2023-09-18T00:00:00"/>
    <d v="2023-09-22T00:00:00"/>
    <n v="4"/>
    <s v="CCE-16 Contratación directa "/>
    <x v="0"/>
    <s v="N/A funcionamiento"/>
    <n v="20000000"/>
    <s v="N/A funcionamiento"/>
    <s v="N/A funcionamiento"/>
    <s v="SI SECOP"/>
  </r>
  <r>
    <n v="2023863"/>
    <x v="1"/>
    <s v="Funcionamiento"/>
    <s v="Subdirección de Gestión Corporativa"/>
    <n v="80111600"/>
    <s v="Prestación de servicios profesionales en el acompañamiento y asistencia al proceso de la gestión administrativa a cargo de la Subdirección de Gestión Corporativa.- SGC"/>
    <d v="2023-09-18T00:00:00"/>
    <d v="2023-09-22T00:00:00"/>
    <n v="4"/>
    <s v="CCE-16 Contratación directa "/>
    <x v="0"/>
    <s v="N/A funcionamiento"/>
    <n v="32000000"/>
    <s v="N/A funcionamiento"/>
    <s v="N/A funcionamiento"/>
    <s v="SI SECOP"/>
  </r>
  <r>
    <n v="2023864"/>
    <x v="0"/>
    <s v="O23011605560000007655 - Fortalecimiento de la Planeación y Gestión de la UAECOB Bogotá"/>
    <s v="Oficina Jurídica"/>
    <n v="80111600"/>
    <s v="Adición y prórroga al contrato 002 de 2023 cuyo objeto es: &quot;Prestar los servicios profesionales especializados para la representación judicial  de la Entidad y la prevención del daño antijurídico&quot;."/>
    <d v="2023-10-08T00:00:00"/>
    <d v="2023-10-08T00:00:00"/>
    <n v="2.1"/>
    <s v="CCE-16 Contratación directa "/>
    <x v="0"/>
    <s v="O232020200882199_Otros servicios jurídicos n.c.p."/>
    <n v="59298000"/>
    <s v="1-Implementar 1 plan de ajuste y sostenibilidad del MIPG en la UAECOB"/>
    <s v="516-Gestionar el 100% de un (1) plan de adecuación y sostenibilidad de los sistemas de gestión de la Unidad Administrativa Especial Cuerpo Oficial de Bomberos"/>
    <s v="NO SECOP"/>
  </r>
  <r>
    <n v="2023865"/>
    <x v="0"/>
    <s v="O23011605560000007655 - Fortalecimiento de la Planeación y Gestión de la UAECOB Bogotá"/>
    <s v="Dirección-Comunicaciones y Prensa"/>
    <n v="80111600"/>
    <s v="“Adición y prorroga al contrato No. 379 de 2023 que tiene como objeto &quot;Prestar servicios profesionales para apoyar en el seguimiento y gestión de las diferentes políticas propias de la misionalidad y funcionamiento de la UAECOB, en cumplimiento de la Gest"/>
    <d v="2023-09-26T00:00:00"/>
    <d v="2023-09-30T00:00:00"/>
    <n v="2"/>
    <s v="CCE-16 Contratación directa "/>
    <x v="0"/>
    <s v="O232020200883990_Otros servicios profesionales, técnicos y empresariales n.c.p."/>
    <n v="12400000"/>
    <s v="1-Implementar 1 plan de ajuste y sostenibilidad del MIPG en la UAECOB"/>
    <s v="516-Gestionar el 100% de un (1) plan de adecuación y sostenibilidad de los sistemas de gestión de la Unidad Administrativa Especial Cuerpo Oficial de Bomberos"/>
    <s v="NO SECOP"/>
  </r>
  <r>
    <n v="2023866"/>
    <x v="3"/>
    <s v="O23011602300000007658 - Fortalecimiento del Cuerpo Oficial de Bomberos Bogotá"/>
    <s v="Subdirección de Gestión del Riesgo"/>
    <n v="80111600"/>
    <s v="Prestar servicios profesionales para la estructuracion y seguimiento de los procesos contractuales y demas aspectos juridicos de la Subdirección de Gestión del riesgo._SGR"/>
    <d v="2023-05-17T00:00:00"/>
    <d v="2023-05-17T00:00:00"/>
    <n v="2"/>
    <s v="CCE-16 Contratación directa "/>
    <x v="0"/>
    <s v="O232020200883990_Otros servicios profesionales, técnicos y empresariales n.c.p."/>
    <n v="1000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867"/>
    <x v="3"/>
    <s v="O23011602300000007658 - Fortalecimiento del Cuerpo Oficial de Bomberos Bogotá"/>
    <s v="Subdirección de Gestión del Riesgo"/>
    <n v="80111600"/>
    <s v="Prestar servicios profesionales en las actividades de identificacion de escenarios a cargo de la Subdirección de Gestión del Riesgo._SGR"/>
    <d v="2023-05-17T00:00:00"/>
    <d v="2023-05-17T00:00:00"/>
    <n v="2"/>
    <s v="CCE-16 Contratación directa "/>
    <x v="0"/>
    <s v="O232020200883990_Otros servicios profesionales, técnicos y empresariales n.c.p."/>
    <n v="11020000"/>
    <s v="1-Implementar 100 % del plan de gestión de riesgo para los procesos de conocimiento y reducción en incendios, incidentes con materiales peligrosos y escenarios de riesgos"/>
    <s v="223-Implementar al 100% un (1) programa de conocimiento y reducción en la gestión de  riesgo de incendios, incidentes con materiales peligrosos y escenarios de riesgos."/>
    <s v="SI SECOP"/>
  </r>
  <r>
    <n v="2023868"/>
    <x v="3"/>
    <s v="O23011602300000007658 - Fortalecimiento del Cuerpo Oficial de Bomberos Bogotá"/>
    <s v="Subdirección Logística"/>
    <n v="80111600"/>
    <s v="Prestar servicios profesionales para apoyar en los diferentes tramites administrativos, documental e inventario de  subdirección logística - SBLG"/>
    <d v="2023-10-05T00:00:00"/>
    <d v="2023-10-10T00:00:00"/>
    <n v="3"/>
    <s v="CCE-16 Contratación directa "/>
    <x v="0"/>
    <s v="O232020200883990_Otros servicios profesionales, técnicos y empresariales n.c.p."/>
    <n v="1200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SI SECOP"/>
  </r>
  <r>
    <n v="2023869"/>
    <x v="3"/>
    <s v="O23011602300000007658 - Fortalecimiento del Cuerpo Oficial de Bomberos Bogotá"/>
    <s v="Subdirección Logística"/>
    <n v="80111600"/>
    <s v="Adición y prórroga del Cto 516-2023, cuyo objeto es &quot;Prestación de servicios de apoyo a la gestión de los procesos a cargo de la Subdirección Logística&quot; - SBLG"/>
    <d v="2023-10-05T00:00:00"/>
    <d v="2023-10-10T00:00:00"/>
    <n v="4"/>
    <s v="CCE-16 Contratación directa "/>
    <x v="0"/>
    <s v="O232020200883990_Otros servicios profesionales, técnicos y empresariales n.c.p."/>
    <n v="2450000"/>
    <s v="9-Ejecutar el 100% del programa de mantenimiento de vehículos y equipo menor de la UAECOB"/>
    <s v="224-Implementar al 100% un programa de formación, modernización y sostenibilidad de la Unidad Administrativa Especial Cuerpo Oficial de Bomberos - UAECOB, para la respuesta efectiva en la atención de emergencias y desastres"/>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dataOnRows="1" applyNumberFormats="0" applyBorderFormats="0" applyFontFormats="0" applyPatternFormats="0" applyAlignmentFormats="0" applyWidthHeightFormats="1" dataCaption="Datos" updatedVersion="8" showMemberPropertyTips="0" useAutoFormatting="1" itemPrintTitles="1" createdVersion="1" indent="0" compact="0" compactData="0" gridDropZones="1">
  <location ref="A3:B7" firstHeaderRow="2" firstDataRow="2" firstDataCol="1" rowPageCount="1" colPageCount="1"/>
  <pivotFields count="16">
    <pivotField compact="0" outline="0" showAll="0" includeNewItemsInFilter="1"/>
    <pivotField axis="axisPage" compact="0" outline="0" showAll="0" includeNewItemsInFilter="1">
      <items count="5">
        <item h="1" x="2"/>
        <item x="0"/>
        <item h="1" x="3"/>
        <item h="1" x="1"/>
        <item t="default"/>
      </items>
    </pivotField>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5">
        <item x="0"/>
        <item x="1"/>
        <item x="3"/>
        <item x="2"/>
        <item t="default"/>
      </items>
    </pivotField>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s>
  <rowFields count="1">
    <field x="10"/>
  </rowFields>
  <rowItems count="3">
    <i>
      <x/>
    </i>
    <i>
      <x v="2"/>
    </i>
    <i t="grand">
      <x/>
    </i>
  </rowItems>
  <colItems count="1">
    <i/>
  </colItems>
  <pageFields count="1">
    <pageField fld="1" hier="0"/>
  </pageFields>
  <dataFields count="1">
    <dataField name="Suma de Valor total estimado" fld="12"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6" displayName="Tabla16" ref="A6:P815" totalsRowShown="0" headerRowDxfId="3" dataDxfId="2" tableBorderDxfId="1">
  <autoFilter ref="A6:P815"/>
  <sortState xmlns:xlrd2="http://schemas.microsoft.com/office/spreadsheetml/2017/richdata2" ref="A7:P815">
    <sortCondition sortBy="cellColor" ref="A6:A815" dxfId="0"/>
  </sortState>
  <tableColumns count="16">
    <tableColumn id="1" name="ID" dataDxfId="34" dataCellStyle="Millares"/>
    <tableColumn id="2" name="Rubro" dataDxfId="32" totalsRowDxfId="33" dataCellStyle="Millares"/>
    <tableColumn id="3" name="Código y Nombre del Rubro" dataDxfId="30" totalsRowDxfId="31" dataCellStyle="Currency"/>
    <tableColumn id="4" name="Dependencia" dataDxfId="28" totalsRowDxfId="29" dataCellStyle="Normal 2 10"/>
    <tableColumn id="5" name="Código UNSPSC (cada código separado por ;)" dataDxfId="26" totalsRowDxfId="27" dataCellStyle="Normal 2"/>
    <tableColumn id="6" name="Descripción- Objeto" dataDxfId="24" totalsRowDxfId="25" dataCellStyle="Normal 2"/>
    <tableColumn id="7" name="Fecha estimada de inicio de proceso de selección (día/mes/año)" dataDxfId="22" totalsRowDxfId="23"/>
    <tableColumn id="8" name="Fecha estimada de presentación de ofertas (día/mes/año)" dataDxfId="20" totalsRowDxfId="21"/>
    <tableColumn id="9" name="Duración estimada del contrato  (Meses)" dataDxfId="18" totalsRowDxfId="19"/>
    <tableColumn id="10" name="Modalidad de selección " dataDxfId="16" totalsRowDxfId="17"/>
    <tableColumn id="11" name="Fuente de los recursos" dataDxfId="14" totalsRowDxfId="15"/>
    <tableColumn id="12" name="Concepto del Gasto -POSPRE(SDH)" dataDxfId="12" totalsRowDxfId="13"/>
    <tableColumn id="13" name="Valor total estimado" dataDxfId="10" totalsRowDxfId="11" dataCellStyle="Moneda"/>
    <tableColumn id="14" name="Meta Proyecto de Inversión" dataDxfId="8" totalsRowDxfId="9" dataCellStyle="Normal 2"/>
    <tableColumn id="15" name="Meta Producto/Meta producto " dataDxfId="6" totalsRowDxfId="7" dataCellStyle="Normal 2"/>
    <tableColumn id="16" name="SI SECOP/NO SECOP " dataDxfId="4" totalsRowDxfId="5"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H7" sqref="H7"/>
    </sheetView>
  </sheetViews>
  <sheetFormatPr baseColWidth="10" defaultRowHeight="15" x14ac:dyDescent="0.25"/>
  <cols>
    <col min="1" max="1" width="27.42578125" bestFit="1" customWidth="1"/>
    <col min="2" max="2" width="16.28515625" style="227" bestFit="1" customWidth="1"/>
  </cols>
  <sheetData>
    <row r="1" spans="1:5" x14ac:dyDescent="0.25">
      <c r="A1" s="220" t="s">
        <v>2</v>
      </c>
      <c r="B1" s="228">
        <v>7655</v>
      </c>
    </row>
    <row r="3" spans="1:5" x14ac:dyDescent="0.25">
      <c r="A3" s="221" t="s">
        <v>834</v>
      </c>
      <c r="B3" s="225"/>
    </row>
    <row r="4" spans="1:5" x14ac:dyDescent="0.25">
      <c r="A4" s="221" t="s">
        <v>11</v>
      </c>
      <c r="B4" s="225" t="s">
        <v>835</v>
      </c>
    </row>
    <row r="5" spans="1:5" x14ac:dyDescent="0.25">
      <c r="A5" s="219" t="s">
        <v>21</v>
      </c>
      <c r="B5" s="225">
        <v>5959358666</v>
      </c>
    </row>
    <row r="6" spans="1:5" x14ac:dyDescent="0.25">
      <c r="A6" s="222" t="s">
        <v>387</v>
      </c>
      <c r="B6" s="226">
        <v>32133334</v>
      </c>
    </row>
    <row r="7" spans="1:5" x14ac:dyDescent="0.25">
      <c r="A7" s="223" t="s">
        <v>833</v>
      </c>
      <c r="B7" s="224">
        <v>5991492000</v>
      </c>
    </row>
    <row r="9" spans="1:5" x14ac:dyDescent="0.25">
      <c r="E9" t="s">
        <v>836</v>
      </c>
    </row>
    <row r="10" spans="1:5" x14ac:dyDescent="0.25">
      <c r="E10" t="s">
        <v>837</v>
      </c>
    </row>
    <row r="13" spans="1:5" x14ac:dyDescent="0.25">
      <c r="E13" t="s">
        <v>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15"/>
  <sheetViews>
    <sheetView tabSelected="1" zoomScale="60" zoomScaleNormal="60" zoomScaleSheetLayoutView="10" workbookViewId="0">
      <selection activeCell="G10" sqref="G10"/>
    </sheetView>
  </sheetViews>
  <sheetFormatPr baseColWidth="10" defaultRowHeight="15" x14ac:dyDescent="0.2"/>
  <cols>
    <col min="1" max="1" width="23.7109375" style="160" customWidth="1"/>
    <col min="2" max="2" width="22.5703125" style="159" customWidth="1"/>
    <col min="3" max="3" width="36.140625" style="178" customWidth="1"/>
    <col min="4" max="4" width="27.5703125" style="158" customWidth="1"/>
    <col min="5" max="5" width="26.7109375" style="175" customWidth="1"/>
    <col min="6" max="6" width="54.85546875" style="160" customWidth="1"/>
    <col min="7" max="7" width="24.42578125" style="179" customWidth="1"/>
    <col min="8" max="8" width="25.85546875" style="180" customWidth="1"/>
    <col min="9" max="9" width="22.85546875" style="159" bestFit="1" customWidth="1"/>
    <col min="10" max="11" width="23.140625" style="158" bestFit="1" customWidth="1"/>
    <col min="12" max="12" width="38.28515625" style="181" bestFit="1" customWidth="1"/>
    <col min="13" max="13" width="28" style="190" customWidth="1"/>
    <col min="14" max="14" width="40.7109375" style="158" customWidth="1"/>
    <col min="15" max="15" width="46.28515625" style="158" customWidth="1"/>
    <col min="16" max="16" width="30.7109375" style="158" customWidth="1"/>
    <col min="17" max="16384" width="11.42578125" style="158"/>
  </cols>
  <sheetData>
    <row r="1" spans="1:16" s="157" customFormat="1" x14ac:dyDescent="0.25">
      <c r="A1" s="245" t="s">
        <v>0</v>
      </c>
      <c r="B1" s="245"/>
      <c r="C1" s="245"/>
      <c r="D1" s="245"/>
      <c r="E1" s="245"/>
      <c r="F1" s="245"/>
      <c r="G1" s="245"/>
      <c r="H1" s="245"/>
      <c r="I1" s="245"/>
      <c r="J1" s="245"/>
      <c r="K1" s="245"/>
      <c r="L1" s="245"/>
      <c r="M1" s="186"/>
      <c r="N1" s="164"/>
      <c r="O1" s="164"/>
      <c r="P1" s="164"/>
    </row>
    <row r="2" spans="1:16" s="157" customFormat="1" x14ac:dyDescent="0.25">
      <c r="A2" s="245" t="s">
        <v>839</v>
      </c>
      <c r="B2" s="245"/>
      <c r="C2" s="245"/>
      <c r="D2" s="245"/>
      <c r="E2" s="245"/>
      <c r="F2" s="245"/>
      <c r="G2" s="245"/>
      <c r="H2" s="245"/>
      <c r="I2" s="245"/>
      <c r="J2" s="245"/>
      <c r="K2" s="245"/>
      <c r="L2" s="245"/>
      <c r="M2" s="186"/>
      <c r="N2" s="164"/>
      <c r="O2" s="164"/>
      <c r="P2" s="164"/>
    </row>
    <row r="3" spans="1:16" s="157" customFormat="1" x14ac:dyDescent="0.25">
      <c r="A3" s="163"/>
      <c r="B3" s="163"/>
      <c r="C3" s="163"/>
      <c r="D3" s="163"/>
      <c r="E3" s="163"/>
      <c r="F3" s="163"/>
      <c r="G3" s="182"/>
      <c r="H3" s="184"/>
      <c r="I3" s="165"/>
      <c r="J3" s="163"/>
      <c r="K3" s="163"/>
      <c r="L3" s="163">
        <f>M3-M5</f>
        <v>-11421890766</v>
      </c>
      <c r="M3" s="187">
        <v>36241955000</v>
      </c>
      <c r="N3" s="163"/>
      <c r="O3" s="163"/>
      <c r="P3" s="163"/>
    </row>
    <row r="4" spans="1:16" s="157" customFormat="1" x14ac:dyDescent="0.25">
      <c r="B4" s="166"/>
      <c r="C4" s="167"/>
      <c r="D4" s="168"/>
      <c r="E4" s="166"/>
      <c r="G4" s="183"/>
      <c r="H4" s="185"/>
      <c r="I4" s="171"/>
      <c r="J4" s="168"/>
      <c r="K4" s="168"/>
      <c r="L4" s="172"/>
      <c r="M4" s="187" t="s">
        <v>775</v>
      </c>
      <c r="N4" s="173"/>
    </row>
    <row r="5" spans="1:16" s="157" customFormat="1" x14ac:dyDescent="0.25">
      <c r="A5" s="174"/>
      <c r="B5" s="175"/>
      <c r="C5" s="167"/>
      <c r="D5" s="174"/>
      <c r="E5" s="166"/>
      <c r="G5" s="169"/>
      <c r="H5" s="170"/>
      <c r="I5" s="166"/>
      <c r="K5" s="176"/>
      <c r="L5" s="1"/>
      <c r="M5" s="207">
        <f>+SUBTOTAL(9,M7:M815)</f>
        <v>47663845766</v>
      </c>
      <c r="N5" s="177"/>
      <c r="O5" s="177"/>
      <c r="P5" s="177"/>
    </row>
    <row r="6" spans="1:16" s="157" customFormat="1" ht="60" x14ac:dyDescent="0.25">
      <c r="A6" s="5" t="s">
        <v>1</v>
      </c>
      <c r="B6" s="5" t="s">
        <v>2</v>
      </c>
      <c r="C6" s="5" t="s">
        <v>3</v>
      </c>
      <c r="D6" s="5" t="s">
        <v>4</v>
      </c>
      <c r="E6" s="5" t="s">
        <v>5</v>
      </c>
      <c r="F6" s="5" t="s">
        <v>6</v>
      </c>
      <c r="G6" s="5" t="s">
        <v>7</v>
      </c>
      <c r="H6" s="7" t="s">
        <v>8</v>
      </c>
      <c r="I6" s="5" t="s">
        <v>9</v>
      </c>
      <c r="J6" s="5" t="s">
        <v>10</v>
      </c>
      <c r="K6" s="5" t="s">
        <v>11</v>
      </c>
      <c r="L6" s="6" t="s">
        <v>12</v>
      </c>
      <c r="M6" s="229" t="s">
        <v>13</v>
      </c>
      <c r="N6" s="5" t="s">
        <v>14</v>
      </c>
      <c r="O6" s="5" t="s">
        <v>15</v>
      </c>
      <c r="P6" s="5" t="s">
        <v>16</v>
      </c>
    </row>
    <row r="7" spans="1:16" s="194" customFormat="1" ht="75" x14ac:dyDescent="0.25">
      <c r="A7" s="232">
        <v>2023109</v>
      </c>
      <c r="B7" s="232">
        <v>7658</v>
      </c>
      <c r="C7" s="233" t="s">
        <v>143</v>
      </c>
      <c r="D7" s="234" t="s">
        <v>126</v>
      </c>
      <c r="E7" s="235">
        <v>80111600</v>
      </c>
      <c r="F7" s="234" t="s">
        <v>151</v>
      </c>
      <c r="G7" s="236">
        <v>45097</v>
      </c>
      <c r="H7" s="236">
        <v>45107</v>
      </c>
      <c r="I7" s="234">
        <v>6</v>
      </c>
      <c r="J7" s="234" t="s">
        <v>20</v>
      </c>
      <c r="K7" s="237" t="s">
        <v>21</v>
      </c>
      <c r="L7" s="234" t="s">
        <v>27</v>
      </c>
      <c r="M7" s="238">
        <f>7700000+3850000+1350000+3565500-9800000-6665500+696500+221287+14867000-2000000</f>
        <v>13784787</v>
      </c>
      <c r="N7" s="235" t="s">
        <v>145</v>
      </c>
      <c r="O7" s="235" t="s">
        <v>146</v>
      </c>
      <c r="P7" s="235" t="s">
        <v>24</v>
      </c>
    </row>
    <row r="8" spans="1:16" s="196" customFormat="1" ht="75" x14ac:dyDescent="0.2">
      <c r="A8" s="232">
        <v>2023115</v>
      </c>
      <c r="B8" s="232">
        <v>7658</v>
      </c>
      <c r="C8" s="233" t="s">
        <v>143</v>
      </c>
      <c r="D8" s="234" t="s">
        <v>126</v>
      </c>
      <c r="E8" s="235">
        <v>90121800</v>
      </c>
      <c r="F8" s="234" t="s">
        <v>156</v>
      </c>
      <c r="G8" s="236">
        <v>44927</v>
      </c>
      <c r="H8" s="236">
        <v>44957</v>
      </c>
      <c r="I8" s="234">
        <v>11</v>
      </c>
      <c r="J8" s="234" t="s">
        <v>20</v>
      </c>
      <c r="K8" s="237" t="s">
        <v>21</v>
      </c>
      <c r="L8" s="234" t="s">
        <v>27</v>
      </c>
      <c r="M8" s="238">
        <f>20000000+10000000+2100000+2100000+50000000+10000000+2000000</f>
        <v>96200000</v>
      </c>
      <c r="N8" s="235" t="s">
        <v>145</v>
      </c>
      <c r="O8" s="235" t="s">
        <v>146</v>
      </c>
      <c r="P8" s="235" t="s">
        <v>24</v>
      </c>
    </row>
    <row r="9" spans="1:16" s="196" customFormat="1" ht="75" x14ac:dyDescent="0.2">
      <c r="A9" s="232">
        <v>2023776</v>
      </c>
      <c r="B9" s="232">
        <v>7655</v>
      </c>
      <c r="C9" s="233" t="s">
        <v>25</v>
      </c>
      <c r="D9" s="234" t="s">
        <v>126</v>
      </c>
      <c r="E9" s="235">
        <v>80111600</v>
      </c>
      <c r="F9" s="235" t="s">
        <v>726</v>
      </c>
      <c r="G9" s="236">
        <v>45146</v>
      </c>
      <c r="H9" s="236">
        <v>45148</v>
      </c>
      <c r="I9" s="234">
        <v>1</v>
      </c>
      <c r="J9" s="234" t="s">
        <v>20</v>
      </c>
      <c r="K9" s="237" t="s">
        <v>387</v>
      </c>
      <c r="L9" s="234" t="s">
        <v>27</v>
      </c>
      <c r="M9" s="239">
        <v>1166667</v>
      </c>
      <c r="N9" s="235" t="s">
        <v>28</v>
      </c>
      <c r="O9" s="235" t="s">
        <v>29</v>
      </c>
      <c r="P9" s="235" t="s">
        <v>365</v>
      </c>
    </row>
    <row r="10" spans="1:16" s="196" customFormat="1" ht="60" x14ac:dyDescent="0.2">
      <c r="A10" s="2">
        <v>2023002</v>
      </c>
      <c r="B10" s="2">
        <v>7655</v>
      </c>
      <c r="C10" s="3" t="s">
        <v>25</v>
      </c>
      <c r="D10" s="191" t="s">
        <v>18</v>
      </c>
      <c r="E10" s="192">
        <v>80111600</v>
      </c>
      <c r="F10" s="191" t="s">
        <v>35</v>
      </c>
      <c r="G10" s="263">
        <v>44927</v>
      </c>
      <c r="H10" s="193">
        <v>44941</v>
      </c>
      <c r="I10" s="208">
        <v>8</v>
      </c>
      <c r="J10" s="191" t="s">
        <v>20</v>
      </c>
      <c r="K10" s="191" t="s">
        <v>21</v>
      </c>
      <c r="L10" s="191" t="s">
        <v>27</v>
      </c>
      <c r="M10" s="230">
        <f>56000000-10400000-4500000-6100000-159040</f>
        <v>34840960</v>
      </c>
      <c r="N10" s="192" t="s">
        <v>28</v>
      </c>
      <c r="O10" s="192" t="s">
        <v>29</v>
      </c>
      <c r="P10" s="192" t="s">
        <v>24</v>
      </c>
    </row>
    <row r="11" spans="1:16" s="196" customFormat="1" ht="60" x14ac:dyDescent="0.2">
      <c r="A11" s="2">
        <v>2023004</v>
      </c>
      <c r="B11" s="2">
        <v>7655</v>
      </c>
      <c r="C11" s="3" t="s">
        <v>25</v>
      </c>
      <c r="D11" s="191" t="s">
        <v>18</v>
      </c>
      <c r="E11" s="192">
        <v>80111600</v>
      </c>
      <c r="F11" s="195" t="s">
        <v>36</v>
      </c>
      <c r="G11" s="206">
        <v>44927</v>
      </c>
      <c r="H11" s="193">
        <v>44941</v>
      </c>
      <c r="I11" s="208">
        <v>4</v>
      </c>
      <c r="J11" s="191" t="s">
        <v>20</v>
      </c>
      <c r="K11" s="191" t="s">
        <v>21</v>
      </c>
      <c r="L11" s="191" t="s">
        <v>27</v>
      </c>
      <c r="M11" s="230">
        <f>72000000-9000000-9000000-30000000</f>
        <v>24000000</v>
      </c>
      <c r="N11" s="192" t="s">
        <v>28</v>
      </c>
      <c r="O11" s="192" t="s">
        <v>29</v>
      </c>
      <c r="P11" s="195" t="s">
        <v>24</v>
      </c>
    </row>
    <row r="12" spans="1:16" s="196" customFormat="1" ht="60" x14ac:dyDescent="0.2">
      <c r="A12" s="2">
        <v>2023005</v>
      </c>
      <c r="B12" s="2">
        <v>7655</v>
      </c>
      <c r="C12" s="3" t="s">
        <v>25</v>
      </c>
      <c r="D12" s="191" t="s">
        <v>18</v>
      </c>
      <c r="E12" s="192">
        <v>80111600</v>
      </c>
      <c r="F12" s="195" t="s">
        <v>693</v>
      </c>
      <c r="G12" s="193">
        <v>45103</v>
      </c>
      <c r="H12" s="193">
        <v>45103</v>
      </c>
      <c r="I12" s="208">
        <v>5</v>
      </c>
      <c r="J12" s="191" t="s">
        <v>20</v>
      </c>
      <c r="K12" s="191" t="s">
        <v>21</v>
      </c>
      <c r="L12" s="191" t="s">
        <v>27</v>
      </c>
      <c r="M12" s="230">
        <f>80750000-4750000-8000000-68000000+8400000+13750000-133334-241066</f>
        <v>21775600</v>
      </c>
      <c r="N12" s="192" t="s">
        <v>28</v>
      </c>
      <c r="O12" s="192" t="s">
        <v>29</v>
      </c>
      <c r="P12" s="195" t="s">
        <v>24</v>
      </c>
    </row>
    <row r="13" spans="1:16" s="196" customFormat="1" ht="75" x14ac:dyDescent="0.2">
      <c r="A13" s="2">
        <v>2023006</v>
      </c>
      <c r="B13" s="2">
        <v>7655</v>
      </c>
      <c r="C13" s="3" t="s">
        <v>25</v>
      </c>
      <c r="D13" s="191" t="s">
        <v>18</v>
      </c>
      <c r="E13" s="192">
        <v>80111600</v>
      </c>
      <c r="F13" s="195" t="s">
        <v>37</v>
      </c>
      <c r="G13" s="193">
        <v>44927</v>
      </c>
      <c r="H13" s="193">
        <v>44941</v>
      </c>
      <c r="I13" s="208">
        <v>11</v>
      </c>
      <c r="J13" s="191" t="s">
        <v>20</v>
      </c>
      <c r="K13" s="191" t="s">
        <v>21</v>
      </c>
      <c r="L13" s="191" t="s">
        <v>27</v>
      </c>
      <c r="M13" s="230">
        <f>93500000-5500000</f>
        <v>88000000</v>
      </c>
      <c r="N13" s="192" t="s">
        <v>28</v>
      </c>
      <c r="O13" s="192" t="s">
        <v>29</v>
      </c>
      <c r="P13" s="195" t="s">
        <v>24</v>
      </c>
    </row>
    <row r="14" spans="1:16" s="196" customFormat="1" ht="60" x14ac:dyDescent="0.2">
      <c r="A14" s="2">
        <v>2023007</v>
      </c>
      <c r="B14" s="2">
        <v>7655</v>
      </c>
      <c r="C14" s="3" t="s">
        <v>25</v>
      </c>
      <c r="D14" s="191" t="s">
        <v>18</v>
      </c>
      <c r="E14" s="192">
        <v>80111600</v>
      </c>
      <c r="F14" s="195" t="s">
        <v>38</v>
      </c>
      <c r="G14" s="193">
        <v>44927</v>
      </c>
      <c r="H14" s="193">
        <v>44941</v>
      </c>
      <c r="I14" s="208">
        <v>10</v>
      </c>
      <c r="J14" s="191" t="s">
        <v>20</v>
      </c>
      <c r="K14" s="191" t="s">
        <v>21</v>
      </c>
      <c r="L14" s="191" t="s">
        <v>27</v>
      </c>
      <c r="M14" s="230">
        <f>57200000-200000</f>
        <v>57000000</v>
      </c>
      <c r="N14" s="192" t="s">
        <v>28</v>
      </c>
      <c r="O14" s="192" t="s">
        <v>29</v>
      </c>
      <c r="P14" s="195" t="s">
        <v>24</v>
      </c>
    </row>
    <row r="15" spans="1:16" s="196" customFormat="1" ht="75" x14ac:dyDescent="0.2">
      <c r="A15" s="2">
        <v>2023008</v>
      </c>
      <c r="B15" s="2">
        <v>7655</v>
      </c>
      <c r="C15" s="3" t="s">
        <v>25</v>
      </c>
      <c r="D15" s="191" t="s">
        <v>18</v>
      </c>
      <c r="E15" s="192">
        <v>80111600</v>
      </c>
      <c r="F15" s="195" t="s">
        <v>39</v>
      </c>
      <c r="G15" s="193">
        <v>44927</v>
      </c>
      <c r="H15" s="193">
        <v>44941</v>
      </c>
      <c r="I15" s="208">
        <v>10</v>
      </c>
      <c r="J15" s="191" t="s">
        <v>20</v>
      </c>
      <c r="K15" s="191" t="s">
        <v>21</v>
      </c>
      <c r="L15" s="191" t="s">
        <v>27</v>
      </c>
      <c r="M15" s="230">
        <f>72000000-12000000</f>
        <v>60000000</v>
      </c>
      <c r="N15" s="192" t="s">
        <v>28</v>
      </c>
      <c r="O15" s="192" t="s">
        <v>29</v>
      </c>
      <c r="P15" s="195" t="s">
        <v>24</v>
      </c>
    </row>
    <row r="16" spans="1:16" s="196" customFormat="1" ht="105" x14ac:dyDescent="0.2">
      <c r="A16" s="2">
        <v>2023009</v>
      </c>
      <c r="B16" s="2">
        <v>7655</v>
      </c>
      <c r="C16" s="3" t="s">
        <v>25</v>
      </c>
      <c r="D16" s="191" t="s">
        <v>18</v>
      </c>
      <c r="E16" s="192">
        <v>80111600</v>
      </c>
      <c r="F16" s="195" t="s">
        <v>40</v>
      </c>
      <c r="G16" s="193">
        <v>44927</v>
      </c>
      <c r="H16" s="193">
        <v>44941</v>
      </c>
      <c r="I16" s="208">
        <v>10</v>
      </c>
      <c r="J16" s="191" t="s">
        <v>20</v>
      </c>
      <c r="K16" s="191" t="s">
        <v>21</v>
      </c>
      <c r="L16" s="191" t="s">
        <v>27</v>
      </c>
      <c r="M16" s="230">
        <f>52000000+5000000</f>
        <v>57000000</v>
      </c>
      <c r="N16" s="192" t="s">
        <v>28</v>
      </c>
      <c r="O16" s="192" t="s">
        <v>29</v>
      </c>
      <c r="P16" s="195" t="s">
        <v>24</v>
      </c>
    </row>
    <row r="17" spans="1:16" s="196" customFormat="1" ht="75.75" thickBot="1" x14ac:dyDescent="0.25">
      <c r="A17" s="2">
        <v>2023011</v>
      </c>
      <c r="B17" s="2">
        <v>7655</v>
      </c>
      <c r="C17" s="3" t="s">
        <v>25</v>
      </c>
      <c r="D17" s="191" t="s">
        <v>18</v>
      </c>
      <c r="E17" s="192">
        <v>80111600</v>
      </c>
      <c r="F17" s="195" t="s">
        <v>41</v>
      </c>
      <c r="G17" s="193">
        <v>44927</v>
      </c>
      <c r="H17" s="193">
        <v>44941</v>
      </c>
      <c r="I17" s="208">
        <v>4</v>
      </c>
      <c r="J17" s="191" t="s">
        <v>20</v>
      </c>
      <c r="K17" s="191" t="s">
        <v>21</v>
      </c>
      <c r="L17" s="191" t="s">
        <v>27</v>
      </c>
      <c r="M17" s="230">
        <f>57200000-33200000-12000000</f>
        <v>12000000</v>
      </c>
      <c r="N17" s="192" t="s">
        <v>28</v>
      </c>
      <c r="O17" s="192" t="s">
        <v>29</v>
      </c>
      <c r="P17" s="244" t="s">
        <v>24</v>
      </c>
    </row>
    <row r="18" spans="1:16" s="196" customFormat="1" ht="60" x14ac:dyDescent="0.2">
      <c r="A18" s="2">
        <v>2023012</v>
      </c>
      <c r="B18" s="2">
        <v>7655</v>
      </c>
      <c r="C18" s="3" t="s">
        <v>25</v>
      </c>
      <c r="D18" s="191" t="s">
        <v>18</v>
      </c>
      <c r="E18" s="192">
        <v>80111600</v>
      </c>
      <c r="F18" s="195" t="s">
        <v>42</v>
      </c>
      <c r="G18" s="193">
        <v>44927</v>
      </c>
      <c r="H18" s="193">
        <v>44941</v>
      </c>
      <c r="I18" s="208">
        <v>7</v>
      </c>
      <c r="J18" s="191" t="s">
        <v>20</v>
      </c>
      <c r="K18" s="191" t="s">
        <v>21</v>
      </c>
      <c r="L18" s="191" t="s">
        <v>27</v>
      </c>
      <c r="M18" s="230">
        <f>56700000+6300000-18900000+12600000</f>
        <v>56700000</v>
      </c>
      <c r="N18" s="192" t="s">
        <v>28</v>
      </c>
      <c r="O18" s="192" t="s">
        <v>29</v>
      </c>
      <c r="P18" s="195" t="s">
        <v>24</v>
      </c>
    </row>
    <row r="19" spans="1:16" s="196" customFormat="1" ht="60" x14ac:dyDescent="0.2">
      <c r="A19" s="2">
        <v>2023013</v>
      </c>
      <c r="B19" s="2">
        <v>7655</v>
      </c>
      <c r="C19" s="3" t="s">
        <v>25</v>
      </c>
      <c r="D19" s="191" t="s">
        <v>18</v>
      </c>
      <c r="E19" s="192">
        <v>80111600</v>
      </c>
      <c r="F19" s="195" t="s">
        <v>43</v>
      </c>
      <c r="G19" s="193">
        <v>44927</v>
      </c>
      <c r="H19" s="193">
        <v>44941</v>
      </c>
      <c r="I19" s="208">
        <v>4</v>
      </c>
      <c r="J19" s="191" t="s">
        <v>20</v>
      </c>
      <c r="K19" s="191" t="s">
        <v>21</v>
      </c>
      <c r="L19" s="191" t="s">
        <v>27</v>
      </c>
      <c r="M19" s="230">
        <f>52000000-31200000</f>
        <v>20800000</v>
      </c>
      <c r="N19" s="192" t="s">
        <v>28</v>
      </c>
      <c r="O19" s="192" t="s">
        <v>29</v>
      </c>
      <c r="P19" s="195" t="s">
        <v>24</v>
      </c>
    </row>
    <row r="20" spans="1:16" s="196" customFormat="1" ht="60" x14ac:dyDescent="0.2">
      <c r="A20" s="2">
        <v>2023014</v>
      </c>
      <c r="B20" s="2">
        <v>7655</v>
      </c>
      <c r="C20" s="3" t="s">
        <v>25</v>
      </c>
      <c r="D20" s="191" t="s">
        <v>18</v>
      </c>
      <c r="E20" s="192">
        <v>80111600</v>
      </c>
      <c r="F20" s="195" t="s">
        <v>44</v>
      </c>
      <c r="G20" s="193">
        <v>44927</v>
      </c>
      <c r="H20" s="193">
        <v>44941</v>
      </c>
      <c r="I20" s="191">
        <v>11</v>
      </c>
      <c r="J20" s="191" t="s">
        <v>20</v>
      </c>
      <c r="K20" s="191" t="s">
        <v>21</v>
      </c>
      <c r="L20" s="191" t="s">
        <v>27</v>
      </c>
      <c r="M20" s="230">
        <f>57200000+3300000</f>
        <v>60500000</v>
      </c>
      <c r="N20" s="192" t="s">
        <v>28</v>
      </c>
      <c r="O20" s="192" t="s">
        <v>29</v>
      </c>
      <c r="P20" s="240" t="s">
        <v>24</v>
      </c>
    </row>
    <row r="21" spans="1:16" s="196" customFormat="1" ht="60" x14ac:dyDescent="0.2">
      <c r="A21" s="2">
        <v>2023015</v>
      </c>
      <c r="B21" s="2">
        <v>7655</v>
      </c>
      <c r="C21" s="3" t="s">
        <v>25</v>
      </c>
      <c r="D21" s="191" t="s">
        <v>18</v>
      </c>
      <c r="E21" s="192">
        <v>80111600</v>
      </c>
      <c r="F21" s="195" t="s">
        <v>694</v>
      </c>
      <c r="G21" s="193">
        <v>45103</v>
      </c>
      <c r="H21" s="193">
        <v>45103</v>
      </c>
      <c r="I21" s="191">
        <v>6</v>
      </c>
      <c r="J21" s="191" t="s">
        <v>20</v>
      </c>
      <c r="K21" s="191" t="s">
        <v>21</v>
      </c>
      <c r="L21" s="191" t="s">
        <v>27</v>
      </c>
      <c r="M21" s="230">
        <f>16600000+53150000+56300000-75350000-50700000+31200000</f>
        <v>31200000</v>
      </c>
      <c r="N21" s="192" t="s">
        <v>28</v>
      </c>
      <c r="O21" s="192" t="s">
        <v>29</v>
      </c>
      <c r="P21" s="191" t="s">
        <v>24</v>
      </c>
    </row>
    <row r="22" spans="1:16" s="196" customFormat="1" ht="75" x14ac:dyDescent="0.2">
      <c r="A22" s="2">
        <v>2023016</v>
      </c>
      <c r="B22" s="2">
        <v>7655</v>
      </c>
      <c r="C22" s="3" t="s">
        <v>25</v>
      </c>
      <c r="D22" s="191" t="s">
        <v>45</v>
      </c>
      <c r="E22" s="192">
        <v>80111600</v>
      </c>
      <c r="F22" s="191" t="s">
        <v>46</v>
      </c>
      <c r="G22" s="193">
        <v>44927</v>
      </c>
      <c r="H22" s="193">
        <v>44941</v>
      </c>
      <c r="I22" s="191">
        <v>5</v>
      </c>
      <c r="J22" s="191" t="s">
        <v>20</v>
      </c>
      <c r="K22" s="197" t="s">
        <v>21</v>
      </c>
      <c r="L22" s="191" t="s">
        <v>27</v>
      </c>
      <c r="M22" s="230">
        <f>138190866+67718000+2282000+23991200+14700000+75350000-88991200-33240866-59500000+23600000-45000000-29775000-29775000-29775000-29775000</f>
        <v>0</v>
      </c>
      <c r="N22" s="192" t="s">
        <v>47</v>
      </c>
      <c r="O22" s="192" t="s">
        <v>29</v>
      </c>
      <c r="P22" s="192" t="s">
        <v>24</v>
      </c>
    </row>
    <row r="23" spans="1:16" s="196" customFormat="1" ht="75" x14ac:dyDescent="0.2">
      <c r="A23" s="2">
        <v>2023017</v>
      </c>
      <c r="B23" s="2">
        <v>7655</v>
      </c>
      <c r="C23" s="3" t="s">
        <v>25</v>
      </c>
      <c r="D23" s="191" t="s">
        <v>48</v>
      </c>
      <c r="E23" s="192">
        <v>80111600</v>
      </c>
      <c r="F23" s="191" t="s">
        <v>49</v>
      </c>
      <c r="G23" s="193">
        <v>45021</v>
      </c>
      <c r="H23" s="193">
        <v>45021</v>
      </c>
      <c r="I23" s="191">
        <v>9</v>
      </c>
      <c r="J23" s="191" t="s">
        <v>20</v>
      </c>
      <c r="K23" s="197" t="s">
        <v>21</v>
      </c>
      <c r="L23" s="191" t="s">
        <v>27</v>
      </c>
      <c r="M23" s="230">
        <f>63000000+33240866+13750000-16065000-15300000-7848000-12750000-2027866</f>
        <v>56000000</v>
      </c>
      <c r="N23" s="192" t="s">
        <v>28</v>
      </c>
      <c r="O23" s="192" t="s">
        <v>29</v>
      </c>
      <c r="P23" s="192" t="s">
        <v>24</v>
      </c>
    </row>
    <row r="24" spans="1:16" s="196" customFormat="1" ht="60" x14ac:dyDescent="0.2">
      <c r="A24" s="2">
        <v>2023018</v>
      </c>
      <c r="B24" s="2">
        <v>7655</v>
      </c>
      <c r="C24" s="3" t="s">
        <v>25</v>
      </c>
      <c r="D24" s="191" t="s">
        <v>48</v>
      </c>
      <c r="E24" s="192">
        <v>80111600</v>
      </c>
      <c r="F24" s="191" t="s">
        <v>50</v>
      </c>
      <c r="G24" s="193">
        <v>45017</v>
      </c>
      <c r="H24" s="193">
        <v>45017</v>
      </c>
      <c r="I24" s="191">
        <v>7</v>
      </c>
      <c r="J24" s="191" t="s">
        <v>20</v>
      </c>
      <c r="K24" s="197" t="s">
        <v>21</v>
      </c>
      <c r="L24" s="191" t="s">
        <v>51</v>
      </c>
      <c r="M24" s="230">
        <f>53550000-777134-12300000-2222866</f>
        <v>38250000</v>
      </c>
      <c r="N24" s="192" t="s">
        <v>28</v>
      </c>
      <c r="O24" s="192" t="s">
        <v>29</v>
      </c>
      <c r="P24" s="192" t="s">
        <v>24</v>
      </c>
    </row>
    <row r="25" spans="1:16" s="196" customFormat="1" ht="60" x14ac:dyDescent="0.2">
      <c r="A25" s="2">
        <v>2023019</v>
      </c>
      <c r="B25" s="2">
        <v>7655</v>
      </c>
      <c r="C25" s="3" t="s">
        <v>25</v>
      </c>
      <c r="D25" s="191" t="s">
        <v>48</v>
      </c>
      <c r="E25" s="192">
        <v>80111600</v>
      </c>
      <c r="F25" s="191" t="s">
        <v>52</v>
      </c>
      <c r="G25" s="193">
        <v>45026</v>
      </c>
      <c r="H25" s="193">
        <v>45026</v>
      </c>
      <c r="I25" s="191">
        <v>7</v>
      </c>
      <c r="J25" s="191" t="s">
        <v>20</v>
      </c>
      <c r="K25" s="197" t="s">
        <v>21</v>
      </c>
      <c r="L25" s="191" t="s">
        <v>51</v>
      </c>
      <c r="M25" s="230">
        <f>53550000-3327134-4322866</f>
        <v>45900000</v>
      </c>
      <c r="N25" s="192" t="s">
        <v>28</v>
      </c>
      <c r="O25" s="192" t="s">
        <v>29</v>
      </c>
      <c r="P25" s="192" t="s">
        <v>24</v>
      </c>
    </row>
    <row r="26" spans="1:16" s="196" customFormat="1" ht="60" x14ac:dyDescent="0.2">
      <c r="A26" s="2">
        <v>2023020</v>
      </c>
      <c r="B26" s="2">
        <v>7655</v>
      </c>
      <c r="C26" s="3" t="s">
        <v>25</v>
      </c>
      <c r="D26" s="191" t="s">
        <v>48</v>
      </c>
      <c r="E26" s="192">
        <v>80111600</v>
      </c>
      <c r="F26" s="191" t="s">
        <v>50</v>
      </c>
      <c r="G26" s="193">
        <v>45021</v>
      </c>
      <c r="H26" s="193">
        <v>45021</v>
      </c>
      <c r="I26" s="191">
        <v>7</v>
      </c>
      <c r="J26" s="191" t="s">
        <v>20</v>
      </c>
      <c r="K26" s="197" t="s">
        <v>21</v>
      </c>
      <c r="L26" s="191" t="s">
        <v>51</v>
      </c>
      <c r="M26" s="230">
        <v>53550000</v>
      </c>
      <c r="N26" s="192" t="s">
        <v>28</v>
      </c>
      <c r="O26" s="192" t="s">
        <v>29</v>
      </c>
      <c r="P26" s="192" t="s">
        <v>24</v>
      </c>
    </row>
    <row r="27" spans="1:16" s="196" customFormat="1" ht="60" x14ac:dyDescent="0.2">
      <c r="A27" s="2">
        <v>2023021</v>
      </c>
      <c r="B27" s="2">
        <v>7655</v>
      </c>
      <c r="C27" s="3" t="s">
        <v>25</v>
      </c>
      <c r="D27" s="191" t="s">
        <v>48</v>
      </c>
      <c r="E27" s="192">
        <v>80111600</v>
      </c>
      <c r="F27" s="191" t="s">
        <v>50</v>
      </c>
      <c r="G27" s="193">
        <v>45021</v>
      </c>
      <c r="H27" s="193">
        <v>45021</v>
      </c>
      <c r="I27" s="191">
        <v>6</v>
      </c>
      <c r="J27" s="191" t="s">
        <v>20</v>
      </c>
      <c r="K27" s="197" t="s">
        <v>21</v>
      </c>
      <c r="L27" s="191" t="s">
        <v>51</v>
      </c>
      <c r="M27" s="230">
        <f>45900000-30600000</f>
        <v>15300000</v>
      </c>
      <c r="N27" s="192" t="s">
        <v>28</v>
      </c>
      <c r="O27" s="192" t="s">
        <v>29</v>
      </c>
      <c r="P27" s="192" t="s">
        <v>24</v>
      </c>
    </row>
    <row r="28" spans="1:16" s="196" customFormat="1" ht="75" x14ac:dyDescent="0.2">
      <c r="A28" s="2">
        <v>2023022</v>
      </c>
      <c r="B28" s="2">
        <v>7655</v>
      </c>
      <c r="C28" s="3" t="s">
        <v>25</v>
      </c>
      <c r="D28" s="191" t="s">
        <v>48</v>
      </c>
      <c r="E28" s="192">
        <v>80111600</v>
      </c>
      <c r="F28" s="191" t="s">
        <v>53</v>
      </c>
      <c r="G28" s="193">
        <v>45021</v>
      </c>
      <c r="H28" s="193">
        <v>45021</v>
      </c>
      <c r="I28" s="191">
        <v>6</v>
      </c>
      <c r="J28" s="191" t="s">
        <v>20</v>
      </c>
      <c r="K28" s="197" t="s">
        <v>21</v>
      </c>
      <c r="L28" s="191" t="s">
        <v>51</v>
      </c>
      <c r="M28" s="230">
        <v>45900000</v>
      </c>
      <c r="N28" s="192" t="s">
        <v>28</v>
      </c>
      <c r="O28" s="192" t="s">
        <v>29</v>
      </c>
      <c r="P28" s="192" t="s">
        <v>24</v>
      </c>
    </row>
    <row r="29" spans="1:16" s="196" customFormat="1" ht="60" x14ac:dyDescent="0.2">
      <c r="A29" s="2">
        <v>2023023</v>
      </c>
      <c r="B29" s="2">
        <v>7655</v>
      </c>
      <c r="C29" s="3" t="s">
        <v>25</v>
      </c>
      <c r="D29" s="191" t="s">
        <v>48</v>
      </c>
      <c r="E29" s="192">
        <v>80111600</v>
      </c>
      <c r="F29" s="191" t="s">
        <v>50</v>
      </c>
      <c r="G29" s="193">
        <v>45021</v>
      </c>
      <c r="H29" s="193">
        <v>45021</v>
      </c>
      <c r="I29" s="191">
        <v>8.5</v>
      </c>
      <c r="J29" s="191" t="s">
        <v>20</v>
      </c>
      <c r="K29" s="197" t="s">
        <v>21</v>
      </c>
      <c r="L29" s="191" t="s">
        <v>51</v>
      </c>
      <c r="M29" s="230">
        <f>34850000-3960467-2900000-3389533</f>
        <v>24600000</v>
      </c>
      <c r="N29" s="192" t="s">
        <v>28</v>
      </c>
      <c r="O29" s="192" t="s">
        <v>29</v>
      </c>
      <c r="P29" s="192" t="s">
        <v>24</v>
      </c>
    </row>
    <row r="30" spans="1:16" s="196" customFormat="1" ht="60" x14ac:dyDescent="0.2">
      <c r="A30" s="2">
        <v>2023024</v>
      </c>
      <c r="B30" s="2">
        <v>7655</v>
      </c>
      <c r="C30" s="3" t="s">
        <v>25</v>
      </c>
      <c r="D30" s="191" t="s">
        <v>48</v>
      </c>
      <c r="E30" s="192">
        <v>80111600</v>
      </c>
      <c r="F30" s="191" t="s">
        <v>50</v>
      </c>
      <c r="G30" s="193">
        <v>45021</v>
      </c>
      <c r="H30" s="193">
        <v>45021</v>
      </c>
      <c r="I30" s="191">
        <v>8.5</v>
      </c>
      <c r="J30" s="191" t="s">
        <v>20</v>
      </c>
      <c r="K30" s="197" t="s">
        <v>21</v>
      </c>
      <c r="L30" s="191" t="s">
        <v>51</v>
      </c>
      <c r="M30" s="230">
        <f>38250000-2250000</f>
        <v>36000000</v>
      </c>
      <c r="N30" s="192" t="s">
        <v>28</v>
      </c>
      <c r="O30" s="192" t="s">
        <v>29</v>
      </c>
      <c r="P30" s="192" t="s">
        <v>24</v>
      </c>
    </row>
    <row r="31" spans="1:16" s="196" customFormat="1" ht="60" x14ac:dyDescent="0.2">
      <c r="A31" s="2">
        <v>2023026</v>
      </c>
      <c r="B31" s="2">
        <v>7655</v>
      </c>
      <c r="C31" s="3" t="s">
        <v>25</v>
      </c>
      <c r="D31" s="191" t="s">
        <v>48</v>
      </c>
      <c r="E31" s="192">
        <v>80111600</v>
      </c>
      <c r="F31" s="191" t="s">
        <v>54</v>
      </c>
      <c r="G31" s="193">
        <v>44965</v>
      </c>
      <c r="H31" s="193">
        <v>44965</v>
      </c>
      <c r="I31" s="191">
        <v>9</v>
      </c>
      <c r="J31" s="191" t="s">
        <v>20</v>
      </c>
      <c r="K31" s="197" t="s">
        <v>21</v>
      </c>
      <c r="L31" s="191" t="s">
        <v>51</v>
      </c>
      <c r="M31" s="230">
        <f>256500000-3060467-1754533</f>
        <v>251685000</v>
      </c>
      <c r="N31" s="192" t="s">
        <v>28</v>
      </c>
      <c r="O31" s="192" t="s">
        <v>29</v>
      </c>
      <c r="P31" s="192" t="s">
        <v>24</v>
      </c>
    </row>
    <row r="32" spans="1:16" s="196" customFormat="1" ht="60" x14ac:dyDescent="0.2">
      <c r="A32" s="2">
        <v>2023027</v>
      </c>
      <c r="B32" s="2">
        <v>7655</v>
      </c>
      <c r="C32" s="3" t="s">
        <v>25</v>
      </c>
      <c r="D32" s="191" t="s">
        <v>48</v>
      </c>
      <c r="E32" s="192">
        <v>80111600</v>
      </c>
      <c r="F32" s="191" t="s">
        <v>55</v>
      </c>
      <c r="G32" s="193">
        <v>45021</v>
      </c>
      <c r="H32" s="193">
        <v>45021</v>
      </c>
      <c r="I32" s="191">
        <v>9</v>
      </c>
      <c r="J32" s="191" t="s">
        <v>20</v>
      </c>
      <c r="K32" s="197" t="s">
        <v>21</v>
      </c>
      <c r="L32" s="191" t="s">
        <v>51</v>
      </c>
      <c r="M32" s="230">
        <f>31500000-1145467-5504533</f>
        <v>24850000</v>
      </c>
      <c r="N32" s="192" t="s">
        <v>28</v>
      </c>
      <c r="O32" s="192" t="s">
        <v>29</v>
      </c>
      <c r="P32" s="192" t="s">
        <v>24</v>
      </c>
    </row>
    <row r="33" spans="1:16" s="196" customFormat="1" ht="60" x14ac:dyDescent="0.2">
      <c r="A33" s="2">
        <v>2023028</v>
      </c>
      <c r="B33" s="2">
        <v>7655</v>
      </c>
      <c r="C33" s="3" t="s">
        <v>25</v>
      </c>
      <c r="D33" s="191" t="s">
        <v>48</v>
      </c>
      <c r="E33" s="192">
        <v>80111600</v>
      </c>
      <c r="F33" s="191" t="s">
        <v>56</v>
      </c>
      <c r="G33" s="193">
        <v>45021</v>
      </c>
      <c r="H33" s="193">
        <v>45021</v>
      </c>
      <c r="I33" s="191">
        <v>7</v>
      </c>
      <c r="J33" s="191" t="s">
        <v>20</v>
      </c>
      <c r="K33" s="197" t="s">
        <v>21</v>
      </c>
      <c r="L33" s="191" t="s">
        <v>27</v>
      </c>
      <c r="M33" s="230">
        <f>20092500-1242500</f>
        <v>18850000</v>
      </c>
      <c r="N33" s="192" t="s">
        <v>28</v>
      </c>
      <c r="O33" s="192" t="s">
        <v>29</v>
      </c>
      <c r="P33" s="192" t="s">
        <v>24</v>
      </c>
    </row>
    <row r="34" spans="1:16" s="196" customFormat="1" ht="60" x14ac:dyDescent="0.2">
      <c r="A34" s="2">
        <v>2023029</v>
      </c>
      <c r="B34" s="2">
        <v>7655</v>
      </c>
      <c r="C34" s="3" t="s">
        <v>25</v>
      </c>
      <c r="D34" s="191" t="s">
        <v>48</v>
      </c>
      <c r="E34" s="192">
        <v>80111600</v>
      </c>
      <c r="F34" s="191" t="s">
        <v>56</v>
      </c>
      <c r="G34" s="193">
        <v>45021</v>
      </c>
      <c r="H34" s="193">
        <v>45021</v>
      </c>
      <c r="I34" s="191">
        <v>8</v>
      </c>
      <c r="J34" s="191" t="s">
        <v>20</v>
      </c>
      <c r="K34" s="197" t="s">
        <v>21</v>
      </c>
      <c r="L34" s="191" t="s">
        <v>27</v>
      </c>
      <c r="M34" s="230">
        <f>22800000-4752967-647033</f>
        <v>17400000</v>
      </c>
      <c r="N34" s="192" t="s">
        <v>28</v>
      </c>
      <c r="O34" s="192" t="s">
        <v>29</v>
      </c>
      <c r="P34" s="192" t="s">
        <v>24</v>
      </c>
    </row>
    <row r="35" spans="1:16" s="196" customFormat="1" ht="60" x14ac:dyDescent="0.2">
      <c r="A35" s="2">
        <v>2023030</v>
      </c>
      <c r="B35" s="2">
        <v>7655</v>
      </c>
      <c r="C35" s="3" t="s">
        <v>25</v>
      </c>
      <c r="D35" s="191" t="s">
        <v>48</v>
      </c>
      <c r="E35" s="192">
        <v>80111600</v>
      </c>
      <c r="F35" s="191" t="s">
        <v>56</v>
      </c>
      <c r="G35" s="193">
        <v>45021</v>
      </c>
      <c r="H35" s="193">
        <v>45021</v>
      </c>
      <c r="I35" s="191">
        <v>8</v>
      </c>
      <c r="J35" s="191" t="s">
        <v>20</v>
      </c>
      <c r="K35" s="197" t="s">
        <v>21</v>
      </c>
      <c r="L35" s="191" t="s">
        <v>27</v>
      </c>
      <c r="M35" s="230">
        <f>22800000-1902967-2047033</f>
        <v>18850000</v>
      </c>
      <c r="N35" s="192" t="s">
        <v>28</v>
      </c>
      <c r="O35" s="192" t="s">
        <v>29</v>
      </c>
      <c r="P35" s="192" t="s">
        <v>24</v>
      </c>
    </row>
    <row r="36" spans="1:16" s="196" customFormat="1" ht="60" x14ac:dyDescent="0.2">
      <c r="A36" s="2">
        <v>2023031</v>
      </c>
      <c r="B36" s="2">
        <v>7655</v>
      </c>
      <c r="C36" s="3" t="s">
        <v>25</v>
      </c>
      <c r="D36" s="191" t="s">
        <v>48</v>
      </c>
      <c r="E36" s="192">
        <v>80111600</v>
      </c>
      <c r="F36" s="191" t="s">
        <v>50</v>
      </c>
      <c r="G36" s="193">
        <v>45021</v>
      </c>
      <c r="H36" s="193">
        <v>45021</v>
      </c>
      <c r="I36" s="191">
        <v>8.5</v>
      </c>
      <c r="J36" s="191" t="s">
        <v>20</v>
      </c>
      <c r="K36" s="197" t="s">
        <v>21</v>
      </c>
      <c r="L36" s="191" t="s">
        <v>51</v>
      </c>
      <c r="M36" s="230">
        <f>31518000-8152967-565033</f>
        <v>22800000</v>
      </c>
      <c r="N36" s="192" t="s">
        <v>28</v>
      </c>
      <c r="O36" s="192" t="s">
        <v>29</v>
      </c>
      <c r="P36" s="192" t="s">
        <v>24</v>
      </c>
    </row>
    <row r="37" spans="1:16" s="196" customFormat="1" ht="60" x14ac:dyDescent="0.2">
      <c r="A37" s="2">
        <v>2023032</v>
      </c>
      <c r="B37" s="2">
        <v>7655</v>
      </c>
      <c r="C37" s="3" t="s">
        <v>25</v>
      </c>
      <c r="D37" s="191" t="s">
        <v>48</v>
      </c>
      <c r="E37" s="192">
        <v>80111600</v>
      </c>
      <c r="F37" s="191" t="s">
        <v>57</v>
      </c>
      <c r="G37" s="193">
        <v>45021</v>
      </c>
      <c r="H37" s="193">
        <v>45021</v>
      </c>
      <c r="I37" s="191">
        <v>7</v>
      </c>
      <c r="J37" s="191" t="s">
        <v>20</v>
      </c>
      <c r="K37" s="197" t="s">
        <v>21</v>
      </c>
      <c r="L37" s="191" t="s">
        <v>27</v>
      </c>
      <c r="M37" s="230">
        <v>35700000</v>
      </c>
      <c r="N37" s="192" t="s">
        <v>28</v>
      </c>
      <c r="O37" s="192" t="s">
        <v>29</v>
      </c>
      <c r="P37" s="192" t="s">
        <v>24</v>
      </c>
    </row>
    <row r="38" spans="1:16" s="196" customFormat="1" ht="75" x14ac:dyDescent="0.2">
      <c r="A38" s="2">
        <v>2023033</v>
      </c>
      <c r="B38" s="2">
        <v>7655</v>
      </c>
      <c r="C38" s="3" t="s">
        <v>25</v>
      </c>
      <c r="D38" s="191" t="s">
        <v>48</v>
      </c>
      <c r="E38" s="192">
        <v>80111600</v>
      </c>
      <c r="F38" s="191" t="s">
        <v>58</v>
      </c>
      <c r="G38" s="193">
        <v>45021</v>
      </c>
      <c r="H38" s="193">
        <v>45021</v>
      </c>
      <c r="I38" s="191">
        <v>8</v>
      </c>
      <c r="J38" s="191" t="s">
        <v>20</v>
      </c>
      <c r="K38" s="197" t="s">
        <v>21</v>
      </c>
      <c r="L38" s="191" t="s">
        <v>51</v>
      </c>
      <c r="M38" s="230">
        <f>24800000-4400000</f>
        <v>20400000</v>
      </c>
      <c r="N38" s="192" t="s">
        <v>28</v>
      </c>
      <c r="O38" s="192" t="s">
        <v>29</v>
      </c>
      <c r="P38" s="192" t="s">
        <v>24</v>
      </c>
    </row>
    <row r="39" spans="1:16" s="196" customFormat="1" ht="60" x14ac:dyDescent="0.2">
      <c r="A39" s="2">
        <v>2023034</v>
      </c>
      <c r="B39" s="2">
        <v>7655</v>
      </c>
      <c r="C39" s="3" t="s">
        <v>25</v>
      </c>
      <c r="D39" s="191" t="s">
        <v>48</v>
      </c>
      <c r="E39" s="192">
        <v>80111600</v>
      </c>
      <c r="F39" s="191" t="s">
        <v>59</v>
      </c>
      <c r="G39" s="193">
        <v>44965</v>
      </c>
      <c r="H39" s="193">
        <v>44965</v>
      </c>
      <c r="I39" s="191">
        <v>8</v>
      </c>
      <c r="J39" s="191" t="s">
        <v>20</v>
      </c>
      <c r="K39" s="197" t="s">
        <v>21</v>
      </c>
      <c r="L39" s="191" t="s">
        <v>51</v>
      </c>
      <c r="M39" s="230">
        <v>54000000</v>
      </c>
      <c r="N39" s="192" t="s">
        <v>28</v>
      </c>
      <c r="O39" s="192" t="s">
        <v>29</v>
      </c>
      <c r="P39" s="192" t="s">
        <v>24</v>
      </c>
    </row>
    <row r="40" spans="1:16" s="196" customFormat="1" ht="60" x14ac:dyDescent="0.2">
      <c r="A40" s="2">
        <v>2023035</v>
      </c>
      <c r="B40" s="2">
        <v>7655</v>
      </c>
      <c r="C40" s="3" t="s">
        <v>25</v>
      </c>
      <c r="D40" s="191" t="s">
        <v>48</v>
      </c>
      <c r="E40" s="192">
        <v>80111600</v>
      </c>
      <c r="F40" s="191" t="s">
        <v>60</v>
      </c>
      <c r="G40" s="193">
        <v>45021</v>
      </c>
      <c r="H40" s="193">
        <v>45021</v>
      </c>
      <c r="I40" s="191">
        <v>8</v>
      </c>
      <c r="J40" s="191" t="s">
        <v>20</v>
      </c>
      <c r="K40" s="197" t="s">
        <v>21</v>
      </c>
      <c r="L40" s="191" t="s">
        <v>51</v>
      </c>
      <c r="M40" s="230">
        <f>25025000-4659967-1115033</f>
        <v>19250000</v>
      </c>
      <c r="N40" s="192" t="s">
        <v>28</v>
      </c>
      <c r="O40" s="192" t="s">
        <v>29</v>
      </c>
      <c r="P40" s="192" t="s">
        <v>24</v>
      </c>
    </row>
    <row r="41" spans="1:16" s="196" customFormat="1" ht="75" x14ac:dyDescent="0.2">
      <c r="A41" s="2">
        <v>2023036</v>
      </c>
      <c r="B41" s="2">
        <v>7655</v>
      </c>
      <c r="C41" s="3" t="s">
        <v>25</v>
      </c>
      <c r="D41" s="191" t="s">
        <v>48</v>
      </c>
      <c r="E41" s="192">
        <v>80111600</v>
      </c>
      <c r="F41" s="191" t="s">
        <v>61</v>
      </c>
      <c r="G41" s="193">
        <v>45054</v>
      </c>
      <c r="H41" s="193">
        <v>45054</v>
      </c>
      <c r="I41" s="191">
        <v>8</v>
      </c>
      <c r="J41" s="191" t="s">
        <v>20</v>
      </c>
      <c r="K41" s="197" t="s">
        <v>21</v>
      </c>
      <c r="L41" s="191" t="s">
        <v>51</v>
      </c>
      <c r="M41" s="230">
        <f>18000000+22000000</f>
        <v>40000000</v>
      </c>
      <c r="N41" s="192" t="s">
        <v>28</v>
      </c>
      <c r="O41" s="192" t="s">
        <v>29</v>
      </c>
      <c r="P41" s="192" t="s">
        <v>24</v>
      </c>
    </row>
    <row r="42" spans="1:16" s="196" customFormat="1" ht="60" x14ac:dyDescent="0.2">
      <c r="A42" s="2">
        <v>2023037</v>
      </c>
      <c r="B42" s="2">
        <v>7655</v>
      </c>
      <c r="C42" s="3" t="s">
        <v>25</v>
      </c>
      <c r="D42" s="191" t="s">
        <v>48</v>
      </c>
      <c r="E42" s="192">
        <v>80111600</v>
      </c>
      <c r="F42" s="191" t="s">
        <v>62</v>
      </c>
      <c r="G42" s="193">
        <v>44941</v>
      </c>
      <c r="H42" s="193">
        <v>44941</v>
      </c>
      <c r="I42" s="191">
        <v>12</v>
      </c>
      <c r="J42" s="191" t="s">
        <v>20</v>
      </c>
      <c r="K42" s="197" t="s">
        <v>21</v>
      </c>
      <c r="L42" s="191" t="s">
        <v>51</v>
      </c>
      <c r="M42" s="230">
        <f>37936634-451634</f>
        <v>37485000</v>
      </c>
      <c r="N42" s="192" t="s">
        <v>28</v>
      </c>
      <c r="O42" s="192" t="s">
        <v>29</v>
      </c>
      <c r="P42" s="192" t="s">
        <v>24</v>
      </c>
    </row>
    <row r="43" spans="1:16" s="196" customFormat="1" ht="60" x14ac:dyDescent="0.2">
      <c r="A43" s="2">
        <v>2023038</v>
      </c>
      <c r="B43" s="2" t="s">
        <v>17</v>
      </c>
      <c r="C43" s="2" t="s">
        <v>17</v>
      </c>
      <c r="D43" s="191" t="s">
        <v>18</v>
      </c>
      <c r="E43" s="192" t="s">
        <v>63</v>
      </c>
      <c r="F43" s="191" t="s">
        <v>64</v>
      </c>
      <c r="G43" s="193">
        <v>44958</v>
      </c>
      <c r="H43" s="193">
        <v>45009</v>
      </c>
      <c r="I43" s="191">
        <v>12</v>
      </c>
      <c r="J43" s="191" t="s">
        <v>20</v>
      </c>
      <c r="K43" s="197" t="s">
        <v>21</v>
      </c>
      <c r="L43" s="191" t="s">
        <v>22</v>
      </c>
      <c r="M43" s="188">
        <f>19417000-3209200</f>
        <v>16207800</v>
      </c>
      <c r="N43" s="191" t="s">
        <v>23</v>
      </c>
      <c r="O43" s="191" t="s">
        <v>23</v>
      </c>
      <c r="P43" s="192" t="s">
        <v>24</v>
      </c>
    </row>
    <row r="44" spans="1:16" s="196" customFormat="1" ht="60" x14ac:dyDescent="0.2">
      <c r="A44" s="2">
        <v>2023039</v>
      </c>
      <c r="B44" s="2" t="s">
        <v>17</v>
      </c>
      <c r="C44" s="2" t="s">
        <v>17</v>
      </c>
      <c r="D44" s="191" t="s">
        <v>18</v>
      </c>
      <c r="E44" s="192" t="s">
        <v>19</v>
      </c>
      <c r="F44" s="191" t="s">
        <v>718</v>
      </c>
      <c r="G44" s="193">
        <v>45149</v>
      </c>
      <c r="H44" s="193">
        <v>45163</v>
      </c>
      <c r="I44" s="191">
        <v>4</v>
      </c>
      <c r="J44" s="191" t="s">
        <v>20</v>
      </c>
      <c r="K44" s="197" t="s">
        <v>21</v>
      </c>
      <c r="L44" s="191" t="s">
        <v>22</v>
      </c>
      <c r="M44" s="188">
        <f>37000000</f>
        <v>37000000</v>
      </c>
      <c r="N44" s="191" t="s">
        <v>23</v>
      </c>
      <c r="O44" s="191" t="s">
        <v>23</v>
      </c>
      <c r="P44" s="192" t="s">
        <v>24</v>
      </c>
    </row>
    <row r="45" spans="1:16" s="196" customFormat="1" ht="60" x14ac:dyDescent="0.2">
      <c r="A45" s="2">
        <v>2023040</v>
      </c>
      <c r="B45" s="2" t="s">
        <v>17</v>
      </c>
      <c r="C45" s="2" t="s">
        <v>17</v>
      </c>
      <c r="D45" s="191" t="s">
        <v>18</v>
      </c>
      <c r="E45" s="192" t="s">
        <v>65</v>
      </c>
      <c r="F45" s="191" t="s">
        <v>66</v>
      </c>
      <c r="G45" s="193">
        <v>45138</v>
      </c>
      <c r="H45" s="193">
        <v>45152</v>
      </c>
      <c r="I45" s="191">
        <v>12</v>
      </c>
      <c r="J45" s="191" t="s">
        <v>67</v>
      </c>
      <c r="K45" s="197" t="s">
        <v>21</v>
      </c>
      <c r="L45" s="191" t="s">
        <v>22</v>
      </c>
      <c r="M45" s="188">
        <v>35000000</v>
      </c>
      <c r="N45" s="191" t="s">
        <v>23</v>
      </c>
      <c r="O45" s="191" t="s">
        <v>23</v>
      </c>
      <c r="P45" s="192" t="s">
        <v>24</v>
      </c>
    </row>
    <row r="46" spans="1:16" s="196" customFormat="1" ht="75" x14ac:dyDescent="0.2">
      <c r="A46" s="2">
        <v>2023041</v>
      </c>
      <c r="B46" s="2" t="s">
        <v>17</v>
      </c>
      <c r="C46" s="2" t="s">
        <v>17</v>
      </c>
      <c r="D46" s="191" t="s">
        <v>18</v>
      </c>
      <c r="E46" s="192" t="s">
        <v>68</v>
      </c>
      <c r="F46" s="191" t="s">
        <v>69</v>
      </c>
      <c r="G46" s="193">
        <v>44927</v>
      </c>
      <c r="H46" s="193">
        <v>44958</v>
      </c>
      <c r="I46" s="191">
        <v>6</v>
      </c>
      <c r="J46" s="191" t="s">
        <v>67</v>
      </c>
      <c r="K46" s="197" t="s">
        <v>21</v>
      </c>
      <c r="L46" s="191" t="s">
        <v>70</v>
      </c>
      <c r="M46" s="188">
        <f>300000000-19800000-25000000-91323067</f>
        <v>163876933</v>
      </c>
      <c r="N46" s="191" t="s">
        <v>23</v>
      </c>
      <c r="O46" s="191" t="s">
        <v>23</v>
      </c>
      <c r="P46" s="192" t="s">
        <v>24</v>
      </c>
    </row>
    <row r="47" spans="1:16" s="196" customFormat="1" ht="45" x14ac:dyDescent="0.2">
      <c r="A47" s="2">
        <v>2023042</v>
      </c>
      <c r="B47" s="2" t="s">
        <v>17</v>
      </c>
      <c r="C47" s="2" t="s">
        <v>17</v>
      </c>
      <c r="D47" s="191" t="s">
        <v>18</v>
      </c>
      <c r="E47" s="192" t="s">
        <v>71</v>
      </c>
      <c r="F47" s="191" t="s">
        <v>72</v>
      </c>
      <c r="G47" s="193">
        <v>44986</v>
      </c>
      <c r="H47" s="193">
        <v>45078</v>
      </c>
      <c r="I47" s="191">
        <v>12</v>
      </c>
      <c r="J47" s="191" t="s">
        <v>20</v>
      </c>
      <c r="K47" s="197" t="s">
        <v>21</v>
      </c>
      <c r="L47" s="191" t="s">
        <v>73</v>
      </c>
      <c r="M47" s="188">
        <f>305103000-21000000-4103000</f>
        <v>280000000</v>
      </c>
      <c r="N47" s="191" t="s">
        <v>23</v>
      </c>
      <c r="O47" s="191" t="s">
        <v>23</v>
      </c>
      <c r="P47" s="192" t="s">
        <v>24</v>
      </c>
    </row>
    <row r="48" spans="1:16" s="196" customFormat="1" ht="75" x14ac:dyDescent="0.2">
      <c r="A48" s="2">
        <v>2023043</v>
      </c>
      <c r="B48" s="2">
        <v>7637</v>
      </c>
      <c r="C48" s="3" t="s">
        <v>74</v>
      </c>
      <c r="D48" s="191" t="s">
        <v>18</v>
      </c>
      <c r="E48" s="192">
        <v>80111600</v>
      </c>
      <c r="F48" s="191" t="s">
        <v>75</v>
      </c>
      <c r="G48" s="193">
        <v>44927</v>
      </c>
      <c r="H48" s="193">
        <v>44941</v>
      </c>
      <c r="I48" s="191">
        <v>11</v>
      </c>
      <c r="J48" s="191" t="s">
        <v>20</v>
      </c>
      <c r="K48" s="197" t="s">
        <v>21</v>
      </c>
      <c r="L48" s="191" t="s">
        <v>27</v>
      </c>
      <c r="M48" s="188">
        <v>77000000</v>
      </c>
      <c r="N48" s="192" t="s">
        <v>76</v>
      </c>
      <c r="O48" s="192" t="s">
        <v>77</v>
      </c>
      <c r="P48" s="192" t="s">
        <v>24</v>
      </c>
    </row>
    <row r="49" spans="1:16" s="196" customFormat="1" ht="75" x14ac:dyDescent="0.2">
      <c r="A49" s="2">
        <v>2023044</v>
      </c>
      <c r="B49" s="2">
        <v>7637</v>
      </c>
      <c r="C49" s="3" t="s">
        <v>74</v>
      </c>
      <c r="D49" s="191" t="s">
        <v>18</v>
      </c>
      <c r="E49" s="192">
        <v>80111600</v>
      </c>
      <c r="F49" s="191" t="s">
        <v>78</v>
      </c>
      <c r="G49" s="193">
        <v>44927</v>
      </c>
      <c r="H49" s="193">
        <v>44941</v>
      </c>
      <c r="I49" s="191">
        <v>7</v>
      </c>
      <c r="J49" s="191" t="s">
        <v>20</v>
      </c>
      <c r="K49" s="197" t="s">
        <v>21</v>
      </c>
      <c r="L49" s="191" t="s">
        <v>27</v>
      </c>
      <c r="M49" s="188">
        <v>32900000</v>
      </c>
      <c r="N49" s="192" t="s">
        <v>76</v>
      </c>
      <c r="O49" s="192" t="s">
        <v>77</v>
      </c>
      <c r="P49" s="192" t="s">
        <v>24</v>
      </c>
    </row>
    <row r="50" spans="1:16" s="196" customFormat="1" ht="75" x14ac:dyDescent="0.2">
      <c r="A50" s="2">
        <v>2023045</v>
      </c>
      <c r="B50" s="2">
        <v>7637</v>
      </c>
      <c r="C50" s="3" t="s">
        <v>74</v>
      </c>
      <c r="D50" s="191" t="s">
        <v>18</v>
      </c>
      <c r="E50" s="192">
        <v>80111600</v>
      </c>
      <c r="F50" s="195" t="s">
        <v>79</v>
      </c>
      <c r="G50" s="193">
        <v>45078</v>
      </c>
      <c r="H50" s="193">
        <v>45092</v>
      </c>
      <c r="I50" s="191">
        <v>7</v>
      </c>
      <c r="J50" s="191" t="s">
        <v>20</v>
      </c>
      <c r="K50" s="197" t="s">
        <v>21</v>
      </c>
      <c r="L50" s="191" t="s">
        <v>27</v>
      </c>
      <c r="M50" s="188">
        <f>22000000-6800000+10000000+1400000-73500</f>
        <v>26526500</v>
      </c>
      <c r="N50" s="192" t="s">
        <v>76</v>
      </c>
      <c r="O50" s="192" t="s">
        <v>77</v>
      </c>
      <c r="P50" s="192" t="s">
        <v>24</v>
      </c>
    </row>
    <row r="51" spans="1:16" s="196" customFormat="1" ht="75" x14ac:dyDescent="0.2">
      <c r="A51" s="2">
        <v>2023046</v>
      </c>
      <c r="B51" s="2">
        <v>7637</v>
      </c>
      <c r="C51" s="3" t="s">
        <v>74</v>
      </c>
      <c r="D51" s="191" t="s">
        <v>18</v>
      </c>
      <c r="E51" s="192">
        <v>80111600</v>
      </c>
      <c r="F51" s="192" t="s">
        <v>80</v>
      </c>
      <c r="G51" s="193">
        <v>44927</v>
      </c>
      <c r="H51" s="193">
        <v>44941</v>
      </c>
      <c r="I51" s="191">
        <v>4</v>
      </c>
      <c r="J51" s="191" t="s">
        <v>20</v>
      </c>
      <c r="K51" s="197" t="s">
        <v>21</v>
      </c>
      <c r="L51" s="191" t="s">
        <v>27</v>
      </c>
      <c r="M51" s="188">
        <f>20100000-6700000</f>
        <v>13400000</v>
      </c>
      <c r="N51" s="192" t="s">
        <v>76</v>
      </c>
      <c r="O51" s="192" t="s">
        <v>77</v>
      </c>
      <c r="P51" s="192" t="s">
        <v>24</v>
      </c>
    </row>
    <row r="52" spans="1:16" s="196" customFormat="1" ht="75" x14ac:dyDescent="0.2">
      <c r="A52" s="2">
        <v>2023047</v>
      </c>
      <c r="B52" s="2">
        <v>7637</v>
      </c>
      <c r="C52" s="3" t="s">
        <v>74</v>
      </c>
      <c r="D52" s="191" t="s">
        <v>18</v>
      </c>
      <c r="E52" s="192">
        <v>80111600</v>
      </c>
      <c r="F52" s="191" t="s">
        <v>81</v>
      </c>
      <c r="G52" s="193">
        <v>44927</v>
      </c>
      <c r="H52" s="193">
        <v>44941</v>
      </c>
      <c r="I52" s="191">
        <v>4</v>
      </c>
      <c r="J52" s="191" t="s">
        <v>20</v>
      </c>
      <c r="K52" s="197" t="s">
        <v>21</v>
      </c>
      <c r="L52" s="191" t="s">
        <v>27</v>
      </c>
      <c r="M52" s="188">
        <f>68000000-40800000</f>
        <v>27200000</v>
      </c>
      <c r="N52" s="192" t="s">
        <v>76</v>
      </c>
      <c r="O52" s="192" t="s">
        <v>77</v>
      </c>
      <c r="P52" s="192" t="s">
        <v>24</v>
      </c>
    </row>
    <row r="53" spans="1:16" s="196" customFormat="1" ht="75" x14ac:dyDescent="0.2">
      <c r="A53" s="2">
        <v>2023048</v>
      </c>
      <c r="B53" s="2">
        <v>7637</v>
      </c>
      <c r="C53" s="3" t="s">
        <v>74</v>
      </c>
      <c r="D53" s="191" t="s">
        <v>18</v>
      </c>
      <c r="E53" s="192">
        <v>80111600</v>
      </c>
      <c r="F53" s="191" t="s">
        <v>82</v>
      </c>
      <c r="G53" s="193">
        <v>44927</v>
      </c>
      <c r="H53" s="193">
        <v>44941</v>
      </c>
      <c r="I53" s="191">
        <v>4</v>
      </c>
      <c r="J53" s="191" t="s">
        <v>20</v>
      </c>
      <c r="K53" s="197" t="s">
        <v>21</v>
      </c>
      <c r="L53" s="191" t="s">
        <v>27</v>
      </c>
      <c r="M53" s="188">
        <f>68000000-40800000</f>
        <v>27200000</v>
      </c>
      <c r="N53" s="192" t="s">
        <v>76</v>
      </c>
      <c r="O53" s="192" t="s">
        <v>77</v>
      </c>
      <c r="P53" s="192" t="s">
        <v>24</v>
      </c>
    </row>
    <row r="54" spans="1:16" s="196" customFormat="1" ht="75" x14ac:dyDescent="0.2">
      <c r="A54" s="2">
        <v>2023049</v>
      </c>
      <c r="B54" s="2">
        <v>7637</v>
      </c>
      <c r="C54" s="3" t="s">
        <v>74</v>
      </c>
      <c r="D54" s="191" t="s">
        <v>18</v>
      </c>
      <c r="E54" s="192">
        <v>80111600</v>
      </c>
      <c r="F54" s="191" t="s">
        <v>83</v>
      </c>
      <c r="G54" s="193">
        <v>44927</v>
      </c>
      <c r="H54" s="193">
        <v>44941</v>
      </c>
      <c r="I54" s="191">
        <v>10</v>
      </c>
      <c r="J54" s="191" t="s">
        <v>20</v>
      </c>
      <c r="K54" s="197" t="s">
        <v>21</v>
      </c>
      <c r="L54" s="191" t="s">
        <v>27</v>
      </c>
      <c r="M54" s="188">
        <f>65000000-39000000</f>
        <v>26000000</v>
      </c>
      <c r="N54" s="192" t="s">
        <v>76</v>
      </c>
      <c r="O54" s="192" t="s">
        <v>77</v>
      </c>
      <c r="P54" s="192" t="s">
        <v>24</v>
      </c>
    </row>
    <row r="55" spans="1:16" s="196" customFormat="1" ht="90" x14ac:dyDescent="0.2">
      <c r="A55" s="2">
        <v>2023050</v>
      </c>
      <c r="B55" s="2">
        <v>7637</v>
      </c>
      <c r="C55" s="3" t="s">
        <v>74</v>
      </c>
      <c r="D55" s="191" t="s">
        <v>18</v>
      </c>
      <c r="E55" s="192">
        <v>80111600</v>
      </c>
      <c r="F55" s="191" t="s">
        <v>84</v>
      </c>
      <c r="G55" s="193">
        <v>44927</v>
      </c>
      <c r="H55" s="193">
        <v>44941</v>
      </c>
      <c r="I55" s="191">
        <v>11</v>
      </c>
      <c r="J55" s="191" t="s">
        <v>20</v>
      </c>
      <c r="K55" s="197" t="s">
        <v>21</v>
      </c>
      <c r="L55" s="191" t="s">
        <v>27</v>
      </c>
      <c r="M55" s="188">
        <f>77000000+5500000</f>
        <v>82500000</v>
      </c>
      <c r="N55" s="192" t="s">
        <v>76</v>
      </c>
      <c r="O55" s="192" t="s">
        <v>77</v>
      </c>
      <c r="P55" s="192" t="s">
        <v>24</v>
      </c>
    </row>
    <row r="56" spans="1:16" s="196" customFormat="1" ht="75" x14ac:dyDescent="0.2">
      <c r="A56" s="2">
        <v>2023051</v>
      </c>
      <c r="B56" s="2">
        <v>7637</v>
      </c>
      <c r="C56" s="3" t="s">
        <v>74</v>
      </c>
      <c r="D56" s="191" t="s">
        <v>18</v>
      </c>
      <c r="E56" s="192">
        <v>80111600</v>
      </c>
      <c r="F56" s="191" t="s">
        <v>85</v>
      </c>
      <c r="G56" s="193">
        <v>44927</v>
      </c>
      <c r="H56" s="193">
        <v>44941</v>
      </c>
      <c r="I56" s="191">
        <v>11</v>
      </c>
      <c r="J56" s="191" t="s">
        <v>20</v>
      </c>
      <c r="K56" s="197" t="s">
        <v>21</v>
      </c>
      <c r="L56" s="191" t="s">
        <v>27</v>
      </c>
      <c r="M56" s="188">
        <v>77000000</v>
      </c>
      <c r="N56" s="192" t="s">
        <v>76</v>
      </c>
      <c r="O56" s="192" t="s">
        <v>77</v>
      </c>
      <c r="P56" s="192" t="s">
        <v>24</v>
      </c>
    </row>
    <row r="57" spans="1:16" s="196" customFormat="1" ht="75" x14ac:dyDescent="0.2">
      <c r="A57" s="2">
        <v>2023052</v>
      </c>
      <c r="B57" s="2">
        <v>7637</v>
      </c>
      <c r="C57" s="3" t="s">
        <v>74</v>
      </c>
      <c r="D57" s="191" t="s">
        <v>18</v>
      </c>
      <c r="E57" s="192">
        <v>80111600</v>
      </c>
      <c r="F57" s="191" t="s">
        <v>86</v>
      </c>
      <c r="G57" s="193">
        <v>44927</v>
      </c>
      <c r="H57" s="193">
        <v>44941</v>
      </c>
      <c r="I57" s="191">
        <v>9</v>
      </c>
      <c r="J57" s="191" t="s">
        <v>20</v>
      </c>
      <c r="K57" s="197" t="s">
        <v>21</v>
      </c>
      <c r="L57" s="191" t="s">
        <v>27</v>
      </c>
      <c r="M57" s="188">
        <v>58500000</v>
      </c>
      <c r="N57" s="192" t="s">
        <v>87</v>
      </c>
      <c r="O57" s="192" t="s">
        <v>77</v>
      </c>
      <c r="P57" s="192" t="s">
        <v>24</v>
      </c>
    </row>
    <row r="58" spans="1:16" s="196" customFormat="1" ht="75" x14ac:dyDescent="0.2">
      <c r="A58" s="2">
        <v>2023053</v>
      </c>
      <c r="B58" s="2">
        <v>7637</v>
      </c>
      <c r="C58" s="3" t="s">
        <v>74</v>
      </c>
      <c r="D58" s="191" t="s">
        <v>18</v>
      </c>
      <c r="E58" s="192">
        <v>80111600</v>
      </c>
      <c r="F58" s="191" t="s">
        <v>88</v>
      </c>
      <c r="G58" s="193">
        <v>44927</v>
      </c>
      <c r="H58" s="193">
        <v>44941</v>
      </c>
      <c r="I58" s="191">
        <v>4</v>
      </c>
      <c r="J58" s="191" t="s">
        <v>20</v>
      </c>
      <c r="K58" s="197" t="s">
        <v>21</v>
      </c>
      <c r="L58" s="191" t="s">
        <v>27</v>
      </c>
      <c r="M58" s="188">
        <f>52000000-26000000</f>
        <v>26000000</v>
      </c>
      <c r="N58" s="192" t="s">
        <v>76</v>
      </c>
      <c r="O58" s="192" t="s">
        <v>77</v>
      </c>
      <c r="P58" s="192" t="s">
        <v>24</v>
      </c>
    </row>
    <row r="59" spans="1:16" s="196" customFormat="1" ht="90" x14ac:dyDescent="0.2">
      <c r="A59" s="2">
        <v>2023054</v>
      </c>
      <c r="B59" s="2">
        <v>7637</v>
      </c>
      <c r="C59" s="3" t="s">
        <v>74</v>
      </c>
      <c r="D59" s="191" t="s">
        <v>18</v>
      </c>
      <c r="E59" s="192">
        <v>80111600</v>
      </c>
      <c r="F59" s="191" t="s">
        <v>89</v>
      </c>
      <c r="G59" s="193">
        <v>44927</v>
      </c>
      <c r="H59" s="193">
        <v>44941</v>
      </c>
      <c r="I59" s="191">
        <v>11</v>
      </c>
      <c r="J59" s="191" t="s">
        <v>20</v>
      </c>
      <c r="K59" s="197" t="s">
        <v>21</v>
      </c>
      <c r="L59" s="191" t="s">
        <v>27</v>
      </c>
      <c r="M59" s="188">
        <v>51700000</v>
      </c>
      <c r="N59" s="192" t="s">
        <v>76</v>
      </c>
      <c r="O59" s="192" t="s">
        <v>77</v>
      </c>
      <c r="P59" s="192" t="s">
        <v>24</v>
      </c>
    </row>
    <row r="60" spans="1:16" s="196" customFormat="1" ht="75" x14ac:dyDescent="0.2">
      <c r="A60" s="2">
        <v>2023056</v>
      </c>
      <c r="B60" s="2">
        <v>7637</v>
      </c>
      <c r="C60" s="3" t="s">
        <v>74</v>
      </c>
      <c r="D60" s="191" t="s">
        <v>18</v>
      </c>
      <c r="E60" s="192">
        <v>80111600</v>
      </c>
      <c r="F60" s="191" t="s">
        <v>90</v>
      </c>
      <c r="G60" s="193">
        <v>44927</v>
      </c>
      <c r="H60" s="193">
        <v>44941</v>
      </c>
      <c r="I60" s="191">
        <v>4</v>
      </c>
      <c r="J60" s="191" t="s">
        <v>20</v>
      </c>
      <c r="K60" s="197" t="s">
        <v>21</v>
      </c>
      <c r="L60" s="191" t="s">
        <v>27</v>
      </c>
      <c r="M60" s="188">
        <f>35000000-15000000</f>
        <v>20000000</v>
      </c>
      <c r="N60" s="192" t="s">
        <v>76</v>
      </c>
      <c r="O60" s="192" t="s">
        <v>77</v>
      </c>
      <c r="P60" s="192" t="s">
        <v>24</v>
      </c>
    </row>
    <row r="61" spans="1:16" s="196" customFormat="1" ht="75" x14ac:dyDescent="0.2">
      <c r="A61" s="2">
        <v>2023057</v>
      </c>
      <c r="B61" s="2">
        <v>7637</v>
      </c>
      <c r="C61" s="3" t="s">
        <v>74</v>
      </c>
      <c r="D61" s="191" t="s">
        <v>18</v>
      </c>
      <c r="E61" s="192">
        <v>80111600</v>
      </c>
      <c r="F61" s="191" t="s">
        <v>91</v>
      </c>
      <c r="G61" s="193">
        <v>44927</v>
      </c>
      <c r="H61" s="193">
        <v>44941</v>
      </c>
      <c r="I61" s="191">
        <v>10</v>
      </c>
      <c r="J61" s="191" t="s">
        <v>20</v>
      </c>
      <c r="K61" s="197" t="s">
        <v>21</v>
      </c>
      <c r="L61" s="191" t="s">
        <v>27</v>
      </c>
      <c r="M61" s="188">
        <f>47000000+3000000</f>
        <v>50000000</v>
      </c>
      <c r="N61" s="192" t="s">
        <v>76</v>
      </c>
      <c r="O61" s="192" t="s">
        <v>77</v>
      </c>
      <c r="P61" s="192" t="s">
        <v>24</v>
      </c>
    </row>
    <row r="62" spans="1:16" s="196" customFormat="1" ht="75" x14ac:dyDescent="0.2">
      <c r="A62" s="2">
        <v>2023058</v>
      </c>
      <c r="B62" s="2">
        <v>7637</v>
      </c>
      <c r="C62" s="3" t="s">
        <v>74</v>
      </c>
      <c r="D62" s="191" t="s">
        <v>18</v>
      </c>
      <c r="E62" s="192">
        <v>80111600</v>
      </c>
      <c r="F62" s="191" t="s">
        <v>92</v>
      </c>
      <c r="G62" s="193">
        <v>44927</v>
      </c>
      <c r="H62" s="193">
        <v>44941</v>
      </c>
      <c r="I62" s="191">
        <v>4</v>
      </c>
      <c r="J62" s="191" t="s">
        <v>20</v>
      </c>
      <c r="K62" s="197" t="s">
        <v>21</v>
      </c>
      <c r="L62" s="191" t="s">
        <v>27</v>
      </c>
      <c r="M62" s="188">
        <f>44200000+15800000-16000000-24000000</f>
        <v>20000000</v>
      </c>
      <c r="N62" s="192" t="s">
        <v>87</v>
      </c>
      <c r="O62" s="192" t="s">
        <v>77</v>
      </c>
      <c r="P62" s="192" t="s">
        <v>24</v>
      </c>
    </row>
    <row r="63" spans="1:16" s="196" customFormat="1" ht="75" x14ac:dyDescent="0.2">
      <c r="A63" s="2">
        <v>2023059</v>
      </c>
      <c r="B63" s="2">
        <v>7637</v>
      </c>
      <c r="C63" s="3" t="s">
        <v>74</v>
      </c>
      <c r="D63" s="191" t="s">
        <v>18</v>
      </c>
      <c r="E63" s="192">
        <v>80111600</v>
      </c>
      <c r="F63" s="191" t="s">
        <v>93</v>
      </c>
      <c r="G63" s="193">
        <v>44927</v>
      </c>
      <c r="H63" s="193">
        <v>44941</v>
      </c>
      <c r="I63" s="191">
        <v>4</v>
      </c>
      <c r="J63" s="191" t="s">
        <v>20</v>
      </c>
      <c r="K63" s="197" t="s">
        <v>21</v>
      </c>
      <c r="L63" s="191" t="s">
        <v>27</v>
      </c>
      <c r="M63" s="188">
        <f>25600000-12800000</f>
        <v>12800000</v>
      </c>
      <c r="N63" s="192" t="s">
        <v>76</v>
      </c>
      <c r="O63" s="192" t="s">
        <v>77</v>
      </c>
      <c r="P63" s="192" t="s">
        <v>24</v>
      </c>
    </row>
    <row r="64" spans="1:16" s="196" customFormat="1" ht="90" x14ac:dyDescent="0.2">
      <c r="A64" s="2">
        <v>2023060</v>
      </c>
      <c r="B64" s="2">
        <v>7637</v>
      </c>
      <c r="C64" s="3" t="s">
        <v>74</v>
      </c>
      <c r="D64" s="191" t="s">
        <v>18</v>
      </c>
      <c r="E64" s="192">
        <v>80111600</v>
      </c>
      <c r="F64" s="191" t="s">
        <v>94</v>
      </c>
      <c r="G64" s="193">
        <v>44927</v>
      </c>
      <c r="H64" s="193">
        <v>44941</v>
      </c>
      <c r="I64" s="191">
        <v>4</v>
      </c>
      <c r="J64" s="191" t="s">
        <v>20</v>
      </c>
      <c r="K64" s="197" t="s">
        <v>21</v>
      </c>
      <c r="L64" s="191" t="s">
        <v>27</v>
      </c>
      <c r="M64" s="188">
        <f>20400000+34000000-27200000</f>
        <v>27200000</v>
      </c>
      <c r="N64" s="192" t="s">
        <v>95</v>
      </c>
      <c r="O64" s="192" t="s">
        <v>77</v>
      </c>
      <c r="P64" s="192" t="s">
        <v>24</v>
      </c>
    </row>
    <row r="65" spans="1:16" s="196" customFormat="1" ht="75" x14ac:dyDescent="0.2">
      <c r="A65" s="2">
        <v>2023061</v>
      </c>
      <c r="B65" s="2">
        <v>7637</v>
      </c>
      <c r="C65" s="3" t="s">
        <v>74</v>
      </c>
      <c r="D65" s="191" t="s">
        <v>18</v>
      </c>
      <c r="E65" s="192" t="s">
        <v>96</v>
      </c>
      <c r="F65" s="191" t="s">
        <v>97</v>
      </c>
      <c r="G65" s="193">
        <v>44995</v>
      </c>
      <c r="H65" s="193">
        <v>45026</v>
      </c>
      <c r="I65" s="191">
        <v>6</v>
      </c>
      <c r="J65" s="191" t="s">
        <v>67</v>
      </c>
      <c r="K65" s="197" t="s">
        <v>21</v>
      </c>
      <c r="L65" s="191" t="s">
        <v>98</v>
      </c>
      <c r="M65" s="188">
        <f>500000000+21350000+132650000-79145137</f>
        <v>574854863</v>
      </c>
      <c r="N65" s="192" t="s">
        <v>76</v>
      </c>
      <c r="O65" s="192" t="s">
        <v>77</v>
      </c>
      <c r="P65" s="192" t="s">
        <v>24</v>
      </c>
    </row>
    <row r="66" spans="1:16" s="196" customFormat="1" ht="75" x14ac:dyDescent="0.2">
      <c r="A66" s="2">
        <v>2023062</v>
      </c>
      <c r="B66" s="2">
        <v>7637</v>
      </c>
      <c r="C66" s="3" t="s">
        <v>74</v>
      </c>
      <c r="D66" s="191" t="s">
        <v>18</v>
      </c>
      <c r="E66" s="192">
        <v>81112401</v>
      </c>
      <c r="F66" s="191" t="s">
        <v>99</v>
      </c>
      <c r="G66" s="193">
        <v>44979</v>
      </c>
      <c r="H66" s="193">
        <v>45033</v>
      </c>
      <c r="I66" s="191">
        <v>6</v>
      </c>
      <c r="J66" s="191" t="s">
        <v>67</v>
      </c>
      <c r="K66" s="197" t="s">
        <v>21</v>
      </c>
      <c r="L66" s="191" t="s">
        <v>98</v>
      </c>
      <c r="M66" s="188">
        <f>90500000+20800000+103992584-70000000-79688381-18887747-2980321</f>
        <v>43736135</v>
      </c>
      <c r="N66" s="192" t="s">
        <v>76</v>
      </c>
      <c r="O66" s="192" t="s">
        <v>77</v>
      </c>
      <c r="P66" s="192" t="s">
        <v>24</v>
      </c>
    </row>
    <row r="67" spans="1:16" s="196" customFormat="1" ht="75" x14ac:dyDescent="0.2">
      <c r="A67" s="2">
        <v>2023063</v>
      </c>
      <c r="B67" s="2">
        <v>7637</v>
      </c>
      <c r="C67" s="3" t="s">
        <v>74</v>
      </c>
      <c r="D67" s="191" t="s">
        <v>18</v>
      </c>
      <c r="E67" s="192" t="s">
        <v>100</v>
      </c>
      <c r="F67" s="191" t="s">
        <v>101</v>
      </c>
      <c r="G67" s="193">
        <v>45209</v>
      </c>
      <c r="H67" s="193">
        <v>45254</v>
      </c>
      <c r="I67" s="191">
        <v>6</v>
      </c>
      <c r="J67" s="191" t="s">
        <v>102</v>
      </c>
      <c r="K67" s="197" t="s">
        <v>21</v>
      </c>
      <c r="L67" s="191" t="s">
        <v>103</v>
      </c>
      <c r="M67" s="188">
        <f>130000000-35981462-3826236-70000000+70000000</f>
        <v>90192302</v>
      </c>
      <c r="N67" s="192" t="s">
        <v>76</v>
      </c>
      <c r="O67" s="192" t="s">
        <v>77</v>
      </c>
      <c r="P67" s="192" t="s">
        <v>24</v>
      </c>
    </row>
    <row r="68" spans="1:16" s="196" customFormat="1" ht="75" x14ac:dyDescent="0.2">
      <c r="A68" s="2">
        <v>2023064</v>
      </c>
      <c r="B68" s="2">
        <v>7637</v>
      </c>
      <c r="C68" s="3" t="s">
        <v>74</v>
      </c>
      <c r="D68" s="191" t="s">
        <v>18</v>
      </c>
      <c r="E68" s="192">
        <v>81112217</v>
      </c>
      <c r="F68" s="191" t="s">
        <v>104</v>
      </c>
      <c r="G68" s="193">
        <v>45153</v>
      </c>
      <c r="H68" s="193">
        <v>45160</v>
      </c>
      <c r="I68" s="191">
        <v>3</v>
      </c>
      <c r="J68" s="191" t="s">
        <v>67</v>
      </c>
      <c r="K68" s="197" t="s">
        <v>21</v>
      </c>
      <c r="L68" s="191" t="s">
        <v>103</v>
      </c>
      <c r="M68" s="188">
        <f>22387000+35981462</f>
        <v>58368462</v>
      </c>
      <c r="N68" s="192" t="s">
        <v>95</v>
      </c>
      <c r="O68" s="192" t="s">
        <v>77</v>
      </c>
      <c r="P68" s="192" t="s">
        <v>24</v>
      </c>
    </row>
    <row r="69" spans="1:16" s="196" customFormat="1" ht="75" x14ac:dyDescent="0.2">
      <c r="A69" s="2">
        <v>2023065</v>
      </c>
      <c r="B69" s="2">
        <v>7637</v>
      </c>
      <c r="C69" s="3" t="s">
        <v>74</v>
      </c>
      <c r="D69" s="191" t="s">
        <v>18</v>
      </c>
      <c r="E69" s="192" t="s">
        <v>105</v>
      </c>
      <c r="F69" s="191" t="s">
        <v>106</v>
      </c>
      <c r="G69" s="193">
        <v>45037</v>
      </c>
      <c r="H69" s="193">
        <v>45061</v>
      </c>
      <c r="I69" s="191">
        <v>3</v>
      </c>
      <c r="J69" s="191" t="s">
        <v>67</v>
      </c>
      <c r="K69" s="197" t="s">
        <v>21</v>
      </c>
      <c r="L69" s="191" t="s">
        <v>103</v>
      </c>
      <c r="M69" s="188">
        <f>150657000+13671304</f>
        <v>164328304</v>
      </c>
      <c r="N69" s="192" t="s">
        <v>76</v>
      </c>
      <c r="O69" s="192" t="s">
        <v>77</v>
      </c>
      <c r="P69" s="192" t="s">
        <v>24</v>
      </c>
    </row>
    <row r="70" spans="1:16" s="196" customFormat="1" ht="75" x14ac:dyDescent="0.2">
      <c r="A70" s="2">
        <v>2023066</v>
      </c>
      <c r="B70" s="2">
        <v>7637</v>
      </c>
      <c r="C70" s="3" t="s">
        <v>74</v>
      </c>
      <c r="D70" s="191" t="s">
        <v>18</v>
      </c>
      <c r="E70" s="192" t="s">
        <v>107</v>
      </c>
      <c r="F70" s="191" t="s">
        <v>108</v>
      </c>
      <c r="G70" s="193">
        <v>44939</v>
      </c>
      <c r="H70" s="193">
        <v>44956</v>
      </c>
      <c r="I70" s="191">
        <v>11</v>
      </c>
      <c r="J70" s="191" t="s">
        <v>109</v>
      </c>
      <c r="K70" s="197" t="s">
        <v>21</v>
      </c>
      <c r="L70" s="191" t="s">
        <v>103</v>
      </c>
      <c r="M70" s="188">
        <f>232500000-479750</f>
        <v>232020250</v>
      </c>
      <c r="N70" s="192" t="s">
        <v>95</v>
      </c>
      <c r="O70" s="192" t="s">
        <v>77</v>
      </c>
      <c r="P70" s="192" t="s">
        <v>24</v>
      </c>
    </row>
    <row r="71" spans="1:16" s="196" customFormat="1" ht="75" x14ac:dyDescent="0.2">
      <c r="A71" s="2">
        <v>2023067</v>
      </c>
      <c r="B71" s="2">
        <v>7637</v>
      </c>
      <c r="C71" s="3" t="s">
        <v>74</v>
      </c>
      <c r="D71" s="191" t="s">
        <v>18</v>
      </c>
      <c r="E71" s="192" t="s">
        <v>110</v>
      </c>
      <c r="F71" s="191" t="s">
        <v>111</v>
      </c>
      <c r="G71" s="193">
        <v>45002</v>
      </c>
      <c r="H71" s="193">
        <v>45036</v>
      </c>
      <c r="I71" s="191">
        <v>10</v>
      </c>
      <c r="J71" s="191" t="s">
        <v>109</v>
      </c>
      <c r="K71" s="197" t="s">
        <v>21</v>
      </c>
      <c r="L71" s="191" t="s">
        <v>112</v>
      </c>
      <c r="M71" s="188">
        <f>196000000-21350000-9650000-885910</f>
        <v>164114090</v>
      </c>
      <c r="N71" s="192" t="s">
        <v>76</v>
      </c>
      <c r="O71" s="192" t="s">
        <v>77</v>
      </c>
      <c r="P71" s="192" t="s">
        <v>24</v>
      </c>
    </row>
    <row r="72" spans="1:16" s="196" customFormat="1" ht="75" x14ac:dyDescent="0.2">
      <c r="A72" s="2">
        <v>2023068</v>
      </c>
      <c r="B72" s="2">
        <v>7637</v>
      </c>
      <c r="C72" s="3" t="s">
        <v>74</v>
      </c>
      <c r="D72" s="191" t="s">
        <v>18</v>
      </c>
      <c r="E72" s="192">
        <v>81112006</v>
      </c>
      <c r="F72" s="191" t="s">
        <v>731</v>
      </c>
      <c r="G72" s="193">
        <v>45149</v>
      </c>
      <c r="H72" s="193">
        <v>45177</v>
      </c>
      <c r="I72" s="191">
        <v>12</v>
      </c>
      <c r="J72" s="191" t="s">
        <v>67</v>
      </c>
      <c r="K72" s="197" t="s">
        <v>21</v>
      </c>
      <c r="L72" s="191" t="s">
        <v>103</v>
      </c>
      <c r="M72" s="188">
        <v>30000000</v>
      </c>
      <c r="N72" s="192" t="s">
        <v>87</v>
      </c>
      <c r="O72" s="192" t="s">
        <v>77</v>
      </c>
      <c r="P72" s="192" t="s">
        <v>24</v>
      </c>
    </row>
    <row r="73" spans="1:16" s="196" customFormat="1" ht="75" x14ac:dyDescent="0.2">
      <c r="A73" s="2">
        <v>2023069</v>
      </c>
      <c r="B73" s="2">
        <v>7637</v>
      </c>
      <c r="C73" s="3" t="s">
        <v>74</v>
      </c>
      <c r="D73" s="191" t="s">
        <v>18</v>
      </c>
      <c r="E73" s="192" t="s">
        <v>113</v>
      </c>
      <c r="F73" s="191" t="s">
        <v>114</v>
      </c>
      <c r="G73" s="193">
        <v>45149</v>
      </c>
      <c r="H73" s="193">
        <v>45156</v>
      </c>
      <c r="I73" s="191">
        <v>3</v>
      </c>
      <c r="J73" s="191" t="s">
        <v>102</v>
      </c>
      <c r="K73" s="197" t="s">
        <v>21</v>
      </c>
      <c r="L73" s="191" t="s">
        <v>103</v>
      </c>
      <c r="M73" s="188">
        <f>51923000+87823833</f>
        <v>139746833</v>
      </c>
      <c r="N73" s="192" t="s">
        <v>87</v>
      </c>
      <c r="O73" s="192" t="s">
        <v>77</v>
      </c>
      <c r="P73" s="192" t="s">
        <v>24</v>
      </c>
    </row>
    <row r="74" spans="1:16" s="196" customFormat="1" ht="75" x14ac:dyDescent="0.2">
      <c r="A74" s="2">
        <v>2023070</v>
      </c>
      <c r="B74" s="2">
        <v>7637</v>
      </c>
      <c r="C74" s="3" t="s">
        <v>74</v>
      </c>
      <c r="D74" s="191" t="s">
        <v>18</v>
      </c>
      <c r="E74" s="192" t="s">
        <v>115</v>
      </c>
      <c r="F74" s="191" t="s">
        <v>116</v>
      </c>
      <c r="G74" s="193">
        <v>44970</v>
      </c>
      <c r="H74" s="193">
        <v>45019</v>
      </c>
      <c r="I74" s="191">
        <v>8</v>
      </c>
      <c r="J74" s="191" t="s">
        <v>102</v>
      </c>
      <c r="K74" s="197" t="s">
        <v>21</v>
      </c>
      <c r="L74" s="191" t="s">
        <v>103</v>
      </c>
      <c r="M74" s="188">
        <f>80000000-1400000-11700000-1081878</f>
        <v>65818122</v>
      </c>
      <c r="N74" s="192" t="s">
        <v>76</v>
      </c>
      <c r="O74" s="192" t="s">
        <v>77</v>
      </c>
      <c r="P74" s="192" t="s">
        <v>24</v>
      </c>
    </row>
    <row r="75" spans="1:16" s="196" customFormat="1" ht="75" x14ac:dyDescent="0.2">
      <c r="A75" s="2">
        <v>2023071</v>
      </c>
      <c r="B75" s="2">
        <v>7637</v>
      </c>
      <c r="C75" s="3" t="s">
        <v>74</v>
      </c>
      <c r="D75" s="191" t="s">
        <v>18</v>
      </c>
      <c r="E75" s="192" t="s">
        <v>117</v>
      </c>
      <c r="F75" s="191" t="s">
        <v>118</v>
      </c>
      <c r="G75" s="193">
        <v>45069</v>
      </c>
      <c r="H75" s="193">
        <v>45092</v>
      </c>
      <c r="I75" s="191">
        <v>6</v>
      </c>
      <c r="J75" s="191" t="s">
        <v>119</v>
      </c>
      <c r="K75" s="197" t="s">
        <v>21</v>
      </c>
      <c r="L75" s="191" t="s">
        <v>98</v>
      </c>
      <c r="M75" s="188">
        <f>8500000-6104500</f>
        <v>2395500</v>
      </c>
      <c r="N75" s="192" t="s">
        <v>95</v>
      </c>
      <c r="O75" s="192" t="s">
        <v>77</v>
      </c>
      <c r="P75" s="192" t="s">
        <v>24</v>
      </c>
    </row>
    <row r="76" spans="1:16" s="196" customFormat="1" ht="75" x14ac:dyDescent="0.2">
      <c r="A76" s="2">
        <v>2023072</v>
      </c>
      <c r="B76" s="2">
        <v>7637</v>
      </c>
      <c r="C76" s="3" t="s">
        <v>74</v>
      </c>
      <c r="D76" s="191" t="s">
        <v>18</v>
      </c>
      <c r="E76" s="192" t="s">
        <v>120</v>
      </c>
      <c r="F76" s="191" t="s">
        <v>121</v>
      </c>
      <c r="G76" s="193">
        <v>44994</v>
      </c>
      <c r="H76" s="193">
        <v>45009</v>
      </c>
      <c r="I76" s="191">
        <v>11</v>
      </c>
      <c r="J76" s="191" t="s">
        <v>20</v>
      </c>
      <c r="K76" s="197" t="s">
        <v>21</v>
      </c>
      <c r="L76" s="191" t="s">
        <v>98</v>
      </c>
      <c r="M76" s="188">
        <f>5280000-86840</f>
        <v>5193160</v>
      </c>
      <c r="N76" s="192" t="s">
        <v>95</v>
      </c>
      <c r="O76" s="192" t="s">
        <v>77</v>
      </c>
      <c r="P76" s="192" t="s">
        <v>24</v>
      </c>
    </row>
    <row r="77" spans="1:16" s="196" customFormat="1" ht="75" x14ac:dyDescent="0.2">
      <c r="A77" s="2">
        <v>2023073</v>
      </c>
      <c r="B77" s="2">
        <v>7637</v>
      </c>
      <c r="C77" s="3" t="s">
        <v>74</v>
      </c>
      <c r="D77" s="191" t="s">
        <v>18</v>
      </c>
      <c r="E77" s="192" t="s">
        <v>122</v>
      </c>
      <c r="F77" s="191" t="s">
        <v>123</v>
      </c>
      <c r="G77" s="193">
        <v>44999</v>
      </c>
      <c r="H77" s="193">
        <v>45138</v>
      </c>
      <c r="I77" s="191">
        <v>12</v>
      </c>
      <c r="J77" s="191" t="s">
        <v>109</v>
      </c>
      <c r="K77" s="197" t="s">
        <v>21</v>
      </c>
      <c r="L77" s="191" t="s">
        <v>103</v>
      </c>
      <c r="M77" s="188">
        <v>150000000</v>
      </c>
      <c r="N77" s="192" t="s">
        <v>76</v>
      </c>
      <c r="O77" s="192" t="s">
        <v>77</v>
      </c>
      <c r="P77" s="192" t="s">
        <v>24</v>
      </c>
    </row>
    <row r="78" spans="1:16" s="196" customFormat="1" ht="75" x14ac:dyDescent="0.2">
      <c r="A78" s="2">
        <v>2023074</v>
      </c>
      <c r="B78" s="2">
        <v>7637</v>
      </c>
      <c r="C78" s="3" t="s">
        <v>74</v>
      </c>
      <c r="D78" s="191" t="s">
        <v>18</v>
      </c>
      <c r="E78" s="192">
        <v>43233205</v>
      </c>
      <c r="F78" s="191" t="s">
        <v>124</v>
      </c>
      <c r="G78" s="193">
        <v>44995</v>
      </c>
      <c r="H78" s="193">
        <v>45041</v>
      </c>
      <c r="I78" s="191">
        <v>3</v>
      </c>
      <c r="J78" s="191" t="s">
        <v>102</v>
      </c>
      <c r="K78" s="197" t="s">
        <v>21</v>
      </c>
      <c r="L78" s="191" t="s">
        <v>98</v>
      </c>
      <c r="M78" s="188">
        <f>40000000+9650000-4495493</f>
        <v>45154507</v>
      </c>
      <c r="N78" s="192" t="s">
        <v>76</v>
      </c>
      <c r="O78" s="192" t="s">
        <v>77</v>
      </c>
      <c r="P78" s="192" t="s">
        <v>24</v>
      </c>
    </row>
    <row r="79" spans="1:16" s="196" customFormat="1" ht="75" x14ac:dyDescent="0.2">
      <c r="A79" s="2">
        <v>2023076</v>
      </c>
      <c r="B79" s="2">
        <v>7637</v>
      </c>
      <c r="C79" s="3" t="s">
        <v>74</v>
      </c>
      <c r="D79" s="191" t="s">
        <v>18</v>
      </c>
      <c r="E79" s="192">
        <v>43233200</v>
      </c>
      <c r="F79" s="191" t="s">
        <v>125</v>
      </c>
      <c r="G79" s="193">
        <v>45204</v>
      </c>
      <c r="H79" s="193">
        <v>45245</v>
      </c>
      <c r="I79" s="191">
        <v>12</v>
      </c>
      <c r="J79" s="191" t="s">
        <v>102</v>
      </c>
      <c r="K79" s="197" t="s">
        <v>21</v>
      </c>
      <c r="L79" s="191" t="s">
        <v>98</v>
      </c>
      <c r="M79" s="188">
        <f>132000000-103992584+6200000-30000000+79688381-37674007</f>
        <v>46221790</v>
      </c>
      <c r="N79" s="192" t="s">
        <v>76</v>
      </c>
      <c r="O79" s="192" t="s">
        <v>77</v>
      </c>
      <c r="P79" s="192" t="s">
        <v>24</v>
      </c>
    </row>
    <row r="80" spans="1:16" s="196" customFormat="1" ht="60" x14ac:dyDescent="0.2">
      <c r="A80" s="2">
        <v>2023077</v>
      </c>
      <c r="B80" s="2">
        <v>7655</v>
      </c>
      <c r="C80" s="3" t="s">
        <v>25</v>
      </c>
      <c r="D80" s="191" t="s">
        <v>126</v>
      </c>
      <c r="E80" s="192">
        <v>80111600</v>
      </c>
      <c r="F80" s="191" t="s">
        <v>127</v>
      </c>
      <c r="G80" s="193">
        <v>44927</v>
      </c>
      <c r="H80" s="193">
        <v>44937</v>
      </c>
      <c r="I80" s="191">
        <v>11</v>
      </c>
      <c r="J80" s="191" t="s">
        <v>20</v>
      </c>
      <c r="K80" s="197" t="s">
        <v>21</v>
      </c>
      <c r="L80" s="191" t="s">
        <v>27</v>
      </c>
      <c r="M80" s="230">
        <f>36432000-4968000-18216000</f>
        <v>13248000</v>
      </c>
      <c r="N80" s="192" t="s">
        <v>28</v>
      </c>
      <c r="O80" s="192" t="s">
        <v>29</v>
      </c>
      <c r="P80" s="192" t="s">
        <v>24</v>
      </c>
    </row>
    <row r="81" spans="1:16" s="196" customFormat="1" ht="60" x14ac:dyDescent="0.2">
      <c r="A81" s="2">
        <v>2023078</v>
      </c>
      <c r="B81" s="2">
        <v>7655</v>
      </c>
      <c r="C81" s="3" t="s">
        <v>25</v>
      </c>
      <c r="D81" s="191" t="s">
        <v>126</v>
      </c>
      <c r="E81" s="192">
        <v>80111600</v>
      </c>
      <c r="F81" s="191" t="s">
        <v>128</v>
      </c>
      <c r="G81" s="193">
        <v>44946</v>
      </c>
      <c r="H81" s="193">
        <v>44956</v>
      </c>
      <c r="I81" s="191">
        <v>10</v>
      </c>
      <c r="J81" s="191" t="s">
        <v>20</v>
      </c>
      <c r="K81" s="197" t="s">
        <v>21</v>
      </c>
      <c r="L81" s="191" t="s">
        <v>27</v>
      </c>
      <c r="M81" s="230">
        <f>47817000-4347000-4347000-21735000</f>
        <v>17388000</v>
      </c>
      <c r="N81" s="192" t="s">
        <v>28</v>
      </c>
      <c r="O81" s="192" t="s">
        <v>29</v>
      </c>
      <c r="P81" s="192" t="s">
        <v>24</v>
      </c>
    </row>
    <row r="82" spans="1:16" s="196" customFormat="1" ht="75" x14ac:dyDescent="0.2">
      <c r="A82" s="2">
        <v>2023079</v>
      </c>
      <c r="B82" s="2">
        <v>7655</v>
      </c>
      <c r="C82" s="3" t="s">
        <v>25</v>
      </c>
      <c r="D82" s="191" t="s">
        <v>126</v>
      </c>
      <c r="E82" s="192">
        <v>80111600</v>
      </c>
      <c r="F82" s="191" t="s">
        <v>129</v>
      </c>
      <c r="G82" s="193">
        <v>45005</v>
      </c>
      <c r="H82" s="193">
        <v>45015</v>
      </c>
      <c r="I82" s="191">
        <v>9</v>
      </c>
      <c r="J82" s="191" t="s">
        <v>20</v>
      </c>
      <c r="K82" s="197" t="s">
        <v>21</v>
      </c>
      <c r="L82" s="191" t="s">
        <v>27</v>
      </c>
      <c r="M82" s="230">
        <f>51000000-5100000-7650000-22950000</f>
        <v>15300000</v>
      </c>
      <c r="N82" s="192" t="s">
        <v>28</v>
      </c>
      <c r="O82" s="192" t="s">
        <v>29</v>
      </c>
      <c r="P82" s="192" t="s">
        <v>24</v>
      </c>
    </row>
    <row r="83" spans="1:16" s="196" customFormat="1" ht="60" x14ac:dyDescent="0.2">
      <c r="A83" s="2">
        <v>2023082</v>
      </c>
      <c r="B83" s="2">
        <v>7655</v>
      </c>
      <c r="C83" s="3" t="s">
        <v>25</v>
      </c>
      <c r="D83" s="191" t="s">
        <v>126</v>
      </c>
      <c r="E83" s="192">
        <v>80111600</v>
      </c>
      <c r="F83" s="191" t="s">
        <v>130</v>
      </c>
      <c r="G83" s="193">
        <v>44927</v>
      </c>
      <c r="H83" s="193">
        <v>44949</v>
      </c>
      <c r="I83" s="191">
        <v>7</v>
      </c>
      <c r="J83" s="191" t="s">
        <v>20</v>
      </c>
      <c r="K83" s="197" t="s">
        <v>21</v>
      </c>
      <c r="L83" s="191" t="s">
        <v>27</v>
      </c>
      <c r="M83" s="230">
        <f>19925000+4968000+6624000+4347000+1000-19925000</f>
        <v>15940000</v>
      </c>
      <c r="N83" s="192" t="s">
        <v>28</v>
      </c>
      <c r="O83" s="192" t="s">
        <v>29</v>
      </c>
      <c r="P83" s="192" t="s">
        <v>24</v>
      </c>
    </row>
    <row r="84" spans="1:16" s="196" customFormat="1" ht="60" x14ac:dyDescent="0.2">
      <c r="A84" s="2">
        <v>2023085</v>
      </c>
      <c r="B84" s="2">
        <v>7655</v>
      </c>
      <c r="C84" s="3" t="s">
        <v>25</v>
      </c>
      <c r="D84" s="191" t="s">
        <v>126</v>
      </c>
      <c r="E84" s="192">
        <v>80111600</v>
      </c>
      <c r="F84" s="191" t="s">
        <v>131</v>
      </c>
      <c r="G84" s="193">
        <v>44927</v>
      </c>
      <c r="H84" s="193">
        <v>44949</v>
      </c>
      <c r="I84" s="191">
        <v>10</v>
      </c>
      <c r="J84" s="191" t="s">
        <v>20</v>
      </c>
      <c r="K84" s="197" t="s">
        <v>21</v>
      </c>
      <c r="L84" s="191" t="s">
        <v>27</v>
      </c>
      <c r="M84" s="230">
        <v>51000000</v>
      </c>
      <c r="N84" s="192" t="s">
        <v>28</v>
      </c>
      <c r="O84" s="192" t="s">
        <v>29</v>
      </c>
      <c r="P84" s="192" t="s">
        <v>24</v>
      </c>
    </row>
    <row r="85" spans="1:16" s="196" customFormat="1" ht="60" x14ac:dyDescent="0.2">
      <c r="A85" s="2">
        <v>2023086</v>
      </c>
      <c r="B85" s="2">
        <v>7655</v>
      </c>
      <c r="C85" s="3" t="s">
        <v>25</v>
      </c>
      <c r="D85" s="191" t="s">
        <v>126</v>
      </c>
      <c r="E85" s="192">
        <v>80111600</v>
      </c>
      <c r="F85" s="191" t="s">
        <v>132</v>
      </c>
      <c r="G85" s="193">
        <v>44927</v>
      </c>
      <c r="H85" s="193">
        <v>44949</v>
      </c>
      <c r="I85" s="191">
        <v>11</v>
      </c>
      <c r="J85" s="191" t="s">
        <v>20</v>
      </c>
      <c r="K85" s="197" t="s">
        <v>21</v>
      </c>
      <c r="L85" s="191" t="s">
        <v>27</v>
      </c>
      <c r="M85" s="230">
        <f>36432000-6624000-16560000</f>
        <v>13248000</v>
      </c>
      <c r="N85" s="192" t="s">
        <v>28</v>
      </c>
      <c r="O85" s="192" t="s">
        <v>29</v>
      </c>
      <c r="P85" s="192" t="s">
        <v>24</v>
      </c>
    </row>
    <row r="86" spans="1:16" s="196" customFormat="1" ht="60" x14ac:dyDescent="0.2">
      <c r="A86" s="2">
        <v>2023087</v>
      </c>
      <c r="B86" s="2">
        <v>7655</v>
      </c>
      <c r="C86" s="3" t="s">
        <v>25</v>
      </c>
      <c r="D86" s="191" t="s">
        <v>126</v>
      </c>
      <c r="E86" s="192">
        <v>80111600</v>
      </c>
      <c r="F86" s="191" t="s">
        <v>133</v>
      </c>
      <c r="G86" s="193">
        <v>44927</v>
      </c>
      <c r="H86" s="193">
        <v>44949</v>
      </c>
      <c r="I86" s="191">
        <v>10</v>
      </c>
      <c r="J86" s="191" t="s">
        <v>20</v>
      </c>
      <c r="K86" s="197" t="s">
        <v>21</v>
      </c>
      <c r="L86" s="191" t="s">
        <v>27</v>
      </c>
      <c r="M86" s="230">
        <f>56930000-5693000-1720500-5700000-1119000-31311500</f>
        <v>11386000</v>
      </c>
      <c r="N86" s="192" t="s">
        <v>28</v>
      </c>
      <c r="O86" s="192" t="s">
        <v>29</v>
      </c>
      <c r="P86" s="192" t="s">
        <v>24</v>
      </c>
    </row>
    <row r="87" spans="1:16" s="196" customFormat="1" ht="60" x14ac:dyDescent="0.2">
      <c r="A87" s="2">
        <v>2023088</v>
      </c>
      <c r="B87" s="2">
        <v>7655</v>
      </c>
      <c r="C87" s="3" t="s">
        <v>25</v>
      </c>
      <c r="D87" s="191" t="s">
        <v>126</v>
      </c>
      <c r="E87" s="192">
        <v>80111600</v>
      </c>
      <c r="F87" s="191" t="s">
        <v>134</v>
      </c>
      <c r="G87" s="193">
        <v>44927</v>
      </c>
      <c r="H87" s="193">
        <v>44949</v>
      </c>
      <c r="I87" s="191">
        <v>10</v>
      </c>
      <c r="J87" s="191" t="s">
        <v>20</v>
      </c>
      <c r="K87" s="197" t="s">
        <v>21</v>
      </c>
      <c r="L87" s="191" t="s">
        <v>27</v>
      </c>
      <c r="M87" s="230">
        <f>28460000-28460000</f>
        <v>0</v>
      </c>
      <c r="N87" s="192" t="s">
        <v>28</v>
      </c>
      <c r="O87" s="192" t="s">
        <v>29</v>
      </c>
      <c r="P87" s="192" t="s">
        <v>24</v>
      </c>
    </row>
    <row r="88" spans="1:16" s="196" customFormat="1" ht="105" x14ac:dyDescent="0.2">
      <c r="A88" s="2">
        <v>2023089</v>
      </c>
      <c r="B88" s="2">
        <v>7655</v>
      </c>
      <c r="C88" s="3" t="s">
        <v>25</v>
      </c>
      <c r="D88" s="191" t="s">
        <v>126</v>
      </c>
      <c r="E88" s="192">
        <v>80111600</v>
      </c>
      <c r="F88" s="191" t="s">
        <v>135</v>
      </c>
      <c r="G88" s="193">
        <v>44927</v>
      </c>
      <c r="H88" s="193">
        <v>44937</v>
      </c>
      <c r="I88" s="191">
        <v>10</v>
      </c>
      <c r="J88" s="191" t="s">
        <v>20</v>
      </c>
      <c r="K88" s="197" t="s">
        <v>21</v>
      </c>
      <c r="L88" s="191" t="s">
        <v>27</v>
      </c>
      <c r="M88" s="230">
        <f>43470000-4347000-21735000</f>
        <v>17388000</v>
      </c>
      <c r="N88" s="192" t="s">
        <v>28</v>
      </c>
      <c r="O88" s="192" t="s">
        <v>29</v>
      </c>
      <c r="P88" s="192" t="s">
        <v>24</v>
      </c>
    </row>
    <row r="89" spans="1:16" s="196" customFormat="1" ht="105" x14ac:dyDescent="0.2">
      <c r="A89" s="2">
        <v>2023090</v>
      </c>
      <c r="B89" s="2">
        <v>7655</v>
      </c>
      <c r="C89" s="3" t="s">
        <v>25</v>
      </c>
      <c r="D89" s="191" t="s">
        <v>126</v>
      </c>
      <c r="E89" s="192">
        <v>80111600</v>
      </c>
      <c r="F89" s="191" t="s">
        <v>136</v>
      </c>
      <c r="G89" s="193">
        <v>45005</v>
      </c>
      <c r="H89" s="193">
        <v>45015</v>
      </c>
      <c r="I89" s="191">
        <v>9</v>
      </c>
      <c r="J89" s="191" t="s">
        <v>20</v>
      </c>
      <c r="K89" s="197" t="s">
        <v>21</v>
      </c>
      <c r="L89" s="191" t="s">
        <v>27</v>
      </c>
      <c r="M89" s="230">
        <f>33500000-3350000</f>
        <v>30150000</v>
      </c>
      <c r="N89" s="192" t="s">
        <v>28</v>
      </c>
      <c r="O89" s="192" t="s">
        <v>29</v>
      </c>
      <c r="P89" s="192" t="s">
        <v>24</v>
      </c>
    </row>
    <row r="90" spans="1:16" s="196" customFormat="1" ht="60" x14ac:dyDescent="0.2">
      <c r="A90" s="2">
        <v>2023091</v>
      </c>
      <c r="B90" s="2">
        <v>7655</v>
      </c>
      <c r="C90" s="3" t="s">
        <v>25</v>
      </c>
      <c r="D90" s="191" t="s">
        <v>126</v>
      </c>
      <c r="E90" s="192">
        <v>80111600</v>
      </c>
      <c r="F90" s="191" t="s">
        <v>137</v>
      </c>
      <c r="G90" s="193">
        <v>44927</v>
      </c>
      <c r="H90" s="193">
        <v>44937</v>
      </c>
      <c r="I90" s="191">
        <v>9</v>
      </c>
      <c r="J90" s="191" t="s">
        <v>20</v>
      </c>
      <c r="K90" s="197" t="s">
        <v>21</v>
      </c>
      <c r="L90" s="191" t="s">
        <v>27</v>
      </c>
      <c r="M90" s="230">
        <f>31950000+2250000</f>
        <v>34200000</v>
      </c>
      <c r="N90" s="192" t="s">
        <v>28</v>
      </c>
      <c r="O90" s="192" t="s">
        <v>29</v>
      </c>
      <c r="P90" s="192" t="s">
        <v>24</v>
      </c>
    </row>
    <row r="91" spans="1:16" s="196" customFormat="1" ht="60" x14ac:dyDescent="0.2">
      <c r="A91" s="2">
        <v>2023092</v>
      </c>
      <c r="B91" s="2">
        <v>7655</v>
      </c>
      <c r="C91" s="3" t="s">
        <v>25</v>
      </c>
      <c r="D91" s="191" t="s">
        <v>126</v>
      </c>
      <c r="E91" s="192">
        <v>80111600</v>
      </c>
      <c r="F91" s="191" t="s">
        <v>138</v>
      </c>
      <c r="G91" s="193">
        <v>44927</v>
      </c>
      <c r="H91" s="193">
        <v>44937</v>
      </c>
      <c r="I91" s="191">
        <v>10</v>
      </c>
      <c r="J91" s="191" t="s">
        <v>20</v>
      </c>
      <c r="K91" s="197" t="s">
        <v>21</v>
      </c>
      <c r="L91" s="191" t="s">
        <v>27</v>
      </c>
      <c r="M91" s="230">
        <f>60000000-46675000-2469500-1855500-3200000</f>
        <v>5800000</v>
      </c>
      <c r="N91" s="192" t="s">
        <v>28</v>
      </c>
      <c r="O91" s="192" t="s">
        <v>29</v>
      </c>
      <c r="P91" s="192" t="s">
        <v>24</v>
      </c>
    </row>
    <row r="92" spans="1:16" s="196" customFormat="1" ht="60" x14ac:dyDescent="0.2">
      <c r="A92" s="2">
        <v>2023093</v>
      </c>
      <c r="B92" s="2">
        <v>7655</v>
      </c>
      <c r="C92" s="3" t="s">
        <v>25</v>
      </c>
      <c r="D92" s="191" t="s">
        <v>126</v>
      </c>
      <c r="E92" s="192">
        <v>80111600</v>
      </c>
      <c r="F92" s="191" t="s">
        <v>139</v>
      </c>
      <c r="G92" s="193">
        <v>44977</v>
      </c>
      <c r="H92" s="193">
        <v>44985</v>
      </c>
      <c r="I92" s="191">
        <v>10</v>
      </c>
      <c r="J92" s="191" t="s">
        <v>20</v>
      </c>
      <c r="K92" s="197" t="s">
        <v>21</v>
      </c>
      <c r="L92" s="191" t="s">
        <v>27</v>
      </c>
      <c r="M92" s="230">
        <f>39123000-11623000-4125000-12375000</f>
        <v>11000000</v>
      </c>
      <c r="N92" s="192" t="s">
        <v>28</v>
      </c>
      <c r="O92" s="192" t="s">
        <v>29</v>
      </c>
      <c r="P92" s="192" t="s">
        <v>24</v>
      </c>
    </row>
    <row r="93" spans="1:16" s="196" customFormat="1" ht="60" x14ac:dyDescent="0.2">
      <c r="A93" s="2">
        <v>2023094</v>
      </c>
      <c r="B93" s="2">
        <v>7655</v>
      </c>
      <c r="C93" s="3" t="s">
        <v>25</v>
      </c>
      <c r="D93" s="191" t="s">
        <v>126</v>
      </c>
      <c r="E93" s="192">
        <v>80111600</v>
      </c>
      <c r="F93" s="191" t="s">
        <v>140</v>
      </c>
      <c r="G93" s="193">
        <v>45005</v>
      </c>
      <c r="H93" s="193">
        <v>45015</v>
      </c>
      <c r="I93" s="191">
        <v>8</v>
      </c>
      <c r="J93" s="191" t="s">
        <v>20</v>
      </c>
      <c r="K93" s="197" t="s">
        <v>21</v>
      </c>
      <c r="L93" s="191" t="s">
        <v>27</v>
      </c>
      <c r="M93" s="230">
        <f>31050000-135000-115000</f>
        <v>30800000</v>
      </c>
      <c r="N93" s="192" t="s">
        <v>28</v>
      </c>
      <c r="O93" s="192" t="s">
        <v>29</v>
      </c>
      <c r="P93" s="192" t="s">
        <v>24</v>
      </c>
    </row>
    <row r="94" spans="1:16" s="196" customFormat="1" ht="60" x14ac:dyDescent="0.2">
      <c r="A94" s="2">
        <v>2023095</v>
      </c>
      <c r="B94" s="2">
        <v>7655</v>
      </c>
      <c r="C94" s="3" t="s">
        <v>25</v>
      </c>
      <c r="D94" s="191" t="s">
        <v>126</v>
      </c>
      <c r="E94" s="192">
        <v>80111600</v>
      </c>
      <c r="F94" s="191" t="s">
        <v>141</v>
      </c>
      <c r="G94" s="193">
        <v>45097</v>
      </c>
      <c r="H94" s="193">
        <v>45107</v>
      </c>
      <c r="I94" s="191">
        <v>6</v>
      </c>
      <c r="J94" s="191" t="s">
        <v>20</v>
      </c>
      <c r="K94" s="197" t="s">
        <v>21</v>
      </c>
      <c r="L94" s="191" t="s">
        <v>27</v>
      </c>
      <c r="M94" s="230">
        <f>13511000+11623000+115000+3350000-23991200+1855500-2250000-2173500+5158080-6862000</f>
        <v>335880</v>
      </c>
      <c r="N94" s="192" t="s">
        <v>28</v>
      </c>
      <c r="O94" s="192" t="s">
        <v>29</v>
      </c>
      <c r="P94" s="192" t="s">
        <v>24</v>
      </c>
    </row>
    <row r="95" spans="1:16" s="196" customFormat="1" ht="60" x14ac:dyDescent="0.2">
      <c r="A95" s="2">
        <v>2023096</v>
      </c>
      <c r="B95" s="2">
        <v>7655</v>
      </c>
      <c r="C95" s="3" t="s">
        <v>25</v>
      </c>
      <c r="D95" s="191" t="s">
        <v>126</v>
      </c>
      <c r="E95" s="192">
        <v>80111600</v>
      </c>
      <c r="F95" s="191" t="s">
        <v>138</v>
      </c>
      <c r="G95" s="193">
        <v>44927</v>
      </c>
      <c r="H95" s="193">
        <v>44949</v>
      </c>
      <c r="I95" s="191">
        <v>8</v>
      </c>
      <c r="J95" s="191" t="s">
        <v>20</v>
      </c>
      <c r="K95" s="197" t="s">
        <v>21</v>
      </c>
      <c r="L95" s="191" t="s">
        <v>27</v>
      </c>
      <c r="M95" s="230">
        <f>41400000-20700000</f>
        <v>20700000</v>
      </c>
      <c r="N95" s="192" t="s">
        <v>28</v>
      </c>
      <c r="O95" s="192" t="s">
        <v>29</v>
      </c>
      <c r="P95" s="192" t="s">
        <v>24</v>
      </c>
    </row>
    <row r="96" spans="1:16" s="196" customFormat="1" ht="60" x14ac:dyDescent="0.2">
      <c r="A96" s="2">
        <v>2023097</v>
      </c>
      <c r="B96" s="2">
        <v>7655</v>
      </c>
      <c r="C96" s="3" t="s">
        <v>25</v>
      </c>
      <c r="D96" s="191" t="s">
        <v>126</v>
      </c>
      <c r="E96" s="192">
        <v>80111600</v>
      </c>
      <c r="F96" s="191" t="s">
        <v>142</v>
      </c>
      <c r="G96" s="193">
        <v>44941</v>
      </c>
      <c r="H96" s="193">
        <v>44963</v>
      </c>
      <c r="I96" s="191">
        <v>10</v>
      </c>
      <c r="J96" s="191" t="s">
        <v>20</v>
      </c>
      <c r="K96" s="197" t="s">
        <v>21</v>
      </c>
      <c r="L96" s="191" t="s">
        <v>27</v>
      </c>
      <c r="M96" s="230">
        <f>33500000-1000-4494000-6205000</f>
        <v>22800000</v>
      </c>
      <c r="N96" s="192" t="s">
        <v>28</v>
      </c>
      <c r="O96" s="192" t="s">
        <v>29</v>
      </c>
      <c r="P96" s="192" t="s">
        <v>24</v>
      </c>
    </row>
    <row r="97" spans="1:16" s="196" customFormat="1" ht="75" x14ac:dyDescent="0.2">
      <c r="A97" s="2">
        <v>2023098</v>
      </c>
      <c r="B97" s="2">
        <v>7658</v>
      </c>
      <c r="C97" s="3" t="s">
        <v>143</v>
      </c>
      <c r="D97" s="191" t="s">
        <v>126</v>
      </c>
      <c r="E97" s="192">
        <v>80111600</v>
      </c>
      <c r="F97" s="191" t="s">
        <v>144</v>
      </c>
      <c r="G97" s="193">
        <v>44946</v>
      </c>
      <c r="H97" s="193">
        <v>44956</v>
      </c>
      <c r="I97" s="191">
        <v>10</v>
      </c>
      <c r="J97" s="191" t="s">
        <v>20</v>
      </c>
      <c r="K97" s="197" t="s">
        <v>21</v>
      </c>
      <c r="L97" s="191" t="s">
        <v>27</v>
      </c>
      <c r="M97" s="188">
        <f>56925000-5175000-7762500-23287500</f>
        <v>20700000</v>
      </c>
      <c r="N97" s="192" t="s">
        <v>145</v>
      </c>
      <c r="O97" s="192" t="s">
        <v>146</v>
      </c>
      <c r="P97" s="192" t="s">
        <v>24</v>
      </c>
    </row>
    <row r="98" spans="1:16" s="196" customFormat="1" ht="75" x14ac:dyDescent="0.2">
      <c r="A98" s="2">
        <v>2023100</v>
      </c>
      <c r="B98" s="2">
        <v>7658</v>
      </c>
      <c r="C98" s="3" t="s">
        <v>143</v>
      </c>
      <c r="D98" s="191" t="s">
        <v>126</v>
      </c>
      <c r="E98" s="192">
        <v>80111600</v>
      </c>
      <c r="F98" s="191" t="s">
        <v>138</v>
      </c>
      <c r="G98" s="193">
        <v>44946</v>
      </c>
      <c r="H98" s="193">
        <v>44956</v>
      </c>
      <c r="I98" s="191">
        <v>9</v>
      </c>
      <c r="J98" s="191" t="s">
        <v>20</v>
      </c>
      <c r="K98" s="197" t="s">
        <v>21</v>
      </c>
      <c r="L98" s="191" t="s">
        <v>27</v>
      </c>
      <c r="M98" s="188">
        <f>51750000-5175000</f>
        <v>46575000</v>
      </c>
      <c r="N98" s="192" t="s">
        <v>145</v>
      </c>
      <c r="O98" s="192" t="s">
        <v>146</v>
      </c>
      <c r="P98" s="192" t="s">
        <v>24</v>
      </c>
    </row>
    <row r="99" spans="1:16" s="196" customFormat="1" ht="75" x14ac:dyDescent="0.2">
      <c r="A99" s="2">
        <v>2023101</v>
      </c>
      <c r="B99" s="2">
        <v>7658</v>
      </c>
      <c r="C99" s="3" t="s">
        <v>143</v>
      </c>
      <c r="D99" s="191" t="s">
        <v>126</v>
      </c>
      <c r="E99" s="192">
        <v>80111600</v>
      </c>
      <c r="F99" s="191" t="s">
        <v>147</v>
      </c>
      <c r="G99" s="193">
        <v>44946</v>
      </c>
      <c r="H99" s="193">
        <v>44956</v>
      </c>
      <c r="I99" s="191">
        <v>10</v>
      </c>
      <c r="J99" s="191" t="s">
        <v>20</v>
      </c>
      <c r="K99" s="197" t="s">
        <v>21</v>
      </c>
      <c r="L99" s="191" t="s">
        <v>27</v>
      </c>
      <c r="M99" s="188">
        <f>80036000-17388000-6520500-3638000-20700000-24513500</f>
        <v>7276000</v>
      </c>
      <c r="N99" s="192" t="s">
        <v>145</v>
      </c>
      <c r="O99" s="192" t="s">
        <v>146</v>
      </c>
      <c r="P99" s="192" t="s">
        <v>24</v>
      </c>
    </row>
    <row r="100" spans="1:16" s="196" customFormat="1" ht="75" x14ac:dyDescent="0.2">
      <c r="A100" s="2">
        <v>2023103</v>
      </c>
      <c r="B100" s="2">
        <v>7658</v>
      </c>
      <c r="C100" s="3" t="s">
        <v>143</v>
      </c>
      <c r="D100" s="191" t="s">
        <v>126</v>
      </c>
      <c r="E100" s="192">
        <v>80111600</v>
      </c>
      <c r="F100" s="191" t="s">
        <v>148</v>
      </c>
      <c r="G100" s="193">
        <v>44927</v>
      </c>
      <c r="H100" s="193">
        <v>44949</v>
      </c>
      <c r="I100" s="191">
        <v>10</v>
      </c>
      <c r="J100" s="191" t="s">
        <v>20</v>
      </c>
      <c r="K100" s="197" t="s">
        <v>21</v>
      </c>
      <c r="L100" s="191" t="s">
        <v>27</v>
      </c>
      <c r="M100" s="188">
        <f>24500000-3675000-11025000</f>
        <v>9800000</v>
      </c>
      <c r="N100" s="192" t="s">
        <v>145</v>
      </c>
      <c r="O100" s="192" t="s">
        <v>146</v>
      </c>
      <c r="P100" s="192" t="s">
        <v>24</v>
      </c>
    </row>
    <row r="101" spans="1:16" s="196" customFormat="1" ht="75" x14ac:dyDescent="0.2">
      <c r="A101" s="2">
        <v>2023105</v>
      </c>
      <c r="B101" s="2">
        <v>7658</v>
      </c>
      <c r="C101" s="3" t="s">
        <v>143</v>
      </c>
      <c r="D101" s="191" t="s">
        <v>126</v>
      </c>
      <c r="E101" s="192">
        <v>80111600</v>
      </c>
      <c r="F101" s="191" t="s">
        <v>149</v>
      </c>
      <c r="G101" s="193">
        <v>44927</v>
      </c>
      <c r="H101" s="193">
        <v>44949</v>
      </c>
      <c r="I101" s="191">
        <v>10</v>
      </c>
      <c r="J101" s="191" t="s">
        <v>20</v>
      </c>
      <c r="K101" s="197" t="s">
        <v>21</v>
      </c>
      <c r="L101" s="191" t="s">
        <v>27</v>
      </c>
      <c r="M101" s="188">
        <v>43470000</v>
      </c>
      <c r="N101" s="192" t="s">
        <v>145</v>
      </c>
      <c r="O101" s="192" t="s">
        <v>146</v>
      </c>
      <c r="P101" s="192" t="s">
        <v>24</v>
      </c>
    </row>
    <row r="102" spans="1:16" s="196" customFormat="1" ht="75" x14ac:dyDescent="0.2">
      <c r="A102" s="2">
        <v>2023106</v>
      </c>
      <c r="B102" s="2">
        <v>7658</v>
      </c>
      <c r="C102" s="3" t="s">
        <v>143</v>
      </c>
      <c r="D102" s="191" t="s">
        <v>126</v>
      </c>
      <c r="E102" s="192">
        <v>80111600</v>
      </c>
      <c r="F102" s="191" t="s">
        <v>150</v>
      </c>
      <c r="G102" s="193">
        <v>44958</v>
      </c>
      <c r="H102" s="193">
        <v>44972</v>
      </c>
      <c r="I102" s="191">
        <v>10</v>
      </c>
      <c r="J102" s="191" t="s">
        <v>20</v>
      </c>
      <c r="K102" s="197" t="s">
        <v>21</v>
      </c>
      <c r="L102" s="191" t="s">
        <v>27</v>
      </c>
      <c r="M102" s="188">
        <f>51750000-10350000-20700000</f>
        <v>20700000</v>
      </c>
      <c r="N102" s="192" t="s">
        <v>145</v>
      </c>
      <c r="O102" s="192" t="s">
        <v>146</v>
      </c>
      <c r="P102" s="192" t="s">
        <v>24</v>
      </c>
    </row>
    <row r="103" spans="1:16" s="196" customFormat="1" ht="75" x14ac:dyDescent="0.2">
      <c r="A103" s="2">
        <v>2023110</v>
      </c>
      <c r="B103" s="2">
        <v>7658</v>
      </c>
      <c r="C103" s="3" t="s">
        <v>143</v>
      </c>
      <c r="D103" s="191" t="s">
        <v>126</v>
      </c>
      <c r="E103" s="192">
        <v>80111600</v>
      </c>
      <c r="F103" s="191" t="s">
        <v>133</v>
      </c>
      <c r="G103" s="193">
        <v>44941</v>
      </c>
      <c r="H103" s="193">
        <v>44963</v>
      </c>
      <c r="I103" s="191">
        <v>10</v>
      </c>
      <c r="J103" s="191" t="s">
        <v>20</v>
      </c>
      <c r="K103" s="197" t="s">
        <v>21</v>
      </c>
      <c r="L103" s="191" t="s">
        <v>27</v>
      </c>
      <c r="M103" s="188">
        <f>56930000-4158000-30000000</f>
        <v>22772000</v>
      </c>
      <c r="N103" s="192" t="s">
        <v>145</v>
      </c>
      <c r="O103" s="192" t="s">
        <v>146</v>
      </c>
      <c r="P103" s="192" t="s">
        <v>24</v>
      </c>
    </row>
    <row r="104" spans="1:16" s="196" customFormat="1" ht="75" x14ac:dyDescent="0.2">
      <c r="A104" s="2">
        <v>2023112</v>
      </c>
      <c r="B104" s="2">
        <v>7658</v>
      </c>
      <c r="C104" s="3" t="s">
        <v>143</v>
      </c>
      <c r="D104" s="191" t="s">
        <v>126</v>
      </c>
      <c r="E104" s="192">
        <v>80111600</v>
      </c>
      <c r="F104" s="191" t="s">
        <v>152</v>
      </c>
      <c r="G104" s="193">
        <v>44941</v>
      </c>
      <c r="H104" s="193">
        <v>44963</v>
      </c>
      <c r="I104" s="191">
        <v>10</v>
      </c>
      <c r="J104" s="191" t="s">
        <v>20</v>
      </c>
      <c r="K104" s="197" t="s">
        <v>21</v>
      </c>
      <c r="L104" s="191" t="s">
        <v>27</v>
      </c>
      <c r="M104" s="188">
        <f>70000000-7000000-7000000-3503500-9800000-696500</f>
        <v>42000000</v>
      </c>
      <c r="N104" s="192" t="s">
        <v>145</v>
      </c>
      <c r="O104" s="192" t="s">
        <v>146</v>
      </c>
      <c r="P104" s="192" t="s">
        <v>24</v>
      </c>
    </row>
    <row r="105" spans="1:16" s="196" customFormat="1" ht="75" x14ac:dyDescent="0.2">
      <c r="A105" s="2">
        <v>2023113</v>
      </c>
      <c r="B105" s="2">
        <v>7658</v>
      </c>
      <c r="C105" s="3" t="s">
        <v>143</v>
      </c>
      <c r="D105" s="191" t="s">
        <v>126</v>
      </c>
      <c r="E105" s="192">
        <v>80111600</v>
      </c>
      <c r="F105" s="191" t="s">
        <v>153</v>
      </c>
      <c r="G105" s="193">
        <v>44972</v>
      </c>
      <c r="H105" s="193">
        <v>44986</v>
      </c>
      <c r="I105" s="191">
        <v>3</v>
      </c>
      <c r="J105" s="191" t="s">
        <v>20</v>
      </c>
      <c r="K105" s="197" t="s">
        <v>21</v>
      </c>
      <c r="L105" s="191" t="s">
        <v>27</v>
      </c>
      <c r="M105" s="188">
        <f>51750000-12937500-23287500</f>
        <v>15525000</v>
      </c>
      <c r="N105" s="192" t="s">
        <v>145</v>
      </c>
      <c r="O105" s="192" t="s">
        <v>146</v>
      </c>
      <c r="P105" s="192" t="s">
        <v>24</v>
      </c>
    </row>
    <row r="106" spans="1:16" s="196" customFormat="1" ht="75" x14ac:dyDescent="0.2">
      <c r="A106" s="2">
        <v>2023114</v>
      </c>
      <c r="B106" s="2">
        <v>7658</v>
      </c>
      <c r="C106" s="3" t="s">
        <v>143</v>
      </c>
      <c r="D106" s="191" t="s">
        <v>126</v>
      </c>
      <c r="E106" s="192" t="s">
        <v>154</v>
      </c>
      <c r="F106" s="191" t="s">
        <v>759</v>
      </c>
      <c r="G106" s="193">
        <v>45184</v>
      </c>
      <c r="H106" s="193">
        <v>45229</v>
      </c>
      <c r="I106" s="191">
        <v>7</v>
      </c>
      <c r="J106" s="191" t="s">
        <v>155</v>
      </c>
      <c r="K106" s="197" t="s">
        <v>21</v>
      </c>
      <c r="L106" s="191" t="s">
        <v>27</v>
      </c>
      <c r="M106" s="188">
        <f>408258000-8258000-282342175</f>
        <v>117657825</v>
      </c>
      <c r="N106" s="192" t="s">
        <v>145</v>
      </c>
      <c r="O106" s="192" t="s">
        <v>146</v>
      </c>
      <c r="P106" s="192" t="s">
        <v>24</v>
      </c>
    </row>
    <row r="107" spans="1:16" s="196" customFormat="1" ht="75" x14ac:dyDescent="0.2">
      <c r="A107" s="2">
        <v>2023116</v>
      </c>
      <c r="B107" s="2">
        <v>7658</v>
      </c>
      <c r="C107" s="3" t="s">
        <v>143</v>
      </c>
      <c r="D107" s="191" t="s">
        <v>126</v>
      </c>
      <c r="E107" s="192">
        <v>90121800</v>
      </c>
      <c r="F107" s="191" t="s">
        <v>157</v>
      </c>
      <c r="G107" s="193">
        <v>44927</v>
      </c>
      <c r="H107" s="193">
        <v>44957</v>
      </c>
      <c r="I107" s="191">
        <v>11</v>
      </c>
      <c r="J107" s="191" t="s">
        <v>20</v>
      </c>
      <c r="K107" s="197" t="s">
        <v>21</v>
      </c>
      <c r="L107" s="191" t="s">
        <v>27</v>
      </c>
      <c r="M107" s="188">
        <f>40000000-10000000</f>
        <v>30000000</v>
      </c>
      <c r="N107" s="192" t="s">
        <v>145</v>
      </c>
      <c r="O107" s="192" t="s">
        <v>146</v>
      </c>
      <c r="P107" s="192" t="s">
        <v>24</v>
      </c>
    </row>
    <row r="108" spans="1:16" s="196" customFormat="1" ht="90" x14ac:dyDescent="0.2">
      <c r="A108" s="2">
        <v>2023117</v>
      </c>
      <c r="B108" s="2">
        <v>7658</v>
      </c>
      <c r="C108" s="3" t="s">
        <v>143</v>
      </c>
      <c r="D108" s="191" t="s">
        <v>45</v>
      </c>
      <c r="E108" s="192" t="s">
        <v>158</v>
      </c>
      <c r="F108" s="191" t="s">
        <v>159</v>
      </c>
      <c r="G108" s="193">
        <v>44946</v>
      </c>
      <c r="H108" s="193">
        <v>44977</v>
      </c>
      <c r="I108" s="191">
        <v>12</v>
      </c>
      <c r="J108" s="191" t="s">
        <v>160</v>
      </c>
      <c r="K108" s="197" t="s">
        <v>161</v>
      </c>
      <c r="L108" s="191" t="s">
        <v>162</v>
      </c>
      <c r="M108" s="188">
        <f>(7281553000+1000)-778415902</f>
        <v>6503138098</v>
      </c>
      <c r="N108" s="192" t="s">
        <v>163</v>
      </c>
      <c r="O108" s="192" t="s">
        <v>164</v>
      </c>
      <c r="P108" s="192" t="s">
        <v>24</v>
      </c>
    </row>
    <row r="109" spans="1:16" s="196" customFormat="1" ht="90" x14ac:dyDescent="0.2">
      <c r="A109" s="2">
        <v>2023118</v>
      </c>
      <c r="B109" s="2">
        <v>7658</v>
      </c>
      <c r="C109" s="3" t="s">
        <v>143</v>
      </c>
      <c r="D109" s="191" t="s">
        <v>45</v>
      </c>
      <c r="E109" s="192" t="s">
        <v>165</v>
      </c>
      <c r="F109" s="191" t="s">
        <v>166</v>
      </c>
      <c r="G109" s="193">
        <v>44986</v>
      </c>
      <c r="H109" s="193">
        <v>45017</v>
      </c>
      <c r="I109" s="191">
        <v>5</v>
      </c>
      <c r="J109" s="191" t="s">
        <v>155</v>
      </c>
      <c r="K109" s="197" t="s">
        <v>21</v>
      </c>
      <c r="L109" s="191" t="s">
        <v>162</v>
      </c>
      <c r="M109" s="188">
        <f>389900000-86112000-33600000-17150000-2000000-168000000-33600000-20000000-20000000-9438000</f>
        <v>0</v>
      </c>
      <c r="N109" s="192" t="s">
        <v>167</v>
      </c>
      <c r="O109" s="192" t="s">
        <v>164</v>
      </c>
      <c r="P109" s="192" t="s">
        <v>24</v>
      </c>
    </row>
    <row r="110" spans="1:16" s="196" customFormat="1" ht="90" x14ac:dyDescent="0.2">
      <c r="A110" s="2">
        <v>2023119</v>
      </c>
      <c r="B110" s="2">
        <v>7658</v>
      </c>
      <c r="C110" s="3" t="s">
        <v>143</v>
      </c>
      <c r="D110" s="191" t="s">
        <v>45</v>
      </c>
      <c r="E110" s="192">
        <v>80111600</v>
      </c>
      <c r="F110" s="191" t="s">
        <v>168</v>
      </c>
      <c r="G110" s="193">
        <v>44941</v>
      </c>
      <c r="H110" s="193">
        <v>44958</v>
      </c>
      <c r="I110" s="191">
        <v>11</v>
      </c>
      <c r="J110" s="191" t="s">
        <v>20</v>
      </c>
      <c r="K110" s="197" t="s">
        <v>21</v>
      </c>
      <c r="L110" s="191" t="s">
        <v>27</v>
      </c>
      <c r="M110" s="188">
        <f t="shared" ref="M110:M117" si="0">23100000-2100000</f>
        <v>21000000</v>
      </c>
      <c r="N110" s="192" t="s">
        <v>167</v>
      </c>
      <c r="O110" s="192" t="s">
        <v>164</v>
      </c>
      <c r="P110" s="192" t="s">
        <v>24</v>
      </c>
    </row>
    <row r="111" spans="1:16" s="196" customFormat="1" ht="90" x14ac:dyDescent="0.2">
      <c r="A111" s="2">
        <v>2023120</v>
      </c>
      <c r="B111" s="2">
        <v>7658</v>
      </c>
      <c r="C111" s="3" t="s">
        <v>143</v>
      </c>
      <c r="D111" s="191" t="s">
        <v>45</v>
      </c>
      <c r="E111" s="192">
        <v>80111600</v>
      </c>
      <c r="F111" s="191" t="s">
        <v>168</v>
      </c>
      <c r="G111" s="193">
        <v>44941</v>
      </c>
      <c r="H111" s="193">
        <v>44958</v>
      </c>
      <c r="I111" s="191">
        <v>11</v>
      </c>
      <c r="J111" s="191" t="s">
        <v>20</v>
      </c>
      <c r="K111" s="197" t="s">
        <v>21</v>
      </c>
      <c r="L111" s="191" t="s">
        <v>27</v>
      </c>
      <c r="M111" s="188">
        <f t="shared" si="0"/>
        <v>21000000</v>
      </c>
      <c r="N111" s="192" t="s">
        <v>167</v>
      </c>
      <c r="O111" s="192" t="s">
        <v>164</v>
      </c>
      <c r="P111" s="192" t="s">
        <v>24</v>
      </c>
    </row>
    <row r="112" spans="1:16" s="196" customFormat="1" ht="90" x14ac:dyDescent="0.2">
      <c r="A112" s="2">
        <v>2023121</v>
      </c>
      <c r="B112" s="2">
        <v>7658</v>
      </c>
      <c r="C112" s="3" t="s">
        <v>143</v>
      </c>
      <c r="D112" s="191" t="s">
        <v>45</v>
      </c>
      <c r="E112" s="192">
        <v>80111600</v>
      </c>
      <c r="F112" s="191" t="s">
        <v>168</v>
      </c>
      <c r="G112" s="193">
        <v>44941</v>
      </c>
      <c r="H112" s="193">
        <v>44958</v>
      </c>
      <c r="I112" s="191">
        <v>11</v>
      </c>
      <c r="J112" s="191" t="s">
        <v>20</v>
      </c>
      <c r="K112" s="197" t="s">
        <v>21</v>
      </c>
      <c r="L112" s="191" t="s">
        <v>27</v>
      </c>
      <c r="M112" s="188">
        <f t="shared" si="0"/>
        <v>21000000</v>
      </c>
      <c r="N112" s="192" t="s">
        <v>167</v>
      </c>
      <c r="O112" s="192" t="s">
        <v>164</v>
      </c>
      <c r="P112" s="192" t="s">
        <v>24</v>
      </c>
    </row>
    <row r="113" spans="1:16" s="196" customFormat="1" ht="90" x14ac:dyDescent="0.2">
      <c r="A113" s="2">
        <v>2023122</v>
      </c>
      <c r="B113" s="2">
        <v>7658</v>
      </c>
      <c r="C113" s="3" t="s">
        <v>143</v>
      </c>
      <c r="D113" s="191" t="s">
        <v>45</v>
      </c>
      <c r="E113" s="192">
        <v>80111600</v>
      </c>
      <c r="F113" s="191" t="s">
        <v>168</v>
      </c>
      <c r="G113" s="193">
        <v>44941</v>
      </c>
      <c r="H113" s="193">
        <v>44958</v>
      </c>
      <c r="I113" s="191">
        <v>11</v>
      </c>
      <c r="J113" s="191" t="s">
        <v>20</v>
      </c>
      <c r="K113" s="197" t="s">
        <v>21</v>
      </c>
      <c r="L113" s="191" t="s">
        <v>27</v>
      </c>
      <c r="M113" s="188">
        <f t="shared" si="0"/>
        <v>21000000</v>
      </c>
      <c r="N113" s="192" t="s">
        <v>167</v>
      </c>
      <c r="O113" s="192" t="s">
        <v>164</v>
      </c>
      <c r="P113" s="192" t="s">
        <v>24</v>
      </c>
    </row>
    <row r="114" spans="1:16" s="196" customFormat="1" ht="90" x14ac:dyDescent="0.2">
      <c r="A114" s="2">
        <v>2023123</v>
      </c>
      <c r="B114" s="2">
        <v>7658</v>
      </c>
      <c r="C114" s="3" t="s">
        <v>143</v>
      </c>
      <c r="D114" s="191" t="s">
        <v>45</v>
      </c>
      <c r="E114" s="192">
        <v>80111600</v>
      </c>
      <c r="F114" s="191" t="s">
        <v>168</v>
      </c>
      <c r="G114" s="193">
        <v>44941</v>
      </c>
      <c r="H114" s="193">
        <v>44958</v>
      </c>
      <c r="I114" s="191">
        <v>11</v>
      </c>
      <c r="J114" s="191" t="s">
        <v>20</v>
      </c>
      <c r="K114" s="197" t="s">
        <v>21</v>
      </c>
      <c r="L114" s="191" t="s">
        <v>27</v>
      </c>
      <c r="M114" s="188">
        <f t="shared" si="0"/>
        <v>21000000</v>
      </c>
      <c r="N114" s="192" t="s">
        <v>167</v>
      </c>
      <c r="O114" s="192" t="s">
        <v>164</v>
      </c>
      <c r="P114" s="192" t="s">
        <v>24</v>
      </c>
    </row>
    <row r="115" spans="1:16" s="196" customFormat="1" ht="90" x14ac:dyDescent="0.2">
      <c r="A115" s="2">
        <v>2023124</v>
      </c>
      <c r="B115" s="2">
        <v>7658</v>
      </c>
      <c r="C115" s="3" t="s">
        <v>143</v>
      </c>
      <c r="D115" s="191" t="s">
        <v>45</v>
      </c>
      <c r="E115" s="192">
        <v>80111600</v>
      </c>
      <c r="F115" s="191" t="s">
        <v>168</v>
      </c>
      <c r="G115" s="193">
        <v>44941</v>
      </c>
      <c r="H115" s="193">
        <v>44958</v>
      </c>
      <c r="I115" s="191">
        <v>11</v>
      </c>
      <c r="J115" s="191" t="s">
        <v>20</v>
      </c>
      <c r="K115" s="197" t="s">
        <v>21</v>
      </c>
      <c r="L115" s="191" t="s">
        <v>27</v>
      </c>
      <c r="M115" s="188">
        <f t="shared" si="0"/>
        <v>21000000</v>
      </c>
      <c r="N115" s="192" t="s">
        <v>167</v>
      </c>
      <c r="O115" s="192" t="s">
        <v>164</v>
      </c>
      <c r="P115" s="192" t="s">
        <v>24</v>
      </c>
    </row>
    <row r="116" spans="1:16" s="196" customFormat="1" ht="90" x14ac:dyDescent="0.2">
      <c r="A116" s="2">
        <v>2023125</v>
      </c>
      <c r="B116" s="2">
        <v>7658</v>
      </c>
      <c r="C116" s="3" t="s">
        <v>143</v>
      </c>
      <c r="D116" s="191" t="s">
        <v>45</v>
      </c>
      <c r="E116" s="192">
        <v>80111600</v>
      </c>
      <c r="F116" s="191" t="s">
        <v>168</v>
      </c>
      <c r="G116" s="193">
        <v>44941</v>
      </c>
      <c r="H116" s="193">
        <v>44958</v>
      </c>
      <c r="I116" s="191">
        <v>11</v>
      </c>
      <c r="J116" s="191" t="s">
        <v>20</v>
      </c>
      <c r="K116" s="197" t="s">
        <v>21</v>
      </c>
      <c r="L116" s="191" t="s">
        <v>27</v>
      </c>
      <c r="M116" s="188">
        <f t="shared" si="0"/>
        <v>21000000</v>
      </c>
      <c r="N116" s="192" t="s">
        <v>167</v>
      </c>
      <c r="O116" s="192" t="s">
        <v>164</v>
      </c>
      <c r="P116" s="192" t="s">
        <v>24</v>
      </c>
    </row>
    <row r="117" spans="1:16" s="196" customFormat="1" ht="90" x14ac:dyDescent="0.2">
      <c r="A117" s="2">
        <v>2023126</v>
      </c>
      <c r="B117" s="2">
        <v>7658</v>
      </c>
      <c r="C117" s="3" t="s">
        <v>143</v>
      </c>
      <c r="D117" s="191" t="s">
        <v>45</v>
      </c>
      <c r="E117" s="192">
        <v>80111600</v>
      </c>
      <c r="F117" s="191" t="s">
        <v>168</v>
      </c>
      <c r="G117" s="193">
        <v>44941</v>
      </c>
      <c r="H117" s="193">
        <v>44958</v>
      </c>
      <c r="I117" s="191">
        <v>11</v>
      </c>
      <c r="J117" s="191" t="s">
        <v>20</v>
      </c>
      <c r="K117" s="197" t="s">
        <v>21</v>
      </c>
      <c r="L117" s="191" t="s">
        <v>27</v>
      </c>
      <c r="M117" s="188">
        <f t="shared" si="0"/>
        <v>21000000</v>
      </c>
      <c r="N117" s="192" t="s">
        <v>167</v>
      </c>
      <c r="O117" s="192" t="s">
        <v>164</v>
      </c>
      <c r="P117" s="192" t="s">
        <v>24</v>
      </c>
    </row>
    <row r="118" spans="1:16" s="196" customFormat="1" ht="90" x14ac:dyDescent="0.2">
      <c r="A118" s="2">
        <v>2023127</v>
      </c>
      <c r="B118" s="2">
        <v>7658</v>
      </c>
      <c r="C118" s="3" t="s">
        <v>143</v>
      </c>
      <c r="D118" s="191" t="s">
        <v>45</v>
      </c>
      <c r="E118" s="192">
        <v>80111600</v>
      </c>
      <c r="F118" s="191" t="s">
        <v>168</v>
      </c>
      <c r="G118" s="193">
        <v>44941</v>
      </c>
      <c r="H118" s="193">
        <v>44958</v>
      </c>
      <c r="I118" s="191">
        <v>11</v>
      </c>
      <c r="J118" s="191" t="s">
        <v>20</v>
      </c>
      <c r="K118" s="197" t="s">
        <v>21</v>
      </c>
      <c r="L118" s="191" t="s">
        <v>27</v>
      </c>
      <c r="M118" s="188">
        <f>23100000-4200000</f>
        <v>18900000</v>
      </c>
      <c r="N118" s="192" t="s">
        <v>167</v>
      </c>
      <c r="O118" s="192" t="s">
        <v>164</v>
      </c>
      <c r="P118" s="192" t="s">
        <v>24</v>
      </c>
    </row>
    <row r="119" spans="1:16" s="196" customFormat="1" ht="90" x14ac:dyDescent="0.2">
      <c r="A119" s="2">
        <v>2023128</v>
      </c>
      <c r="B119" s="2">
        <v>7658</v>
      </c>
      <c r="C119" s="3" t="s">
        <v>143</v>
      </c>
      <c r="D119" s="191" t="s">
        <v>45</v>
      </c>
      <c r="E119" s="192">
        <v>80111600</v>
      </c>
      <c r="F119" s="191" t="s">
        <v>169</v>
      </c>
      <c r="G119" s="193">
        <v>44941</v>
      </c>
      <c r="H119" s="193">
        <v>44958</v>
      </c>
      <c r="I119" s="191">
        <v>11</v>
      </c>
      <c r="J119" s="191" t="s">
        <v>20</v>
      </c>
      <c r="K119" s="197" t="s">
        <v>21</v>
      </c>
      <c r="L119" s="191" t="s">
        <v>27</v>
      </c>
      <c r="M119" s="188">
        <f>23100000-2100000</f>
        <v>21000000</v>
      </c>
      <c r="N119" s="192" t="s">
        <v>167</v>
      </c>
      <c r="O119" s="192" t="s">
        <v>164</v>
      </c>
      <c r="P119" s="192" t="s">
        <v>24</v>
      </c>
    </row>
    <row r="120" spans="1:16" s="196" customFormat="1" ht="90" x14ac:dyDescent="0.2">
      <c r="A120" s="2">
        <v>2023129</v>
      </c>
      <c r="B120" s="2">
        <v>7658</v>
      </c>
      <c r="C120" s="3" t="s">
        <v>143</v>
      </c>
      <c r="D120" s="191" t="s">
        <v>45</v>
      </c>
      <c r="E120" s="192">
        <v>80111600</v>
      </c>
      <c r="F120" s="191" t="s">
        <v>168</v>
      </c>
      <c r="G120" s="193">
        <v>44941</v>
      </c>
      <c r="H120" s="193">
        <v>44986</v>
      </c>
      <c r="I120" s="191">
        <v>10</v>
      </c>
      <c r="J120" s="191" t="s">
        <v>20</v>
      </c>
      <c r="K120" s="197" t="s">
        <v>21</v>
      </c>
      <c r="L120" s="191" t="s">
        <v>27</v>
      </c>
      <c r="M120" s="188">
        <v>21000000</v>
      </c>
      <c r="N120" s="192" t="s">
        <v>167</v>
      </c>
      <c r="O120" s="192" t="s">
        <v>164</v>
      </c>
      <c r="P120" s="192" t="s">
        <v>24</v>
      </c>
    </row>
    <row r="121" spans="1:16" s="196" customFormat="1" ht="90" x14ac:dyDescent="0.2">
      <c r="A121" s="2">
        <v>2023130</v>
      </c>
      <c r="B121" s="2">
        <v>7658</v>
      </c>
      <c r="C121" s="3" t="s">
        <v>143</v>
      </c>
      <c r="D121" s="191" t="s">
        <v>45</v>
      </c>
      <c r="E121" s="192">
        <v>80111600</v>
      </c>
      <c r="F121" s="191" t="s">
        <v>168</v>
      </c>
      <c r="G121" s="193">
        <v>44941</v>
      </c>
      <c r="H121" s="193">
        <v>44986</v>
      </c>
      <c r="I121" s="191">
        <v>10</v>
      </c>
      <c r="J121" s="191" t="s">
        <v>20</v>
      </c>
      <c r="K121" s="197" t="s">
        <v>21</v>
      </c>
      <c r="L121" s="191" t="s">
        <v>27</v>
      </c>
      <c r="M121" s="188">
        <v>21000000</v>
      </c>
      <c r="N121" s="192" t="s">
        <v>167</v>
      </c>
      <c r="O121" s="192" t="s">
        <v>164</v>
      </c>
      <c r="P121" s="192" t="s">
        <v>24</v>
      </c>
    </row>
    <row r="122" spans="1:16" s="196" customFormat="1" ht="90" x14ac:dyDescent="0.2">
      <c r="A122" s="2">
        <v>2023131</v>
      </c>
      <c r="B122" s="2">
        <v>7658</v>
      </c>
      <c r="C122" s="3" t="s">
        <v>143</v>
      </c>
      <c r="D122" s="191" t="s">
        <v>45</v>
      </c>
      <c r="E122" s="192">
        <v>80111600</v>
      </c>
      <c r="F122" s="191" t="s">
        <v>170</v>
      </c>
      <c r="G122" s="193">
        <v>44941</v>
      </c>
      <c r="H122" s="193">
        <v>44986</v>
      </c>
      <c r="I122" s="191">
        <v>10</v>
      </c>
      <c r="J122" s="191" t="s">
        <v>20</v>
      </c>
      <c r="K122" s="197" t="s">
        <v>21</v>
      </c>
      <c r="L122" s="191" t="s">
        <v>27</v>
      </c>
      <c r="M122" s="188">
        <f>21000000-4200000</f>
        <v>16800000</v>
      </c>
      <c r="N122" s="192" t="s">
        <v>167</v>
      </c>
      <c r="O122" s="192" t="s">
        <v>164</v>
      </c>
      <c r="P122" s="192" t="s">
        <v>24</v>
      </c>
    </row>
    <row r="123" spans="1:16" s="196" customFormat="1" ht="90" x14ac:dyDescent="0.2">
      <c r="A123" s="2">
        <v>2023132</v>
      </c>
      <c r="B123" s="2">
        <v>7658</v>
      </c>
      <c r="C123" s="3" t="s">
        <v>143</v>
      </c>
      <c r="D123" s="191" t="s">
        <v>45</v>
      </c>
      <c r="E123" s="192">
        <v>80111600</v>
      </c>
      <c r="F123" s="191" t="s">
        <v>168</v>
      </c>
      <c r="G123" s="193">
        <v>44941</v>
      </c>
      <c r="H123" s="193">
        <v>44986</v>
      </c>
      <c r="I123" s="191">
        <v>10</v>
      </c>
      <c r="J123" s="191" t="s">
        <v>20</v>
      </c>
      <c r="K123" s="197" t="s">
        <v>21</v>
      </c>
      <c r="L123" s="191" t="s">
        <v>27</v>
      </c>
      <c r="M123" s="188">
        <v>21000000</v>
      </c>
      <c r="N123" s="192" t="s">
        <v>167</v>
      </c>
      <c r="O123" s="192" t="s">
        <v>164</v>
      </c>
      <c r="P123" s="192" t="s">
        <v>24</v>
      </c>
    </row>
    <row r="124" spans="1:16" s="196" customFormat="1" ht="90" x14ac:dyDescent="0.2">
      <c r="A124" s="2">
        <v>2023133</v>
      </c>
      <c r="B124" s="2">
        <v>7658</v>
      </c>
      <c r="C124" s="3" t="s">
        <v>143</v>
      </c>
      <c r="D124" s="191" t="s">
        <v>45</v>
      </c>
      <c r="E124" s="192">
        <v>80111600</v>
      </c>
      <c r="F124" s="191" t="s">
        <v>171</v>
      </c>
      <c r="G124" s="193">
        <v>45000</v>
      </c>
      <c r="H124" s="193">
        <v>45017</v>
      </c>
      <c r="I124" s="191">
        <v>10</v>
      </c>
      <c r="J124" s="191" t="s">
        <v>20</v>
      </c>
      <c r="K124" s="197" t="s">
        <v>21</v>
      </c>
      <c r="L124" s="191" t="s">
        <v>27</v>
      </c>
      <c r="M124" s="188">
        <f>21000000+7500000</f>
        <v>28500000</v>
      </c>
      <c r="N124" s="192" t="s">
        <v>167</v>
      </c>
      <c r="O124" s="192" t="s">
        <v>164</v>
      </c>
      <c r="P124" s="192" t="s">
        <v>24</v>
      </c>
    </row>
    <row r="125" spans="1:16" s="196" customFormat="1" ht="90" x14ac:dyDescent="0.2">
      <c r="A125" s="2">
        <v>2023134</v>
      </c>
      <c r="B125" s="2">
        <v>7658</v>
      </c>
      <c r="C125" s="3" t="s">
        <v>143</v>
      </c>
      <c r="D125" s="191" t="s">
        <v>45</v>
      </c>
      <c r="E125" s="192">
        <v>80111600</v>
      </c>
      <c r="F125" s="191" t="s">
        <v>168</v>
      </c>
      <c r="G125" s="193">
        <v>44941</v>
      </c>
      <c r="H125" s="193">
        <v>44986</v>
      </c>
      <c r="I125" s="191">
        <v>10</v>
      </c>
      <c r="J125" s="191" t="s">
        <v>20</v>
      </c>
      <c r="K125" s="197" t="s">
        <v>21</v>
      </c>
      <c r="L125" s="191" t="s">
        <v>27</v>
      </c>
      <c r="M125" s="188">
        <v>21000000</v>
      </c>
      <c r="N125" s="192" t="s">
        <v>167</v>
      </c>
      <c r="O125" s="192" t="s">
        <v>164</v>
      </c>
      <c r="P125" s="192" t="s">
        <v>24</v>
      </c>
    </row>
    <row r="126" spans="1:16" s="196" customFormat="1" ht="90" x14ac:dyDescent="0.2">
      <c r="A126" s="2">
        <v>2023135</v>
      </c>
      <c r="B126" s="2">
        <v>7658</v>
      </c>
      <c r="C126" s="3" t="s">
        <v>143</v>
      </c>
      <c r="D126" s="191" t="s">
        <v>45</v>
      </c>
      <c r="E126" s="192">
        <v>80111600</v>
      </c>
      <c r="F126" s="191" t="s">
        <v>168</v>
      </c>
      <c r="G126" s="193">
        <v>44941</v>
      </c>
      <c r="H126" s="193">
        <v>45000</v>
      </c>
      <c r="I126" s="191">
        <v>9</v>
      </c>
      <c r="J126" s="191" t="s">
        <v>20</v>
      </c>
      <c r="K126" s="197" t="s">
        <v>21</v>
      </c>
      <c r="L126" s="191" t="s">
        <v>27</v>
      </c>
      <c r="M126" s="188">
        <v>18900000</v>
      </c>
      <c r="N126" s="192" t="s">
        <v>167</v>
      </c>
      <c r="O126" s="192" t="s">
        <v>164</v>
      </c>
      <c r="P126" s="192" t="s">
        <v>24</v>
      </c>
    </row>
    <row r="127" spans="1:16" s="196" customFormat="1" ht="105" x14ac:dyDescent="0.2">
      <c r="A127" s="2">
        <v>2023136</v>
      </c>
      <c r="B127" s="2">
        <v>7658</v>
      </c>
      <c r="C127" s="3" t="s">
        <v>143</v>
      </c>
      <c r="D127" s="191" t="s">
        <v>45</v>
      </c>
      <c r="E127" s="192">
        <v>80111600</v>
      </c>
      <c r="F127" s="191" t="s">
        <v>172</v>
      </c>
      <c r="G127" s="193">
        <v>44972</v>
      </c>
      <c r="H127" s="193">
        <v>44986</v>
      </c>
      <c r="I127" s="191">
        <v>10</v>
      </c>
      <c r="J127" s="191" t="s">
        <v>20</v>
      </c>
      <c r="K127" s="197" t="s">
        <v>21</v>
      </c>
      <c r="L127" s="191" t="s">
        <v>27</v>
      </c>
      <c r="M127" s="188">
        <f>36850000+3150000</f>
        <v>40000000</v>
      </c>
      <c r="N127" s="192" t="s">
        <v>167</v>
      </c>
      <c r="O127" s="192" t="s">
        <v>164</v>
      </c>
      <c r="P127" s="192" t="s">
        <v>24</v>
      </c>
    </row>
    <row r="128" spans="1:16" s="196" customFormat="1" ht="90" x14ac:dyDescent="0.2">
      <c r="A128" s="2">
        <v>2023137</v>
      </c>
      <c r="B128" s="2">
        <v>7658</v>
      </c>
      <c r="C128" s="3" t="s">
        <v>143</v>
      </c>
      <c r="D128" s="191" t="s">
        <v>45</v>
      </c>
      <c r="E128" s="192">
        <v>80111600</v>
      </c>
      <c r="F128" s="191" t="s">
        <v>173</v>
      </c>
      <c r="G128" s="193">
        <v>44972</v>
      </c>
      <c r="H128" s="193">
        <v>44986</v>
      </c>
      <c r="I128" s="191">
        <v>10</v>
      </c>
      <c r="J128" s="191" t="s">
        <v>20</v>
      </c>
      <c r="K128" s="197" t="s">
        <v>21</v>
      </c>
      <c r="L128" s="191" t="s">
        <v>27</v>
      </c>
      <c r="M128" s="188">
        <f>36850000-2476000-874000</f>
        <v>33500000</v>
      </c>
      <c r="N128" s="192" t="s">
        <v>167</v>
      </c>
      <c r="O128" s="192" t="s">
        <v>164</v>
      </c>
      <c r="P128" s="192" t="s">
        <v>24</v>
      </c>
    </row>
    <row r="129" spans="1:16" s="196" customFormat="1" ht="90" x14ac:dyDescent="0.2">
      <c r="A129" s="2">
        <v>2023138</v>
      </c>
      <c r="B129" s="2">
        <v>7658</v>
      </c>
      <c r="C129" s="3" t="s">
        <v>143</v>
      </c>
      <c r="D129" s="191" t="s">
        <v>45</v>
      </c>
      <c r="E129" s="192">
        <v>80111600</v>
      </c>
      <c r="F129" s="191" t="s">
        <v>174</v>
      </c>
      <c r="G129" s="193">
        <v>44941</v>
      </c>
      <c r="H129" s="193">
        <v>44958</v>
      </c>
      <c r="I129" s="191">
        <v>11</v>
      </c>
      <c r="J129" s="191" t="s">
        <v>20</v>
      </c>
      <c r="K129" s="197" t="s">
        <v>21</v>
      </c>
      <c r="L129" s="191" t="s">
        <v>27</v>
      </c>
      <c r="M129" s="188">
        <f>23100000+22875000+3525000-17200000</f>
        <v>32300000</v>
      </c>
      <c r="N129" s="192" t="s">
        <v>167</v>
      </c>
      <c r="O129" s="192" t="s">
        <v>164</v>
      </c>
      <c r="P129" s="192" t="s">
        <v>24</v>
      </c>
    </row>
    <row r="130" spans="1:16" s="196" customFormat="1" ht="105" x14ac:dyDescent="0.2">
      <c r="A130" s="2">
        <v>2023139</v>
      </c>
      <c r="B130" s="2">
        <v>7658</v>
      </c>
      <c r="C130" s="3" t="s">
        <v>143</v>
      </c>
      <c r="D130" s="191" t="s">
        <v>45</v>
      </c>
      <c r="E130" s="192">
        <v>80111600</v>
      </c>
      <c r="F130" s="191" t="s">
        <v>175</v>
      </c>
      <c r="G130" s="193">
        <v>44941</v>
      </c>
      <c r="H130" s="193">
        <v>44958</v>
      </c>
      <c r="I130" s="191">
        <v>11</v>
      </c>
      <c r="J130" s="191" t="s">
        <v>20</v>
      </c>
      <c r="K130" s="197" t="s">
        <v>21</v>
      </c>
      <c r="L130" s="191" t="s">
        <v>27</v>
      </c>
      <c r="M130" s="188">
        <f>26950000+7125000+15425000-4500000</f>
        <v>45000000</v>
      </c>
      <c r="N130" s="192" t="s">
        <v>167</v>
      </c>
      <c r="O130" s="192" t="s">
        <v>164</v>
      </c>
      <c r="P130" s="192" t="s">
        <v>24</v>
      </c>
    </row>
    <row r="131" spans="1:16" s="196" customFormat="1" ht="90" x14ac:dyDescent="0.2">
      <c r="A131" s="2">
        <v>2023140</v>
      </c>
      <c r="B131" s="2">
        <v>7658</v>
      </c>
      <c r="C131" s="3" t="s">
        <v>143</v>
      </c>
      <c r="D131" s="191" t="s">
        <v>45</v>
      </c>
      <c r="E131" s="192">
        <v>80111600</v>
      </c>
      <c r="F131" s="191" t="s">
        <v>176</v>
      </c>
      <c r="G131" s="193">
        <v>44941</v>
      </c>
      <c r="H131" s="193">
        <v>44958</v>
      </c>
      <c r="I131" s="191">
        <v>11</v>
      </c>
      <c r="J131" s="191" t="s">
        <v>20</v>
      </c>
      <c r="K131" s="197" t="s">
        <v>21</v>
      </c>
      <c r="L131" s="191" t="s">
        <v>27</v>
      </c>
      <c r="M131" s="188">
        <f>26950000-2450000</f>
        <v>24500000</v>
      </c>
      <c r="N131" s="192" t="s">
        <v>167</v>
      </c>
      <c r="O131" s="192" t="s">
        <v>164</v>
      </c>
      <c r="P131" s="192" t="s">
        <v>24</v>
      </c>
    </row>
    <row r="132" spans="1:16" s="196" customFormat="1" ht="90" x14ac:dyDescent="0.2">
      <c r="A132" s="2">
        <v>2023141</v>
      </c>
      <c r="B132" s="2">
        <v>7658</v>
      </c>
      <c r="C132" s="3" t="s">
        <v>143</v>
      </c>
      <c r="D132" s="191" t="s">
        <v>45</v>
      </c>
      <c r="E132" s="192">
        <v>80111600</v>
      </c>
      <c r="F132" s="191" t="s">
        <v>176</v>
      </c>
      <c r="G132" s="193">
        <v>44941</v>
      </c>
      <c r="H132" s="193">
        <v>44958</v>
      </c>
      <c r="I132" s="191">
        <v>11</v>
      </c>
      <c r="J132" s="191" t="s">
        <v>20</v>
      </c>
      <c r="K132" s="197" t="s">
        <v>21</v>
      </c>
      <c r="L132" s="191" t="s">
        <v>27</v>
      </c>
      <c r="M132" s="188">
        <f>26950000-2450000</f>
        <v>24500000</v>
      </c>
      <c r="N132" s="192" t="s">
        <v>167</v>
      </c>
      <c r="O132" s="192" t="s">
        <v>164</v>
      </c>
      <c r="P132" s="192" t="s">
        <v>24</v>
      </c>
    </row>
    <row r="133" spans="1:16" s="196" customFormat="1" ht="90" x14ac:dyDescent="0.2">
      <c r="A133" s="2">
        <v>2023142</v>
      </c>
      <c r="B133" s="2">
        <v>7658</v>
      </c>
      <c r="C133" s="3" t="s">
        <v>143</v>
      </c>
      <c r="D133" s="191" t="s">
        <v>45</v>
      </c>
      <c r="E133" s="192">
        <v>80111600</v>
      </c>
      <c r="F133" s="191" t="s">
        <v>176</v>
      </c>
      <c r="G133" s="193">
        <v>44941</v>
      </c>
      <c r="H133" s="193">
        <v>44958</v>
      </c>
      <c r="I133" s="191">
        <v>11</v>
      </c>
      <c r="J133" s="191" t="s">
        <v>20</v>
      </c>
      <c r="K133" s="197" t="s">
        <v>21</v>
      </c>
      <c r="L133" s="191" t="s">
        <v>27</v>
      </c>
      <c r="M133" s="188">
        <f>26950000-2450000</f>
        <v>24500000</v>
      </c>
      <c r="N133" s="192" t="s">
        <v>167</v>
      </c>
      <c r="O133" s="192" t="s">
        <v>164</v>
      </c>
      <c r="P133" s="192" t="s">
        <v>24</v>
      </c>
    </row>
    <row r="134" spans="1:16" s="196" customFormat="1" ht="90" x14ac:dyDescent="0.2">
      <c r="A134" s="2">
        <v>2023143</v>
      </c>
      <c r="B134" s="2">
        <v>7658</v>
      </c>
      <c r="C134" s="3" t="s">
        <v>143</v>
      </c>
      <c r="D134" s="191" t="s">
        <v>45</v>
      </c>
      <c r="E134" s="192">
        <v>80111600</v>
      </c>
      <c r="F134" s="191" t="s">
        <v>176</v>
      </c>
      <c r="G134" s="193">
        <v>44941</v>
      </c>
      <c r="H134" s="193">
        <v>44958</v>
      </c>
      <c r="I134" s="191">
        <v>11</v>
      </c>
      <c r="J134" s="191" t="s">
        <v>20</v>
      </c>
      <c r="K134" s="197" t="s">
        <v>21</v>
      </c>
      <c r="L134" s="191" t="s">
        <v>27</v>
      </c>
      <c r="M134" s="188">
        <f>26950000-2450000</f>
        <v>24500000</v>
      </c>
      <c r="N134" s="192" t="s">
        <v>167</v>
      </c>
      <c r="O134" s="192" t="s">
        <v>164</v>
      </c>
      <c r="P134" s="192" t="s">
        <v>24</v>
      </c>
    </row>
    <row r="135" spans="1:16" s="196" customFormat="1" ht="90" x14ac:dyDescent="0.2">
      <c r="A135" s="2">
        <v>2023144</v>
      </c>
      <c r="B135" s="2">
        <v>7658</v>
      </c>
      <c r="C135" s="3" t="s">
        <v>143</v>
      </c>
      <c r="D135" s="191" t="s">
        <v>45</v>
      </c>
      <c r="E135" s="192">
        <v>80111600</v>
      </c>
      <c r="F135" s="191" t="s">
        <v>176</v>
      </c>
      <c r="G135" s="193">
        <v>44941</v>
      </c>
      <c r="H135" s="193">
        <v>44958</v>
      </c>
      <c r="I135" s="191">
        <v>11</v>
      </c>
      <c r="J135" s="191" t="s">
        <v>20</v>
      </c>
      <c r="K135" s="197" t="s">
        <v>21</v>
      </c>
      <c r="L135" s="191" t="s">
        <v>27</v>
      </c>
      <c r="M135" s="188">
        <v>26950000</v>
      </c>
      <c r="N135" s="192" t="s">
        <v>167</v>
      </c>
      <c r="O135" s="192" t="s">
        <v>164</v>
      </c>
      <c r="P135" s="192" t="s">
        <v>24</v>
      </c>
    </row>
    <row r="136" spans="1:16" s="196" customFormat="1" ht="90" x14ac:dyDescent="0.2">
      <c r="A136" s="2">
        <v>2023145</v>
      </c>
      <c r="B136" s="2">
        <v>7658</v>
      </c>
      <c r="C136" s="3" t="s">
        <v>143</v>
      </c>
      <c r="D136" s="191" t="s">
        <v>45</v>
      </c>
      <c r="E136" s="192">
        <v>80111600</v>
      </c>
      <c r="F136" s="191" t="s">
        <v>177</v>
      </c>
      <c r="G136" s="193">
        <v>44972</v>
      </c>
      <c r="H136" s="193">
        <v>45000</v>
      </c>
      <c r="I136" s="191">
        <v>9</v>
      </c>
      <c r="J136" s="191" t="s">
        <v>20</v>
      </c>
      <c r="K136" s="197" t="s">
        <v>21</v>
      </c>
      <c r="L136" s="191" t="s">
        <v>27</v>
      </c>
      <c r="M136" s="188">
        <f>22050000+23456000+6634000</f>
        <v>52140000</v>
      </c>
      <c r="N136" s="192" t="s">
        <v>167</v>
      </c>
      <c r="O136" s="192" t="s">
        <v>164</v>
      </c>
      <c r="P136" s="192" t="s">
        <v>24</v>
      </c>
    </row>
    <row r="137" spans="1:16" s="196" customFormat="1" ht="105" x14ac:dyDescent="0.2">
      <c r="A137" s="2">
        <v>2023146</v>
      </c>
      <c r="B137" s="2">
        <v>7658</v>
      </c>
      <c r="C137" s="3" t="s">
        <v>143</v>
      </c>
      <c r="D137" s="191" t="s">
        <v>45</v>
      </c>
      <c r="E137" s="192">
        <v>80111600</v>
      </c>
      <c r="F137" s="191" t="s">
        <v>178</v>
      </c>
      <c r="G137" s="193">
        <v>44941</v>
      </c>
      <c r="H137" s="193">
        <v>44958</v>
      </c>
      <c r="I137" s="191">
        <v>11</v>
      </c>
      <c r="J137" s="191" t="s">
        <v>20</v>
      </c>
      <c r="K137" s="197" t="s">
        <v>21</v>
      </c>
      <c r="L137" s="191" t="s">
        <v>27</v>
      </c>
      <c r="M137" s="188">
        <f>42350000+400000</f>
        <v>42750000</v>
      </c>
      <c r="N137" s="192" t="s">
        <v>167</v>
      </c>
      <c r="O137" s="192" t="s">
        <v>164</v>
      </c>
      <c r="P137" s="192" t="s">
        <v>24</v>
      </c>
    </row>
    <row r="138" spans="1:16" s="196" customFormat="1" ht="90" x14ac:dyDescent="0.2">
      <c r="A138" s="2">
        <v>2023147</v>
      </c>
      <c r="B138" s="2">
        <v>7658</v>
      </c>
      <c r="C138" s="3" t="s">
        <v>143</v>
      </c>
      <c r="D138" s="191" t="s">
        <v>45</v>
      </c>
      <c r="E138" s="192">
        <v>80111600</v>
      </c>
      <c r="F138" s="191" t="s">
        <v>179</v>
      </c>
      <c r="G138" s="193">
        <v>44941</v>
      </c>
      <c r="H138" s="193">
        <v>44958</v>
      </c>
      <c r="I138" s="191">
        <v>11</v>
      </c>
      <c r="J138" s="191" t="s">
        <v>20</v>
      </c>
      <c r="K138" s="197" t="s">
        <v>21</v>
      </c>
      <c r="L138" s="191" t="s">
        <v>27</v>
      </c>
      <c r="M138" s="188">
        <f>49500000-4500000</f>
        <v>45000000</v>
      </c>
      <c r="N138" s="192" t="s">
        <v>167</v>
      </c>
      <c r="O138" s="192" t="s">
        <v>164</v>
      </c>
      <c r="P138" s="192" t="s">
        <v>24</v>
      </c>
    </row>
    <row r="139" spans="1:16" s="196" customFormat="1" ht="105" x14ac:dyDescent="0.2">
      <c r="A139" s="2">
        <v>2023148</v>
      </c>
      <c r="B139" s="2">
        <v>7658</v>
      </c>
      <c r="C139" s="3" t="s">
        <v>143</v>
      </c>
      <c r="D139" s="191" t="s">
        <v>45</v>
      </c>
      <c r="E139" s="192">
        <v>80111600</v>
      </c>
      <c r="F139" s="191" t="s">
        <v>180</v>
      </c>
      <c r="G139" s="193">
        <v>44941</v>
      </c>
      <c r="H139" s="193">
        <v>44958</v>
      </c>
      <c r="I139" s="191">
        <v>11</v>
      </c>
      <c r="J139" s="191" t="s">
        <v>20</v>
      </c>
      <c r="K139" s="197" t="s">
        <v>21</v>
      </c>
      <c r="L139" s="191" t="s">
        <v>27</v>
      </c>
      <c r="M139" s="188">
        <f>49500000+79087500-500-22050000-16537000</f>
        <v>90000000</v>
      </c>
      <c r="N139" s="192" t="s">
        <v>167</v>
      </c>
      <c r="O139" s="192" t="s">
        <v>164</v>
      </c>
      <c r="P139" s="192" t="s">
        <v>24</v>
      </c>
    </row>
    <row r="140" spans="1:16" s="196" customFormat="1" ht="105" x14ac:dyDescent="0.2">
      <c r="A140" s="2">
        <v>2023149</v>
      </c>
      <c r="B140" s="2">
        <v>7658</v>
      </c>
      <c r="C140" s="3" t="s">
        <v>143</v>
      </c>
      <c r="D140" s="191" t="s">
        <v>45</v>
      </c>
      <c r="E140" s="192">
        <v>80111600</v>
      </c>
      <c r="F140" s="191" t="s">
        <v>181</v>
      </c>
      <c r="G140" s="193">
        <v>44941</v>
      </c>
      <c r="H140" s="193">
        <v>44958</v>
      </c>
      <c r="I140" s="191">
        <v>11</v>
      </c>
      <c r="J140" s="191" t="s">
        <v>20</v>
      </c>
      <c r="K140" s="197" t="s">
        <v>21</v>
      </c>
      <c r="L140" s="191" t="s">
        <v>27</v>
      </c>
      <c r="M140" s="188">
        <f>49500000+5500000</f>
        <v>55000000</v>
      </c>
      <c r="N140" s="192" t="s">
        <v>167</v>
      </c>
      <c r="O140" s="192" t="s">
        <v>164</v>
      </c>
      <c r="P140" s="192" t="s">
        <v>24</v>
      </c>
    </row>
    <row r="141" spans="1:16" s="196" customFormat="1" ht="90" x14ac:dyDescent="0.2">
      <c r="A141" s="2">
        <v>2023150</v>
      </c>
      <c r="B141" s="2">
        <v>7658</v>
      </c>
      <c r="C141" s="3" t="s">
        <v>143</v>
      </c>
      <c r="D141" s="191" t="s">
        <v>45</v>
      </c>
      <c r="E141" s="192">
        <v>80111600</v>
      </c>
      <c r="F141" s="191" t="s">
        <v>182</v>
      </c>
      <c r="G141" s="193">
        <v>44941</v>
      </c>
      <c r="H141" s="193">
        <v>44958</v>
      </c>
      <c r="I141" s="191">
        <v>11</v>
      </c>
      <c r="J141" s="191" t="s">
        <v>20</v>
      </c>
      <c r="K141" s="197" t="s">
        <v>21</v>
      </c>
      <c r="L141" s="191" t="s">
        <v>27</v>
      </c>
      <c r="M141" s="188">
        <f>49500000-4500000</f>
        <v>45000000</v>
      </c>
      <c r="N141" s="192" t="s">
        <v>167</v>
      </c>
      <c r="O141" s="192" t="s">
        <v>164</v>
      </c>
      <c r="P141" s="192" t="s">
        <v>24</v>
      </c>
    </row>
    <row r="142" spans="1:16" s="196" customFormat="1" ht="90" x14ac:dyDescent="0.2">
      <c r="A142" s="2">
        <v>2023151</v>
      </c>
      <c r="B142" s="2">
        <v>7658</v>
      </c>
      <c r="C142" s="3" t="s">
        <v>143</v>
      </c>
      <c r="D142" s="191" t="s">
        <v>45</v>
      </c>
      <c r="E142" s="192">
        <v>80111600</v>
      </c>
      <c r="F142" s="191" t="s">
        <v>183</v>
      </c>
      <c r="G142" s="193">
        <v>44941</v>
      </c>
      <c r="H142" s="193">
        <v>44958</v>
      </c>
      <c r="I142" s="191">
        <v>11</v>
      </c>
      <c r="J142" s="191" t="s">
        <v>20</v>
      </c>
      <c r="K142" s="197" t="s">
        <v>21</v>
      </c>
      <c r="L142" s="191" t="s">
        <v>27</v>
      </c>
      <c r="M142" s="188">
        <f>49500000+5500000</f>
        <v>55000000</v>
      </c>
      <c r="N142" s="192" t="s">
        <v>167</v>
      </c>
      <c r="O142" s="192" t="s">
        <v>164</v>
      </c>
      <c r="P142" s="192" t="s">
        <v>24</v>
      </c>
    </row>
    <row r="143" spans="1:16" s="196" customFormat="1" ht="120" x14ac:dyDescent="0.2">
      <c r="A143" s="2">
        <v>2023152</v>
      </c>
      <c r="B143" s="2">
        <v>7658</v>
      </c>
      <c r="C143" s="3" t="s">
        <v>143</v>
      </c>
      <c r="D143" s="191" t="s">
        <v>45</v>
      </c>
      <c r="E143" s="192">
        <v>80111600</v>
      </c>
      <c r="F143" s="191" t="s">
        <v>184</v>
      </c>
      <c r="G143" s="193">
        <v>44941</v>
      </c>
      <c r="H143" s="193">
        <v>44958</v>
      </c>
      <c r="I143" s="191">
        <v>10</v>
      </c>
      <c r="J143" s="191" t="s">
        <v>20</v>
      </c>
      <c r="K143" s="197" t="s">
        <v>21</v>
      </c>
      <c r="L143" s="191" t="s">
        <v>27</v>
      </c>
      <c r="M143" s="188">
        <f>45000000+6544000+19956000</f>
        <v>71500000</v>
      </c>
      <c r="N143" s="192" t="s">
        <v>167</v>
      </c>
      <c r="O143" s="192" t="s">
        <v>164</v>
      </c>
      <c r="P143" s="192" t="s">
        <v>24</v>
      </c>
    </row>
    <row r="144" spans="1:16" s="196" customFormat="1" ht="150" x14ac:dyDescent="0.2">
      <c r="A144" s="2">
        <v>2023153</v>
      </c>
      <c r="B144" s="2">
        <v>7658</v>
      </c>
      <c r="C144" s="3" t="s">
        <v>143</v>
      </c>
      <c r="D144" s="191" t="s">
        <v>45</v>
      </c>
      <c r="E144" s="192">
        <v>80111600</v>
      </c>
      <c r="F144" s="191" t="s">
        <v>185</v>
      </c>
      <c r="G144" s="193">
        <v>44941</v>
      </c>
      <c r="H144" s="193">
        <v>44958</v>
      </c>
      <c r="I144" s="191">
        <v>11</v>
      </c>
      <c r="J144" s="191" t="s">
        <v>20</v>
      </c>
      <c r="K144" s="197" t="s">
        <v>21</v>
      </c>
      <c r="L144" s="191" t="s">
        <v>27</v>
      </c>
      <c r="M144" s="188">
        <f>49500000-400000-1600000</f>
        <v>47500000</v>
      </c>
      <c r="N144" s="192" t="s">
        <v>167</v>
      </c>
      <c r="O144" s="192" t="s">
        <v>164</v>
      </c>
      <c r="P144" s="192" t="s">
        <v>24</v>
      </c>
    </row>
    <row r="145" spans="1:16" s="196" customFormat="1" ht="90" x14ac:dyDescent="0.2">
      <c r="A145" s="2">
        <v>2023154</v>
      </c>
      <c r="B145" s="2">
        <v>7658</v>
      </c>
      <c r="C145" s="3" t="s">
        <v>143</v>
      </c>
      <c r="D145" s="191" t="s">
        <v>45</v>
      </c>
      <c r="E145" s="192">
        <v>80111600</v>
      </c>
      <c r="F145" s="191" t="s">
        <v>186</v>
      </c>
      <c r="G145" s="193">
        <v>44972</v>
      </c>
      <c r="H145" s="193">
        <v>44986</v>
      </c>
      <c r="I145" s="191">
        <v>10</v>
      </c>
      <c r="J145" s="191" t="s">
        <v>20</v>
      </c>
      <c r="K145" s="197" t="s">
        <v>21</v>
      </c>
      <c r="L145" s="191" t="s">
        <v>27</v>
      </c>
      <c r="M145" s="188">
        <v>45000000</v>
      </c>
      <c r="N145" s="192" t="s">
        <v>167</v>
      </c>
      <c r="O145" s="192" t="s">
        <v>164</v>
      </c>
      <c r="P145" s="192" t="s">
        <v>24</v>
      </c>
    </row>
    <row r="146" spans="1:16" s="196" customFormat="1" ht="90" x14ac:dyDescent="0.2">
      <c r="A146" s="2">
        <v>2023155</v>
      </c>
      <c r="B146" s="2">
        <v>7658</v>
      </c>
      <c r="C146" s="3" t="s">
        <v>143</v>
      </c>
      <c r="D146" s="191" t="s">
        <v>45</v>
      </c>
      <c r="E146" s="192">
        <v>80111600</v>
      </c>
      <c r="F146" s="191" t="s">
        <v>186</v>
      </c>
      <c r="G146" s="193">
        <v>44972</v>
      </c>
      <c r="H146" s="193">
        <v>44986</v>
      </c>
      <c r="I146" s="191">
        <v>10</v>
      </c>
      <c r="J146" s="191" t="s">
        <v>20</v>
      </c>
      <c r="K146" s="197" t="s">
        <v>21</v>
      </c>
      <c r="L146" s="191" t="s">
        <v>27</v>
      </c>
      <c r="M146" s="188">
        <v>45000000</v>
      </c>
      <c r="N146" s="192" t="s">
        <v>167</v>
      </c>
      <c r="O146" s="192" t="s">
        <v>164</v>
      </c>
      <c r="P146" s="192" t="s">
        <v>24</v>
      </c>
    </row>
    <row r="147" spans="1:16" s="196" customFormat="1" ht="90" x14ac:dyDescent="0.2">
      <c r="A147" s="2">
        <v>2023156</v>
      </c>
      <c r="B147" s="2">
        <v>7658</v>
      </c>
      <c r="C147" s="3" t="s">
        <v>143</v>
      </c>
      <c r="D147" s="191" t="s">
        <v>45</v>
      </c>
      <c r="E147" s="192">
        <v>80111600</v>
      </c>
      <c r="F147" s="191" t="s">
        <v>187</v>
      </c>
      <c r="G147" s="193">
        <v>44972</v>
      </c>
      <c r="H147" s="193">
        <v>44986</v>
      </c>
      <c r="I147" s="191">
        <v>9</v>
      </c>
      <c r="J147" s="191" t="s">
        <v>20</v>
      </c>
      <c r="K147" s="197" t="s">
        <v>21</v>
      </c>
      <c r="L147" s="191" t="s">
        <v>27</v>
      </c>
      <c r="M147" s="188">
        <v>45900000</v>
      </c>
      <c r="N147" s="192" t="s">
        <v>167</v>
      </c>
      <c r="O147" s="192" t="s">
        <v>164</v>
      </c>
      <c r="P147" s="192" t="s">
        <v>24</v>
      </c>
    </row>
    <row r="148" spans="1:16" s="196" customFormat="1" ht="90" x14ac:dyDescent="0.2">
      <c r="A148" s="2">
        <v>2023157</v>
      </c>
      <c r="B148" s="2">
        <v>7658</v>
      </c>
      <c r="C148" s="3" t="s">
        <v>143</v>
      </c>
      <c r="D148" s="191" t="s">
        <v>45</v>
      </c>
      <c r="E148" s="192">
        <v>80111600</v>
      </c>
      <c r="F148" s="191" t="s">
        <v>188</v>
      </c>
      <c r="G148" s="193">
        <v>44941</v>
      </c>
      <c r="H148" s="193">
        <v>44958</v>
      </c>
      <c r="I148" s="191">
        <v>11</v>
      </c>
      <c r="J148" s="191" t="s">
        <v>20</v>
      </c>
      <c r="K148" s="197" t="s">
        <v>21</v>
      </c>
      <c r="L148" s="191" t="s">
        <v>27</v>
      </c>
      <c r="M148" s="188">
        <f>74800000-13050000</f>
        <v>61750000</v>
      </c>
      <c r="N148" s="192" t="s">
        <v>167</v>
      </c>
      <c r="O148" s="192" t="s">
        <v>164</v>
      </c>
      <c r="P148" s="192" t="s">
        <v>24</v>
      </c>
    </row>
    <row r="149" spans="1:16" s="196" customFormat="1" ht="90" x14ac:dyDescent="0.2">
      <c r="A149" s="2">
        <v>2023158</v>
      </c>
      <c r="B149" s="2">
        <v>7658</v>
      </c>
      <c r="C149" s="3" t="s">
        <v>143</v>
      </c>
      <c r="D149" s="191" t="s">
        <v>45</v>
      </c>
      <c r="E149" s="192">
        <v>80111600</v>
      </c>
      <c r="F149" s="191" t="s">
        <v>189</v>
      </c>
      <c r="G149" s="193">
        <v>44941</v>
      </c>
      <c r="H149" s="193">
        <v>44958</v>
      </c>
      <c r="I149" s="191">
        <v>11</v>
      </c>
      <c r="J149" s="191" t="s">
        <v>20</v>
      </c>
      <c r="K149" s="197" t="s">
        <v>21</v>
      </c>
      <c r="L149" s="191" t="s">
        <v>27</v>
      </c>
      <c r="M149" s="188">
        <f>74800000+3200000</f>
        <v>78000000</v>
      </c>
      <c r="N149" s="192" t="s">
        <v>167</v>
      </c>
      <c r="O149" s="192" t="s">
        <v>164</v>
      </c>
      <c r="P149" s="192" t="s">
        <v>24</v>
      </c>
    </row>
    <row r="150" spans="1:16" s="196" customFormat="1" ht="90" x14ac:dyDescent="0.2">
      <c r="A150" s="2">
        <v>2023159</v>
      </c>
      <c r="B150" s="2">
        <v>7658</v>
      </c>
      <c r="C150" s="3" t="s">
        <v>143</v>
      </c>
      <c r="D150" s="191" t="s">
        <v>45</v>
      </c>
      <c r="E150" s="192">
        <v>80111600</v>
      </c>
      <c r="F150" s="191" t="s">
        <v>188</v>
      </c>
      <c r="G150" s="193">
        <v>44941</v>
      </c>
      <c r="H150" s="193">
        <v>44958</v>
      </c>
      <c r="I150" s="191">
        <v>11</v>
      </c>
      <c r="J150" s="191" t="s">
        <v>20</v>
      </c>
      <c r="K150" s="197" t="s">
        <v>21</v>
      </c>
      <c r="L150" s="191" t="s">
        <v>27</v>
      </c>
      <c r="M150" s="188">
        <f>74800000+1700000+44000+11579500+4826500+150000000-60000000-18000000-5500000-5500000-3200000-37125000-14625000</f>
        <v>99000000</v>
      </c>
      <c r="N150" s="192" t="s">
        <v>167</v>
      </c>
      <c r="O150" s="192" t="s">
        <v>164</v>
      </c>
      <c r="P150" s="192" t="s">
        <v>24</v>
      </c>
    </row>
    <row r="151" spans="1:16" s="196" customFormat="1" ht="90" x14ac:dyDescent="0.2">
      <c r="A151" s="2">
        <v>2023160</v>
      </c>
      <c r="B151" s="2">
        <v>7658</v>
      </c>
      <c r="C151" s="3" t="s">
        <v>143</v>
      </c>
      <c r="D151" s="191" t="s">
        <v>45</v>
      </c>
      <c r="E151" s="192">
        <v>80111600</v>
      </c>
      <c r="F151" s="191" t="s">
        <v>190</v>
      </c>
      <c r="G151" s="193">
        <v>44941</v>
      </c>
      <c r="H151" s="193">
        <v>44958</v>
      </c>
      <c r="I151" s="191">
        <v>11</v>
      </c>
      <c r="J151" s="191" t="s">
        <v>20</v>
      </c>
      <c r="K151" s="197" t="s">
        <v>21</v>
      </c>
      <c r="L151" s="191" t="s">
        <v>27</v>
      </c>
      <c r="M151" s="188">
        <f>74800000-6800000</f>
        <v>68000000</v>
      </c>
      <c r="N151" s="192" t="s">
        <v>167</v>
      </c>
      <c r="O151" s="192" t="s">
        <v>164</v>
      </c>
      <c r="P151" s="192" t="s">
        <v>24</v>
      </c>
    </row>
    <row r="152" spans="1:16" s="196" customFormat="1" ht="105" x14ac:dyDescent="0.2">
      <c r="A152" s="2">
        <v>2023161</v>
      </c>
      <c r="B152" s="2">
        <v>7658</v>
      </c>
      <c r="C152" s="3" t="s">
        <v>143</v>
      </c>
      <c r="D152" s="191" t="s">
        <v>45</v>
      </c>
      <c r="E152" s="192">
        <v>80111600</v>
      </c>
      <c r="F152" s="191" t="s">
        <v>191</v>
      </c>
      <c r="G152" s="193">
        <v>44941</v>
      </c>
      <c r="H152" s="193">
        <v>44958</v>
      </c>
      <c r="I152" s="191">
        <v>10</v>
      </c>
      <c r="J152" s="191" t="s">
        <v>20</v>
      </c>
      <c r="K152" s="197" t="s">
        <v>21</v>
      </c>
      <c r="L152" s="191" t="s">
        <v>27</v>
      </c>
      <c r="M152" s="188">
        <f>73000000+8300000+10000000</f>
        <v>91300000</v>
      </c>
      <c r="N152" s="192" t="s">
        <v>167</v>
      </c>
      <c r="O152" s="192" t="s">
        <v>164</v>
      </c>
      <c r="P152" s="192" t="s">
        <v>24</v>
      </c>
    </row>
    <row r="153" spans="1:16" s="196" customFormat="1" ht="150" x14ac:dyDescent="0.2">
      <c r="A153" s="2">
        <v>2023162</v>
      </c>
      <c r="B153" s="2">
        <v>7658</v>
      </c>
      <c r="C153" s="3" t="s">
        <v>143</v>
      </c>
      <c r="D153" s="191" t="s">
        <v>45</v>
      </c>
      <c r="E153" s="192">
        <v>80111600</v>
      </c>
      <c r="F153" s="191" t="s">
        <v>192</v>
      </c>
      <c r="G153" s="193">
        <v>44941</v>
      </c>
      <c r="H153" s="193">
        <v>44958</v>
      </c>
      <c r="I153" s="191">
        <v>9</v>
      </c>
      <c r="J153" s="191" t="s">
        <v>20</v>
      </c>
      <c r="K153" s="197" t="s">
        <v>21</v>
      </c>
      <c r="L153" s="191" t="s">
        <v>27</v>
      </c>
      <c r="M153" s="188">
        <f>61200000+20912500+46475000-3150000-7500000-500-7425000-11512000</f>
        <v>99000000</v>
      </c>
      <c r="N153" s="192" t="s">
        <v>167</v>
      </c>
      <c r="O153" s="192" t="s">
        <v>164</v>
      </c>
      <c r="P153" s="192" t="s">
        <v>24</v>
      </c>
    </row>
    <row r="154" spans="1:16" s="196" customFormat="1" ht="75" x14ac:dyDescent="0.2">
      <c r="A154" s="2">
        <v>2023163</v>
      </c>
      <c r="B154" s="2">
        <v>7655</v>
      </c>
      <c r="C154" s="3" t="s">
        <v>25</v>
      </c>
      <c r="D154" s="191" t="s">
        <v>193</v>
      </c>
      <c r="E154" s="192">
        <v>80111600</v>
      </c>
      <c r="F154" s="191" t="s">
        <v>194</v>
      </c>
      <c r="G154" s="193">
        <v>44927</v>
      </c>
      <c r="H154" s="193">
        <v>44944</v>
      </c>
      <c r="I154" s="191">
        <v>12</v>
      </c>
      <c r="J154" s="191" t="s">
        <v>20</v>
      </c>
      <c r="K154" s="197" t="s">
        <v>21</v>
      </c>
      <c r="L154" s="191" t="s">
        <v>27</v>
      </c>
      <c r="M154" s="230">
        <f>39476435-13158811</f>
        <v>26317624</v>
      </c>
      <c r="N154" s="192" t="s">
        <v>28</v>
      </c>
      <c r="O154" s="192" t="s">
        <v>29</v>
      </c>
      <c r="P154" s="192" t="s">
        <v>24</v>
      </c>
    </row>
    <row r="155" spans="1:16" s="196" customFormat="1" ht="60" x14ac:dyDescent="0.2">
      <c r="A155" s="2">
        <v>2023164</v>
      </c>
      <c r="B155" s="2">
        <v>7655</v>
      </c>
      <c r="C155" s="3" t="s">
        <v>25</v>
      </c>
      <c r="D155" s="191" t="s">
        <v>193</v>
      </c>
      <c r="E155" s="192">
        <v>80111600</v>
      </c>
      <c r="F155" s="191" t="s">
        <v>195</v>
      </c>
      <c r="G155" s="193">
        <v>44927</v>
      </c>
      <c r="H155" s="193">
        <v>44944</v>
      </c>
      <c r="I155" s="191">
        <v>12</v>
      </c>
      <c r="J155" s="191" t="s">
        <v>20</v>
      </c>
      <c r="K155" s="197" t="s">
        <v>21</v>
      </c>
      <c r="L155" s="191" t="s">
        <v>27</v>
      </c>
      <c r="M155" s="230">
        <f>45696996-22848498</f>
        <v>22848498</v>
      </c>
      <c r="N155" s="192" t="s">
        <v>28</v>
      </c>
      <c r="O155" s="192" t="s">
        <v>29</v>
      </c>
      <c r="P155" s="192" t="s">
        <v>24</v>
      </c>
    </row>
    <row r="156" spans="1:16" s="196" customFormat="1" ht="60" x14ac:dyDescent="0.2">
      <c r="A156" s="2">
        <v>2023165</v>
      </c>
      <c r="B156" s="2">
        <v>7655</v>
      </c>
      <c r="C156" s="3" t="s">
        <v>25</v>
      </c>
      <c r="D156" s="191" t="s">
        <v>193</v>
      </c>
      <c r="E156" s="192">
        <v>80111600</v>
      </c>
      <c r="F156" s="191" t="s">
        <v>195</v>
      </c>
      <c r="G156" s="193">
        <v>44927</v>
      </c>
      <c r="H156" s="193">
        <v>44944</v>
      </c>
      <c r="I156" s="191">
        <v>12</v>
      </c>
      <c r="J156" s="191" t="s">
        <v>20</v>
      </c>
      <c r="K156" s="197" t="s">
        <v>21</v>
      </c>
      <c r="L156" s="191" t="s">
        <v>27</v>
      </c>
      <c r="M156" s="230">
        <f>79350996-26450332</f>
        <v>52900664</v>
      </c>
      <c r="N156" s="192" t="s">
        <v>28</v>
      </c>
      <c r="O156" s="192" t="s">
        <v>29</v>
      </c>
      <c r="P156" s="192" t="s">
        <v>24</v>
      </c>
    </row>
    <row r="157" spans="1:16" s="196" customFormat="1" ht="60" x14ac:dyDescent="0.2">
      <c r="A157" s="2">
        <v>2023166</v>
      </c>
      <c r="B157" s="2">
        <v>7655</v>
      </c>
      <c r="C157" s="3" t="s">
        <v>25</v>
      </c>
      <c r="D157" s="191" t="s">
        <v>193</v>
      </c>
      <c r="E157" s="192">
        <v>80111600</v>
      </c>
      <c r="F157" s="191" t="s">
        <v>195</v>
      </c>
      <c r="G157" s="193">
        <v>44927</v>
      </c>
      <c r="H157" s="193">
        <v>44944</v>
      </c>
      <c r="I157" s="191">
        <v>12</v>
      </c>
      <c r="J157" s="191" t="s">
        <v>20</v>
      </c>
      <c r="K157" s="197" t="s">
        <v>21</v>
      </c>
      <c r="L157" s="191" t="s">
        <v>27</v>
      </c>
      <c r="M157" s="230">
        <f>79350996-39675498</f>
        <v>39675498</v>
      </c>
      <c r="N157" s="192" t="s">
        <v>28</v>
      </c>
      <c r="O157" s="192" t="s">
        <v>29</v>
      </c>
      <c r="P157" s="192" t="s">
        <v>24</v>
      </c>
    </row>
    <row r="158" spans="1:16" s="196" customFormat="1" ht="60" x14ac:dyDescent="0.2">
      <c r="A158" s="2">
        <v>2023167</v>
      </c>
      <c r="B158" s="2">
        <v>7655</v>
      </c>
      <c r="C158" s="3" t="s">
        <v>25</v>
      </c>
      <c r="D158" s="191" t="s">
        <v>193</v>
      </c>
      <c r="E158" s="192">
        <v>80111600</v>
      </c>
      <c r="F158" s="191" t="s">
        <v>195</v>
      </c>
      <c r="G158" s="193">
        <v>44927</v>
      </c>
      <c r="H158" s="193">
        <v>44958</v>
      </c>
      <c r="I158" s="191">
        <v>12</v>
      </c>
      <c r="J158" s="191" t="s">
        <v>20</v>
      </c>
      <c r="K158" s="197" t="s">
        <v>21</v>
      </c>
      <c r="L158" s="191" t="s">
        <v>27</v>
      </c>
      <c r="M158" s="230">
        <f>79130577-39675498</f>
        <v>39455079</v>
      </c>
      <c r="N158" s="192" t="s">
        <v>28</v>
      </c>
      <c r="O158" s="192" t="s">
        <v>29</v>
      </c>
      <c r="P158" s="192" t="s">
        <v>24</v>
      </c>
    </row>
    <row r="159" spans="1:16" s="196" customFormat="1" ht="60" x14ac:dyDescent="0.2">
      <c r="A159" s="2">
        <v>2023169</v>
      </c>
      <c r="B159" s="2">
        <v>7655</v>
      </c>
      <c r="C159" s="3" t="s">
        <v>25</v>
      </c>
      <c r="D159" s="191" t="s">
        <v>196</v>
      </c>
      <c r="E159" s="192">
        <v>80111600</v>
      </c>
      <c r="F159" s="191" t="s">
        <v>197</v>
      </c>
      <c r="G159" s="193">
        <v>44986</v>
      </c>
      <c r="H159" s="193">
        <v>45016</v>
      </c>
      <c r="I159" s="191">
        <v>10</v>
      </c>
      <c r="J159" s="191" t="s">
        <v>20</v>
      </c>
      <c r="K159" s="197" t="s">
        <v>21</v>
      </c>
      <c r="L159" s="191" t="s">
        <v>27</v>
      </c>
      <c r="M159" s="230">
        <f>28000000+3673600</f>
        <v>31673600</v>
      </c>
      <c r="N159" s="192" t="s">
        <v>28</v>
      </c>
      <c r="O159" s="192" t="s">
        <v>29</v>
      </c>
      <c r="P159" s="192" t="s">
        <v>24</v>
      </c>
    </row>
    <row r="160" spans="1:16" s="196" customFormat="1" ht="75" x14ac:dyDescent="0.2">
      <c r="A160" s="2">
        <v>2023170</v>
      </c>
      <c r="B160" s="2">
        <v>7655</v>
      </c>
      <c r="C160" s="3" t="s">
        <v>25</v>
      </c>
      <c r="D160" s="191" t="s">
        <v>196</v>
      </c>
      <c r="E160" s="192">
        <v>80111600</v>
      </c>
      <c r="F160" s="191" t="s">
        <v>198</v>
      </c>
      <c r="G160" s="193">
        <v>44986</v>
      </c>
      <c r="H160" s="193">
        <v>45016</v>
      </c>
      <c r="I160" s="191">
        <v>5</v>
      </c>
      <c r="J160" s="191" t="s">
        <v>20</v>
      </c>
      <c r="K160" s="197" t="s">
        <v>21</v>
      </c>
      <c r="L160" s="191" t="s">
        <v>27</v>
      </c>
      <c r="M160" s="230">
        <v>35600000</v>
      </c>
      <c r="N160" s="192" t="s">
        <v>28</v>
      </c>
      <c r="O160" s="192" t="s">
        <v>29</v>
      </c>
      <c r="P160" s="192" t="s">
        <v>24</v>
      </c>
    </row>
    <row r="161" spans="1:16" s="196" customFormat="1" ht="90" x14ac:dyDescent="0.2">
      <c r="A161" s="2">
        <v>2023171</v>
      </c>
      <c r="B161" s="2">
        <v>7655</v>
      </c>
      <c r="C161" s="3" t="s">
        <v>25</v>
      </c>
      <c r="D161" s="191" t="s">
        <v>196</v>
      </c>
      <c r="E161" s="192">
        <v>80111600</v>
      </c>
      <c r="F161" s="191" t="s">
        <v>199</v>
      </c>
      <c r="G161" s="193">
        <v>44986</v>
      </c>
      <c r="H161" s="193">
        <v>45016</v>
      </c>
      <c r="I161" s="191">
        <v>4</v>
      </c>
      <c r="J161" s="191" t="s">
        <v>20</v>
      </c>
      <c r="K161" s="197" t="s">
        <v>21</v>
      </c>
      <c r="L161" s="191" t="s">
        <v>27</v>
      </c>
      <c r="M161" s="230">
        <f>27960000+9320000</f>
        <v>37280000</v>
      </c>
      <c r="N161" s="192" t="s">
        <v>28</v>
      </c>
      <c r="O161" s="192" t="s">
        <v>29</v>
      </c>
      <c r="P161" s="192" t="s">
        <v>24</v>
      </c>
    </row>
    <row r="162" spans="1:16" s="196" customFormat="1" ht="75" x14ac:dyDescent="0.2">
      <c r="A162" s="2">
        <v>2023172</v>
      </c>
      <c r="B162" s="2">
        <v>7655</v>
      </c>
      <c r="C162" s="3" t="s">
        <v>25</v>
      </c>
      <c r="D162" s="191" t="s">
        <v>196</v>
      </c>
      <c r="E162" s="192">
        <v>80111600</v>
      </c>
      <c r="F162" s="191" t="s">
        <v>200</v>
      </c>
      <c r="G162" s="193">
        <v>44986</v>
      </c>
      <c r="H162" s="193">
        <v>45016</v>
      </c>
      <c r="I162" s="191">
        <v>10</v>
      </c>
      <c r="J162" s="191" t="s">
        <v>20</v>
      </c>
      <c r="K162" s="197" t="s">
        <v>21</v>
      </c>
      <c r="L162" s="191" t="s">
        <v>27</v>
      </c>
      <c r="M162" s="230">
        <f>52800000-17800000</f>
        <v>35000000</v>
      </c>
      <c r="N162" s="192" t="s">
        <v>28</v>
      </c>
      <c r="O162" s="192" t="s">
        <v>29</v>
      </c>
      <c r="P162" s="192" t="s">
        <v>24</v>
      </c>
    </row>
    <row r="163" spans="1:16" s="196" customFormat="1" ht="105" x14ac:dyDescent="0.2">
      <c r="A163" s="2">
        <v>2023173</v>
      </c>
      <c r="B163" s="2">
        <v>7655</v>
      </c>
      <c r="C163" s="3" t="s">
        <v>25</v>
      </c>
      <c r="D163" s="191" t="s">
        <v>196</v>
      </c>
      <c r="E163" s="192">
        <v>80111600</v>
      </c>
      <c r="F163" s="191" t="s">
        <v>201</v>
      </c>
      <c r="G163" s="193">
        <v>44986</v>
      </c>
      <c r="H163" s="193">
        <v>45016</v>
      </c>
      <c r="I163" s="191">
        <v>10</v>
      </c>
      <c r="J163" s="191" t="s">
        <v>20</v>
      </c>
      <c r="K163" s="197" t="s">
        <v>21</v>
      </c>
      <c r="L163" s="191" t="s">
        <v>27</v>
      </c>
      <c r="M163" s="230">
        <v>38500000</v>
      </c>
      <c r="N163" s="192" t="s">
        <v>28</v>
      </c>
      <c r="O163" s="192" t="s">
        <v>29</v>
      </c>
      <c r="P163" s="192" t="s">
        <v>24</v>
      </c>
    </row>
    <row r="164" spans="1:16" s="196" customFormat="1" ht="60" x14ac:dyDescent="0.2">
      <c r="A164" s="2">
        <v>2023174</v>
      </c>
      <c r="B164" s="2">
        <v>7655</v>
      </c>
      <c r="C164" s="3" t="s">
        <v>25</v>
      </c>
      <c r="D164" s="191" t="s">
        <v>196</v>
      </c>
      <c r="E164" s="192">
        <v>80111600</v>
      </c>
      <c r="F164" s="191" t="s">
        <v>202</v>
      </c>
      <c r="G164" s="193">
        <v>44986</v>
      </c>
      <c r="H164" s="193">
        <v>45016</v>
      </c>
      <c r="I164" s="191">
        <v>7</v>
      </c>
      <c r="J164" s="191" t="s">
        <v>20</v>
      </c>
      <c r="K164" s="197" t="s">
        <v>21</v>
      </c>
      <c r="L164" s="191" t="s">
        <v>27</v>
      </c>
      <c r="M164" s="230">
        <v>25200000</v>
      </c>
      <c r="N164" s="192" t="s">
        <v>28</v>
      </c>
      <c r="O164" s="192" t="s">
        <v>29</v>
      </c>
      <c r="P164" s="192" t="s">
        <v>24</v>
      </c>
    </row>
    <row r="165" spans="1:16" s="196" customFormat="1" ht="90" x14ac:dyDescent="0.2">
      <c r="A165" s="2">
        <v>2023175</v>
      </c>
      <c r="B165" s="2">
        <v>7655</v>
      </c>
      <c r="C165" s="3" t="s">
        <v>25</v>
      </c>
      <c r="D165" s="191" t="s">
        <v>196</v>
      </c>
      <c r="E165" s="192">
        <v>80111600</v>
      </c>
      <c r="F165" s="191" t="s">
        <v>203</v>
      </c>
      <c r="G165" s="193">
        <v>44986</v>
      </c>
      <c r="H165" s="193">
        <v>45016</v>
      </c>
      <c r="I165" s="191">
        <v>8</v>
      </c>
      <c r="J165" s="191" t="s">
        <v>20</v>
      </c>
      <c r="K165" s="197" t="s">
        <v>21</v>
      </c>
      <c r="L165" s="191" t="s">
        <v>27</v>
      </c>
      <c r="M165" s="230">
        <v>48000000</v>
      </c>
      <c r="N165" s="192" t="s">
        <v>28</v>
      </c>
      <c r="O165" s="192" t="s">
        <v>29</v>
      </c>
      <c r="P165" s="192" t="s">
        <v>24</v>
      </c>
    </row>
    <row r="166" spans="1:16" s="196" customFormat="1" ht="60" x14ac:dyDescent="0.2">
      <c r="A166" s="2">
        <v>2023176</v>
      </c>
      <c r="B166" s="2">
        <v>7655</v>
      </c>
      <c r="C166" s="3" t="s">
        <v>25</v>
      </c>
      <c r="D166" s="191" t="s">
        <v>196</v>
      </c>
      <c r="E166" s="192">
        <v>80111600</v>
      </c>
      <c r="F166" s="191" t="s">
        <v>204</v>
      </c>
      <c r="G166" s="193">
        <v>44986</v>
      </c>
      <c r="H166" s="193">
        <v>45016</v>
      </c>
      <c r="I166" s="191">
        <v>10</v>
      </c>
      <c r="J166" s="191" t="s">
        <v>20</v>
      </c>
      <c r="K166" s="197" t="s">
        <v>21</v>
      </c>
      <c r="L166" s="191" t="s">
        <v>27</v>
      </c>
      <c r="M166" s="230">
        <f>23000000+7000000</f>
        <v>30000000</v>
      </c>
      <c r="N166" s="192" t="s">
        <v>28</v>
      </c>
      <c r="O166" s="192" t="s">
        <v>29</v>
      </c>
      <c r="P166" s="192" t="s">
        <v>24</v>
      </c>
    </row>
    <row r="167" spans="1:16" s="196" customFormat="1" ht="75" x14ac:dyDescent="0.2">
      <c r="A167" s="2">
        <v>2023178</v>
      </c>
      <c r="B167" s="2">
        <v>7655</v>
      </c>
      <c r="C167" s="3" t="s">
        <v>25</v>
      </c>
      <c r="D167" s="191" t="s">
        <v>205</v>
      </c>
      <c r="E167" s="192">
        <v>80111600</v>
      </c>
      <c r="F167" s="191" t="s">
        <v>707</v>
      </c>
      <c r="G167" s="193">
        <v>45122</v>
      </c>
      <c r="H167" s="193">
        <v>45139</v>
      </c>
      <c r="I167" s="191">
        <v>5</v>
      </c>
      <c r="J167" s="191" t="s">
        <v>20</v>
      </c>
      <c r="K167" s="197" t="s">
        <v>21</v>
      </c>
      <c r="L167" s="191" t="s">
        <v>27</v>
      </c>
      <c r="M167" s="230">
        <f>35479000-24500000-10979000+16560000+19561500+31311500+20700000+6205000+100000+1700000+6862000-10175000-5661480-13610000-22500000-13750000-13750000-3515000-2288520</f>
        <v>17750000</v>
      </c>
      <c r="N167" s="192" t="s">
        <v>28</v>
      </c>
      <c r="O167" s="192" t="s">
        <v>29</v>
      </c>
      <c r="P167" s="192" t="s">
        <v>24</v>
      </c>
    </row>
    <row r="168" spans="1:16" s="196" customFormat="1" ht="75" x14ac:dyDescent="0.2">
      <c r="A168" s="2">
        <v>2023179</v>
      </c>
      <c r="B168" s="2">
        <v>7655</v>
      </c>
      <c r="C168" s="3" t="s">
        <v>25</v>
      </c>
      <c r="D168" s="191" t="s">
        <v>205</v>
      </c>
      <c r="E168" s="192">
        <v>80111600</v>
      </c>
      <c r="F168" s="191" t="s">
        <v>729</v>
      </c>
      <c r="G168" s="193">
        <v>45153</v>
      </c>
      <c r="H168" s="193">
        <v>45161</v>
      </c>
      <c r="I168" s="191">
        <v>2</v>
      </c>
      <c r="J168" s="191" t="s">
        <v>20</v>
      </c>
      <c r="K168" s="197" t="s">
        <v>21</v>
      </c>
      <c r="L168" s="191" t="s">
        <v>27</v>
      </c>
      <c r="M168" s="230">
        <f>117550000-3673600-7000000-28000000-36380000-10740000-14700000-9021000-8035400+14500000-3661480+5661480-14240000+2500000+2288520+62880+1000000+218200+1000000</f>
        <v>9329600</v>
      </c>
      <c r="N168" s="192" t="s">
        <v>28</v>
      </c>
      <c r="O168" s="192" t="s">
        <v>29</v>
      </c>
      <c r="P168" s="192" t="s">
        <v>24</v>
      </c>
    </row>
    <row r="169" spans="1:16" s="196" customFormat="1" ht="75" x14ac:dyDescent="0.2">
      <c r="A169" s="2">
        <v>2023181</v>
      </c>
      <c r="B169" s="2">
        <v>7655</v>
      </c>
      <c r="C169" s="3" t="s">
        <v>25</v>
      </c>
      <c r="D169" s="191" t="s">
        <v>205</v>
      </c>
      <c r="E169" s="192">
        <v>80111600</v>
      </c>
      <c r="F169" s="191" t="s">
        <v>206</v>
      </c>
      <c r="G169" s="193">
        <v>44986</v>
      </c>
      <c r="H169" s="193">
        <v>45016</v>
      </c>
      <c r="I169" s="191">
        <v>8</v>
      </c>
      <c r="J169" s="191" t="s">
        <v>20</v>
      </c>
      <c r="K169" s="197" t="s">
        <v>21</v>
      </c>
      <c r="L169" s="191" t="s">
        <v>27</v>
      </c>
      <c r="M169" s="230">
        <f>72000000+2560000</f>
        <v>74560000</v>
      </c>
      <c r="N169" s="192" t="s">
        <v>28</v>
      </c>
      <c r="O169" s="192" t="s">
        <v>29</v>
      </c>
      <c r="P169" s="192" t="s">
        <v>24</v>
      </c>
    </row>
    <row r="170" spans="1:16" s="196" customFormat="1" ht="60" x14ac:dyDescent="0.2">
      <c r="A170" s="2">
        <v>2023182</v>
      </c>
      <c r="B170" s="2">
        <v>7655</v>
      </c>
      <c r="C170" s="3" t="s">
        <v>25</v>
      </c>
      <c r="D170" s="191" t="s">
        <v>205</v>
      </c>
      <c r="E170" s="192">
        <v>80111600</v>
      </c>
      <c r="F170" s="191" t="s">
        <v>207</v>
      </c>
      <c r="G170" s="193">
        <v>44986</v>
      </c>
      <c r="H170" s="193">
        <v>45016</v>
      </c>
      <c r="I170" s="191">
        <v>8</v>
      </c>
      <c r="J170" s="191" t="s">
        <v>20</v>
      </c>
      <c r="K170" s="197" t="s">
        <v>21</v>
      </c>
      <c r="L170" s="191" t="s">
        <v>27</v>
      </c>
      <c r="M170" s="230">
        <v>69600000</v>
      </c>
      <c r="N170" s="192" t="s">
        <v>28</v>
      </c>
      <c r="O170" s="192" t="s">
        <v>29</v>
      </c>
      <c r="P170" s="192" t="s">
        <v>24</v>
      </c>
    </row>
    <row r="171" spans="1:16" s="196" customFormat="1" ht="75" x14ac:dyDescent="0.2">
      <c r="A171" s="2">
        <v>2023183</v>
      </c>
      <c r="B171" s="2">
        <v>7655</v>
      </c>
      <c r="C171" s="3" t="s">
        <v>25</v>
      </c>
      <c r="D171" s="191" t="s">
        <v>205</v>
      </c>
      <c r="E171" s="192">
        <v>80111600</v>
      </c>
      <c r="F171" s="191" t="s">
        <v>208</v>
      </c>
      <c r="G171" s="193">
        <v>44986</v>
      </c>
      <c r="H171" s="193">
        <v>45016</v>
      </c>
      <c r="I171" s="191">
        <v>4</v>
      </c>
      <c r="J171" s="191" t="s">
        <v>20</v>
      </c>
      <c r="K171" s="197" t="s">
        <v>21</v>
      </c>
      <c r="L171" s="191" t="s">
        <v>27</v>
      </c>
      <c r="M171" s="230">
        <f>26000000-6000000</f>
        <v>20000000</v>
      </c>
      <c r="N171" s="192" t="s">
        <v>28</v>
      </c>
      <c r="O171" s="192" t="s">
        <v>29</v>
      </c>
      <c r="P171" s="192" t="s">
        <v>24</v>
      </c>
    </row>
    <row r="172" spans="1:16" s="196" customFormat="1" ht="60" x14ac:dyDescent="0.2">
      <c r="A172" s="2">
        <v>2023184</v>
      </c>
      <c r="B172" s="2">
        <v>7655</v>
      </c>
      <c r="C172" s="3" t="s">
        <v>25</v>
      </c>
      <c r="D172" s="191" t="s">
        <v>205</v>
      </c>
      <c r="E172" s="192">
        <v>80111600</v>
      </c>
      <c r="F172" s="191" t="s">
        <v>209</v>
      </c>
      <c r="G172" s="193">
        <v>44986</v>
      </c>
      <c r="H172" s="193">
        <v>45016</v>
      </c>
      <c r="I172" s="191">
        <v>4</v>
      </c>
      <c r="J172" s="191" t="s">
        <v>20</v>
      </c>
      <c r="K172" s="197" t="s">
        <v>21</v>
      </c>
      <c r="L172" s="191" t="s">
        <v>27</v>
      </c>
      <c r="M172" s="230">
        <v>14200000</v>
      </c>
      <c r="N172" s="192" t="s">
        <v>28</v>
      </c>
      <c r="O172" s="192" t="s">
        <v>29</v>
      </c>
      <c r="P172" s="192" t="s">
        <v>24</v>
      </c>
    </row>
    <row r="173" spans="1:16" s="196" customFormat="1" ht="75" x14ac:dyDescent="0.2">
      <c r="A173" s="2">
        <v>2023185</v>
      </c>
      <c r="B173" s="2">
        <v>7655</v>
      </c>
      <c r="C173" s="3" t="s">
        <v>25</v>
      </c>
      <c r="D173" s="191" t="s">
        <v>205</v>
      </c>
      <c r="E173" s="192">
        <v>80111600</v>
      </c>
      <c r="F173" s="191" t="s">
        <v>210</v>
      </c>
      <c r="G173" s="193">
        <v>44986</v>
      </c>
      <c r="H173" s="193">
        <v>45016</v>
      </c>
      <c r="I173" s="191">
        <v>4</v>
      </c>
      <c r="J173" s="191" t="s">
        <v>20</v>
      </c>
      <c r="K173" s="197" t="s">
        <v>21</v>
      </c>
      <c r="L173" s="191" t="s">
        <v>27</v>
      </c>
      <c r="M173" s="230">
        <v>14200000</v>
      </c>
      <c r="N173" s="192" t="s">
        <v>28</v>
      </c>
      <c r="O173" s="192" t="s">
        <v>29</v>
      </c>
      <c r="P173" s="192" t="s">
        <v>24</v>
      </c>
    </row>
    <row r="174" spans="1:16" s="196" customFormat="1" ht="60" x14ac:dyDescent="0.2">
      <c r="A174" s="2">
        <v>2023186</v>
      </c>
      <c r="B174" s="2">
        <v>7655</v>
      </c>
      <c r="C174" s="3" t="s">
        <v>25</v>
      </c>
      <c r="D174" s="191" t="s">
        <v>205</v>
      </c>
      <c r="E174" s="192">
        <v>80111600</v>
      </c>
      <c r="F174" s="191" t="s">
        <v>211</v>
      </c>
      <c r="G174" s="193">
        <v>44986</v>
      </c>
      <c r="H174" s="193">
        <v>45016</v>
      </c>
      <c r="I174" s="191">
        <v>8</v>
      </c>
      <c r="J174" s="191" t="s">
        <v>20</v>
      </c>
      <c r="K174" s="197" t="s">
        <v>21</v>
      </c>
      <c r="L174" s="191" t="s">
        <v>27</v>
      </c>
      <c r="M174" s="230">
        <v>28400000</v>
      </c>
      <c r="N174" s="192" t="s">
        <v>28</v>
      </c>
      <c r="O174" s="192" t="s">
        <v>29</v>
      </c>
      <c r="P174" s="192" t="s">
        <v>24</v>
      </c>
    </row>
    <row r="175" spans="1:16" s="196" customFormat="1" ht="60" x14ac:dyDescent="0.2">
      <c r="A175" s="2">
        <v>2023187</v>
      </c>
      <c r="B175" s="2">
        <v>7655</v>
      </c>
      <c r="C175" s="3" t="s">
        <v>25</v>
      </c>
      <c r="D175" s="191" t="s">
        <v>205</v>
      </c>
      <c r="E175" s="192">
        <v>80111600</v>
      </c>
      <c r="F175" s="191" t="s">
        <v>212</v>
      </c>
      <c r="G175" s="193">
        <v>44986</v>
      </c>
      <c r="H175" s="193">
        <v>45016</v>
      </c>
      <c r="I175" s="191">
        <v>8</v>
      </c>
      <c r="J175" s="191" t="s">
        <v>20</v>
      </c>
      <c r="K175" s="197" t="s">
        <v>21</v>
      </c>
      <c r="L175" s="191" t="s">
        <v>27</v>
      </c>
      <c r="M175" s="230">
        <v>40000000</v>
      </c>
      <c r="N175" s="192" t="s">
        <v>28</v>
      </c>
      <c r="O175" s="192" t="s">
        <v>29</v>
      </c>
      <c r="P175" s="192" t="s">
        <v>24</v>
      </c>
    </row>
    <row r="176" spans="1:16" s="196" customFormat="1" ht="90" x14ac:dyDescent="0.2">
      <c r="A176" s="2">
        <v>2023188</v>
      </c>
      <c r="B176" s="2">
        <v>7655</v>
      </c>
      <c r="C176" s="3" t="s">
        <v>25</v>
      </c>
      <c r="D176" s="191" t="s">
        <v>205</v>
      </c>
      <c r="E176" s="192">
        <v>80111600</v>
      </c>
      <c r="F176" s="191" t="s">
        <v>213</v>
      </c>
      <c r="G176" s="193">
        <v>44986</v>
      </c>
      <c r="H176" s="193">
        <v>45016</v>
      </c>
      <c r="I176" s="191">
        <v>8</v>
      </c>
      <c r="J176" s="191" t="s">
        <v>20</v>
      </c>
      <c r="K176" s="197" t="s">
        <v>21</v>
      </c>
      <c r="L176" s="191" t="s">
        <v>27</v>
      </c>
      <c r="M176" s="230">
        <f>28400000+35000000-133333-11266667</f>
        <v>52000000</v>
      </c>
      <c r="N176" s="192" t="s">
        <v>28</v>
      </c>
      <c r="O176" s="192" t="s">
        <v>29</v>
      </c>
      <c r="P176" s="192" t="s">
        <v>24</v>
      </c>
    </row>
    <row r="177" spans="1:16" s="196" customFormat="1" ht="60" x14ac:dyDescent="0.2">
      <c r="A177" s="2">
        <v>2023189</v>
      </c>
      <c r="B177" s="2">
        <v>7655</v>
      </c>
      <c r="C177" s="3" t="s">
        <v>25</v>
      </c>
      <c r="D177" s="191" t="s">
        <v>205</v>
      </c>
      <c r="E177" s="192">
        <v>80111600</v>
      </c>
      <c r="F177" s="191" t="s">
        <v>214</v>
      </c>
      <c r="G177" s="193">
        <v>44986</v>
      </c>
      <c r="H177" s="193">
        <v>45016</v>
      </c>
      <c r="I177" s="191">
        <v>8</v>
      </c>
      <c r="J177" s="191" t="s">
        <v>20</v>
      </c>
      <c r="K177" s="197" t="s">
        <v>21</v>
      </c>
      <c r="L177" s="191" t="s">
        <v>27</v>
      </c>
      <c r="M177" s="230">
        <v>26800000</v>
      </c>
      <c r="N177" s="192" t="s">
        <v>28</v>
      </c>
      <c r="O177" s="192" t="s">
        <v>29</v>
      </c>
      <c r="P177" s="192" t="s">
        <v>24</v>
      </c>
    </row>
    <row r="178" spans="1:16" s="196" customFormat="1" ht="60" x14ac:dyDescent="0.2">
      <c r="A178" s="2">
        <v>2023190</v>
      </c>
      <c r="B178" s="2">
        <v>7655</v>
      </c>
      <c r="C178" s="3" t="s">
        <v>25</v>
      </c>
      <c r="D178" s="191" t="s">
        <v>205</v>
      </c>
      <c r="E178" s="192">
        <v>80111600</v>
      </c>
      <c r="F178" s="191" t="s">
        <v>214</v>
      </c>
      <c r="G178" s="193">
        <v>44986</v>
      </c>
      <c r="H178" s="193">
        <v>45016</v>
      </c>
      <c r="I178" s="191">
        <v>8</v>
      </c>
      <c r="J178" s="191" t="s">
        <v>20</v>
      </c>
      <c r="K178" s="197" t="s">
        <v>21</v>
      </c>
      <c r="L178" s="191" t="s">
        <v>27</v>
      </c>
      <c r="M178" s="230">
        <f>22000000-12400000</f>
        <v>9600000</v>
      </c>
      <c r="N178" s="192" t="s">
        <v>28</v>
      </c>
      <c r="O178" s="192" t="s">
        <v>29</v>
      </c>
      <c r="P178" s="192" t="s">
        <v>24</v>
      </c>
    </row>
    <row r="179" spans="1:16" s="196" customFormat="1" ht="60" x14ac:dyDescent="0.2">
      <c r="A179" s="2">
        <v>2023191</v>
      </c>
      <c r="B179" s="2">
        <v>7655</v>
      </c>
      <c r="C179" s="3" t="s">
        <v>25</v>
      </c>
      <c r="D179" s="191" t="s">
        <v>205</v>
      </c>
      <c r="E179" s="192">
        <v>80111600</v>
      </c>
      <c r="F179" s="191" t="s">
        <v>215</v>
      </c>
      <c r="G179" s="193">
        <v>44986</v>
      </c>
      <c r="H179" s="193">
        <v>45016</v>
      </c>
      <c r="I179" s="191">
        <v>7</v>
      </c>
      <c r="J179" s="191" t="s">
        <v>20</v>
      </c>
      <c r="K179" s="197" t="s">
        <v>21</v>
      </c>
      <c r="L179" s="191" t="s">
        <v>27</v>
      </c>
      <c r="M179" s="230">
        <f>22000000-1000000</f>
        <v>21000000</v>
      </c>
      <c r="N179" s="192" t="s">
        <v>28</v>
      </c>
      <c r="O179" s="192" t="s">
        <v>29</v>
      </c>
      <c r="P179" s="192" t="s">
        <v>24</v>
      </c>
    </row>
    <row r="180" spans="1:16" s="196" customFormat="1" ht="75" x14ac:dyDescent="0.2">
      <c r="A180" s="2">
        <v>2023192</v>
      </c>
      <c r="B180" s="2">
        <v>7655</v>
      </c>
      <c r="C180" s="3" t="s">
        <v>25</v>
      </c>
      <c r="D180" s="191" t="s">
        <v>205</v>
      </c>
      <c r="E180" s="192">
        <v>80111600</v>
      </c>
      <c r="F180" s="191" t="s">
        <v>692</v>
      </c>
      <c r="G180" s="193">
        <v>44986</v>
      </c>
      <c r="H180" s="193">
        <v>45016</v>
      </c>
      <c r="I180" s="191">
        <v>3</v>
      </c>
      <c r="J180" s="191" t="s">
        <v>20</v>
      </c>
      <c r="K180" s="197" t="s">
        <v>21</v>
      </c>
      <c r="L180" s="191" t="s">
        <v>27</v>
      </c>
      <c r="M180" s="230">
        <f>8173000-2560000+133333+6000000-11746333+17590000+13610000-8400000-62880</f>
        <v>22737120</v>
      </c>
      <c r="N180" s="192" t="s">
        <v>28</v>
      </c>
      <c r="O180" s="192" t="s">
        <v>29</v>
      </c>
      <c r="P180" s="192" t="s">
        <v>24</v>
      </c>
    </row>
    <row r="181" spans="1:16" s="196" customFormat="1" ht="90" x14ac:dyDescent="0.2">
      <c r="A181" s="2">
        <v>2023193</v>
      </c>
      <c r="B181" s="2">
        <v>7655</v>
      </c>
      <c r="C181" s="3" t="s">
        <v>25</v>
      </c>
      <c r="D181" s="191" t="s">
        <v>216</v>
      </c>
      <c r="E181" s="192">
        <v>80111600</v>
      </c>
      <c r="F181" s="191" t="s">
        <v>217</v>
      </c>
      <c r="G181" s="193">
        <v>44929</v>
      </c>
      <c r="H181" s="193">
        <v>45005</v>
      </c>
      <c r="I181" s="191">
        <v>9</v>
      </c>
      <c r="J181" s="191" t="s">
        <v>20</v>
      </c>
      <c r="K181" s="197" t="s">
        <v>21</v>
      </c>
      <c r="L181" s="191" t="s">
        <v>27</v>
      </c>
      <c r="M181" s="230">
        <v>65700000</v>
      </c>
      <c r="N181" s="192" t="s">
        <v>28</v>
      </c>
      <c r="O181" s="192" t="s">
        <v>29</v>
      </c>
      <c r="P181" s="192" t="s">
        <v>24</v>
      </c>
    </row>
    <row r="182" spans="1:16" s="196" customFormat="1" ht="90" x14ac:dyDescent="0.2">
      <c r="A182" s="2">
        <v>2023194</v>
      </c>
      <c r="B182" s="2">
        <v>7655</v>
      </c>
      <c r="C182" s="3" t="s">
        <v>25</v>
      </c>
      <c r="D182" s="191" t="s">
        <v>216</v>
      </c>
      <c r="E182" s="192">
        <v>80111600</v>
      </c>
      <c r="F182" s="191" t="s">
        <v>218</v>
      </c>
      <c r="G182" s="193">
        <v>44929</v>
      </c>
      <c r="H182" s="193">
        <v>45049</v>
      </c>
      <c r="I182" s="191">
        <v>10</v>
      </c>
      <c r="J182" s="191" t="s">
        <v>20</v>
      </c>
      <c r="K182" s="197" t="s">
        <v>21</v>
      </c>
      <c r="L182" s="191" t="s">
        <v>27</v>
      </c>
      <c r="M182" s="230">
        <v>60000000</v>
      </c>
      <c r="N182" s="192" t="s">
        <v>28</v>
      </c>
      <c r="O182" s="192" t="s">
        <v>29</v>
      </c>
      <c r="P182" s="192" t="s">
        <v>24</v>
      </c>
    </row>
    <row r="183" spans="1:16" s="196" customFormat="1" ht="60" x14ac:dyDescent="0.2">
      <c r="A183" s="2">
        <v>2023195</v>
      </c>
      <c r="B183" s="2">
        <v>7655</v>
      </c>
      <c r="C183" s="3" t="s">
        <v>25</v>
      </c>
      <c r="D183" s="191" t="s">
        <v>216</v>
      </c>
      <c r="E183" s="192">
        <v>80111600</v>
      </c>
      <c r="F183" s="191" t="s">
        <v>219</v>
      </c>
      <c r="G183" s="193">
        <v>44929</v>
      </c>
      <c r="H183" s="193">
        <v>45005</v>
      </c>
      <c r="I183" s="191">
        <v>9</v>
      </c>
      <c r="J183" s="191" t="s">
        <v>20</v>
      </c>
      <c r="K183" s="197" t="s">
        <v>21</v>
      </c>
      <c r="L183" s="191" t="s">
        <v>27</v>
      </c>
      <c r="M183" s="230">
        <f>49500000-11000000</f>
        <v>38500000</v>
      </c>
      <c r="N183" s="192" t="s">
        <v>28</v>
      </c>
      <c r="O183" s="192" t="s">
        <v>29</v>
      </c>
      <c r="P183" s="192" t="s">
        <v>24</v>
      </c>
    </row>
    <row r="184" spans="1:16" s="196" customFormat="1" ht="60" x14ac:dyDescent="0.2">
      <c r="A184" s="2">
        <v>2023196</v>
      </c>
      <c r="B184" s="2">
        <v>7655</v>
      </c>
      <c r="C184" s="3" t="s">
        <v>25</v>
      </c>
      <c r="D184" s="191" t="s">
        <v>216</v>
      </c>
      <c r="E184" s="192">
        <v>80111600</v>
      </c>
      <c r="F184" s="191" t="s">
        <v>219</v>
      </c>
      <c r="G184" s="193">
        <v>44929</v>
      </c>
      <c r="H184" s="193">
        <v>45005</v>
      </c>
      <c r="I184" s="191">
        <v>9</v>
      </c>
      <c r="J184" s="191" t="s">
        <v>20</v>
      </c>
      <c r="K184" s="197" t="s">
        <v>21</v>
      </c>
      <c r="L184" s="191" t="s">
        <v>27</v>
      </c>
      <c r="M184" s="230">
        <f>49500000-11000000</f>
        <v>38500000</v>
      </c>
      <c r="N184" s="192" t="s">
        <v>28</v>
      </c>
      <c r="O184" s="192" t="s">
        <v>29</v>
      </c>
      <c r="P184" s="192" t="s">
        <v>24</v>
      </c>
    </row>
    <row r="185" spans="1:16" s="196" customFormat="1" ht="60" x14ac:dyDescent="0.2">
      <c r="A185" s="2">
        <v>2023197</v>
      </c>
      <c r="B185" s="2">
        <v>7655</v>
      </c>
      <c r="C185" s="3" t="s">
        <v>25</v>
      </c>
      <c r="D185" s="191" t="s">
        <v>216</v>
      </c>
      <c r="E185" s="192">
        <v>80111600</v>
      </c>
      <c r="F185" s="191" t="s">
        <v>219</v>
      </c>
      <c r="G185" s="193">
        <v>44929</v>
      </c>
      <c r="H185" s="193">
        <v>45005</v>
      </c>
      <c r="I185" s="191">
        <v>7</v>
      </c>
      <c r="J185" s="191" t="s">
        <v>20</v>
      </c>
      <c r="K185" s="197" t="s">
        <v>21</v>
      </c>
      <c r="L185" s="191" t="s">
        <v>27</v>
      </c>
      <c r="M185" s="230">
        <v>38500000</v>
      </c>
      <c r="N185" s="192" t="s">
        <v>28</v>
      </c>
      <c r="O185" s="192" t="s">
        <v>29</v>
      </c>
      <c r="P185" s="192" t="s">
        <v>24</v>
      </c>
    </row>
    <row r="186" spans="1:16" s="196" customFormat="1" ht="60" x14ac:dyDescent="0.2">
      <c r="A186" s="2">
        <v>2023198</v>
      </c>
      <c r="B186" s="2">
        <v>7655</v>
      </c>
      <c r="C186" s="3" t="s">
        <v>25</v>
      </c>
      <c r="D186" s="191" t="s">
        <v>216</v>
      </c>
      <c r="E186" s="192">
        <v>80111600</v>
      </c>
      <c r="F186" s="191" t="s">
        <v>219</v>
      </c>
      <c r="G186" s="193">
        <v>44929</v>
      </c>
      <c r="H186" s="193">
        <v>45005</v>
      </c>
      <c r="I186" s="191">
        <v>6</v>
      </c>
      <c r="J186" s="191" t="s">
        <v>20</v>
      </c>
      <c r="K186" s="197" t="s">
        <v>21</v>
      </c>
      <c r="L186" s="191" t="s">
        <v>27</v>
      </c>
      <c r="M186" s="230">
        <v>33000000</v>
      </c>
      <c r="N186" s="192" t="s">
        <v>28</v>
      </c>
      <c r="O186" s="192" t="s">
        <v>29</v>
      </c>
      <c r="P186" s="192" t="s">
        <v>24</v>
      </c>
    </row>
    <row r="187" spans="1:16" s="196" customFormat="1" ht="75" x14ac:dyDescent="0.2">
      <c r="A187" s="2">
        <v>2023199</v>
      </c>
      <c r="B187" s="2">
        <v>7655</v>
      </c>
      <c r="C187" s="3" t="s">
        <v>25</v>
      </c>
      <c r="D187" s="191" t="s">
        <v>216</v>
      </c>
      <c r="E187" s="192">
        <v>80111600</v>
      </c>
      <c r="F187" s="191" t="s">
        <v>220</v>
      </c>
      <c r="G187" s="193">
        <v>44941</v>
      </c>
      <c r="H187" s="193">
        <v>44946</v>
      </c>
      <c r="I187" s="191">
        <v>9.5</v>
      </c>
      <c r="J187" s="191" t="s">
        <v>20</v>
      </c>
      <c r="K187" s="197" t="s">
        <v>21</v>
      </c>
      <c r="L187" s="191" t="s">
        <v>27</v>
      </c>
      <c r="M187" s="230">
        <v>26308000</v>
      </c>
      <c r="N187" s="192" t="s">
        <v>28</v>
      </c>
      <c r="O187" s="192" t="s">
        <v>29</v>
      </c>
      <c r="P187" s="192" t="s">
        <v>24</v>
      </c>
    </row>
    <row r="188" spans="1:16" s="196" customFormat="1" ht="90" x14ac:dyDescent="0.2">
      <c r="A188" s="2">
        <v>2023200</v>
      </c>
      <c r="B188" s="2">
        <v>7655</v>
      </c>
      <c r="C188" s="3" t="s">
        <v>25</v>
      </c>
      <c r="D188" s="191" t="s">
        <v>216</v>
      </c>
      <c r="E188" s="192">
        <v>80111600</v>
      </c>
      <c r="F188" s="192" t="s">
        <v>221</v>
      </c>
      <c r="G188" s="193">
        <v>44928</v>
      </c>
      <c r="H188" s="193">
        <v>44941</v>
      </c>
      <c r="I188" s="191">
        <v>9.5</v>
      </c>
      <c r="J188" s="191" t="s">
        <v>20</v>
      </c>
      <c r="K188" s="197" t="s">
        <v>21</v>
      </c>
      <c r="L188" s="191" t="s">
        <v>27</v>
      </c>
      <c r="M188" s="230">
        <v>31350000</v>
      </c>
      <c r="N188" s="192" t="s">
        <v>28</v>
      </c>
      <c r="O188" s="192" t="s">
        <v>29</v>
      </c>
      <c r="P188" s="192" t="s">
        <v>24</v>
      </c>
    </row>
    <row r="189" spans="1:16" s="196" customFormat="1" ht="90" x14ac:dyDescent="0.2">
      <c r="A189" s="2">
        <v>2023201</v>
      </c>
      <c r="B189" s="2">
        <v>7658</v>
      </c>
      <c r="C189" s="3" t="s">
        <v>143</v>
      </c>
      <c r="D189" s="191" t="s">
        <v>222</v>
      </c>
      <c r="E189" s="192">
        <v>78181500</v>
      </c>
      <c r="F189" s="191" t="s">
        <v>223</v>
      </c>
      <c r="G189" s="193">
        <v>44986</v>
      </c>
      <c r="H189" s="193">
        <v>45031</v>
      </c>
      <c r="I189" s="191">
        <v>12</v>
      </c>
      <c r="J189" s="191" t="s">
        <v>160</v>
      </c>
      <c r="K189" s="197" t="s">
        <v>21</v>
      </c>
      <c r="L189" s="191" t="s">
        <v>224</v>
      </c>
      <c r="M189" s="188">
        <f>4010000000-310000000-150000000-550000000</f>
        <v>3000000000</v>
      </c>
      <c r="N189" s="192" t="s">
        <v>225</v>
      </c>
      <c r="O189" s="192" t="s">
        <v>164</v>
      </c>
      <c r="P189" s="192" t="s">
        <v>24</v>
      </c>
    </row>
    <row r="190" spans="1:16" s="196" customFormat="1" ht="90" x14ac:dyDescent="0.2">
      <c r="A190" s="2">
        <v>2023202</v>
      </c>
      <c r="B190" s="2">
        <v>7658</v>
      </c>
      <c r="C190" s="3" t="s">
        <v>143</v>
      </c>
      <c r="D190" s="191" t="s">
        <v>222</v>
      </c>
      <c r="E190" s="192">
        <v>25172500</v>
      </c>
      <c r="F190" s="191" t="s">
        <v>226</v>
      </c>
      <c r="G190" s="193">
        <v>44958</v>
      </c>
      <c r="H190" s="193">
        <v>44977</v>
      </c>
      <c r="I190" s="191">
        <v>12</v>
      </c>
      <c r="J190" s="191" t="s">
        <v>102</v>
      </c>
      <c r="K190" s="197" t="s">
        <v>21</v>
      </c>
      <c r="L190" s="191" t="s">
        <v>162</v>
      </c>
      <c r="M190" s="188">
        <f>150000000-20000000</f>
        <v>130000000</v>
      </c>
      <c r="N190" s="192" t="s">
        <v>225</v>
      </c>
      <c r="O190" s="192" t="s">
        <v>164</v>
      </c>
      <c r="P190" s="192" t="s">
        <v>24</v>
      </c>
    </row>
    <row r="191" spans="1:16" s="196" customFormat="1" ht="90" x14ac:dyDescent="0.2">
      <c r="A191" s="2">
        <v>2023203</v>
      </c>
      <c r="B191" s="2">
        <v>7658</v>
      </c>
      <c r="C191" s="3" t="s">
        <v>143</v>
      </c>
      <c r="D191" s="191" t="s">
        <v>222</v>
      </c>
      <c r="E191" s="192">
        <v>15101500</v>
      </c>
      <c r="F191" s="191" t="s">
        <v>227</v>
      </c>
      <c r="G191" s="193">
        <v>44958</v>
      </c>
      <c r="H191" s="193">
        <v>44972</v>
      </c>
      <c r="I191" s="191">
        <v>12</v>
      </c>
      <c r="J191" s="191" t="s">
        <v>67</v>
      </c>
      <c r="K191" s="197" t="s">
        <v>21</v>
      </c>
      <c r="L191" s="191" t="s">
        <v>228</v>
      </c>
      <c r="M191" s="188">
        <f>1100000000-100000000</f>
        <v>1000000000</v>
      </c>
      <c r="N191" s="192" t="s">
        <v>225</v>
      </c>
      <c r="O191" s="192" t="s">
        <v>164</v>
      </c>
      <c r="P191" s="192" t="s">
        <v>24</v>
      </c>
    </row>
    <row r="192" spans="1:16" s="196" customFormat="1" ht="90" x14ac:dyDescent="0.2">
      <c r="A192" s="2">
        <v>2023204</v>
      </c>
      <c r="B192" s="2">
        <v>7658</v>
      </c>
      <c r="C192" s="3" t="s">
        <v>143</v>
      </c>
      <c r="D192" s="191" t="s">
        <v>222</v>
      </c>
      <c r="E192" s="192" t="s">
        <v>229</v>
      </c>
      <c r="F192" s="191" t="s">
        <v>691</v>
      </c>
      <c r="G192" s="193">
        <v>45139</v>
      </c>
      <c r="H192" s="193">
        <v>45139</v>
      </c>
      <c r="I192" s="191">
        <v>8</v>
      </c>
      <c r="J192" s="191" t="s">
        <v>102</v>
      </c>
      <c r="K192" s="197" t="s">
        <v>21</v>
      </c>
      <c r="L192" s="191" t="s">
        <v>162</v>
      </c>
      <c r="M192" s="188">
        <f>150000000-20000000-10000000</f>
        <v>120000000</v>
      </c>
      <c r="N192" s="192" t="s">
        <v>230</v>
      </c>
      <c r="O192" s="192" t="s">
        <v>164</v>
      </c>
      <c r="P192" s="192" t="s">
        <v>24</v>
      </c>
    </row>
    <row r="193" spans="1:16" s="196" customFormat="1" ht="90" x14ac:dyDescent="0.2">
      <c r="A193" s="4">
        <v>2023207</v>
      </c>
      <c r="B193" s="2">
        <v>7658</v>
      </c>
      <c r="C193" s="3" t="s">
        <v>143</v>
      </c>
      <c r="D193" s="191" t="s">
        <v>222</v>
      </c>
      <c r="E193" s="192" t="s">
        <v>231</v>
      </c>
      <c r="F193" s="191" t="s">
        <v>232</v>
      </c>
      <c r="G193" s="193">
        <v>45031</v>
      </c>
      <c r="H193" s="193">
        <v>45036</v>
      </c>
      <c r="I193" s="191">
        <v>10</v>
      </c>
      <c r="J193" s="191" t="s">
        <v>20</v>
      </c>
      <c r="K193" s="197" t="s">
        <v>21</v>
      </c>
      <c r="L193" s="191" t="s">
        <v>162</v>
      </c>
      <c r="M193" s="188">
        <v>100000000</v>
      </c>
      <c r="N193" s="192" t="s">
        <v>225</v>
      </c>
      <c r="O193" s="192" t="s">
        <v>164</v>
      </c>
      <c r="P193" s="192" t="s">
        <v>24</v>
      </c>
    </row>
    <row r="194" spans="1:16" s="196" customFormat="1" ht="90" x14ac:dyDescent="0.2">
      <c r="A194" s="2">
        <v>2023208</v>
      </c>
      <c r="B194" s="2">
        <v>7658</v>
      </c>
      <c r="C194" s="3" t="s">
        <v>143</v>
      </c>
      <c r="D194" s="198" t="s">
        <v>222</v>
      </c>
      <c r="E194" s="192" t="s">
        <v>823</v>
      </c>
      <c r="F194" s="192" t="s">
        <v>824</v>
      </c>
      <c r="G194" s="193">
        <v>45200</v>
      </c>
      <c r="H194" s="193">
        <v>45214</v>
      </c>
      <c r="I194" s="191">
        <v>4</v>
      </c>
      <c r="J194" s="191" t="s">
        <v>20</v>
      </c>
      <c r="K194" s="197" t="s">
        <v>21</v>
      </c>
      <c r="L194" s="191" t="s">
        <v>162</v>
      </c>
      <c r="M194" s="188">
        <f>200000000-40000000-50000000-20000000</f>
        <v>90000000</v>
      </c>
      <c r="N194" s="192" t="s">
        <v>225</v>
      </c>
      <c r="O194" s="192" t="s">
        <v>164</v>
      </c>
      <c r="P194" s="192" t="s">
        <v>24</v>
      </c>
    </row>
    <row r="195" spans="1:16" s="196" customFormat="1" ht="90" x14ac:dyDescent="0.2">
      <c r="A195" s="2">
        <v>2023209</v>
      </c>
      <c r="B195" s="2">
        <v>7658</v>
      </c>
      <c r="C195" s="3" t="s">
        <v>143</v>
      </c>
      <c r="D195" s="191" t="s">
        <v>222</v>
      </c>
      <c r="E195" s="192" t="s">
        <v>712</v>
      </c>
      <c r="F195" s="191" t="s">
        <v>713</v>
      </c>
      <c r="G195" s="193">
        <v>45135</v>
      </c>
      <c r="H195" s="193">
        <v>45169</v>
      </c>
      <c r="I195" s="191">
        <v>6</v>
      </c>
      <c r="J195" s="191" t="s">
        <v>102</v>
      </c>
      <c r="K195" s="197" t="s">
        <v>21</v>
      </c>
      <c r="L195" s="191" t="s">
        <v>162</v>
      </c>
      <c r="M195" s="188">
        <f>200000000+20000000-25000000</f>
        <v>195000000</v>
      </c>
      <c r="N195" s="192" t="s">
        <v>225</v>
      </c>
      <c r="O195" s="192" t="s">
        <v>164</v>
      </c>
      <c r="P195" s="192" t="s">
        <v>24</v>
      </c>
    </row>
    <row r="196" spans="1:16" s="196" customFormat="1" ht="90" x14ac:dyDescent="0.2">
      <c r="A196" s="2">
        <v>2023211</v>
      </c>
      <c r="B196" s="2">
        <v>7658</v>
      </c>
      <c r="C196" s="3" t="s">
        <v>143</v>
      </c>
      <c r="D196" s="191" t="s">
        <v>222</v>
      </c>
      <c r="E196" s="192" t="s">
        <v>233</v>
      </c>
      <c r="F196" s="191" t="s">
        <v>234</v>
      </c>
      <c r="G196" s="193">
        <v>45078</v>
      </c>
      <c r="H196" s="193">
        <v>45092</v>
      </c>
      <c r="I196" s="191">
        <v>10</v>
      </c>
      <c r="J196" s="191" t="s">
        <v>20</v>
      </c>
      <c r="K196" s="197" t="s">
        <v>21</v>
      </c>
      <c r="L196" s="191" t="s">
        <v>235</v>
      </c>
      <c r="M196" s="188">
        <f>60000000-10000000+20000000</f>
        <v>70000000</v>
      </c>
      <c r="N196" s="192" t="s">
        <v>225</v>
      </c>
      <c r="O196" s="192" t="s">
        <v>164</v>
      </c>
      <c r="P196" s="192" t="s">
        <v>24</v>
      </c>
    </row>
    <row r="197" spans="1:16" s="196" customFormat="1" ht="90" x14ac:dyDescent="0.2">
      <c r="A197" s="2">
        <v>2023212</v>
      </c>
      <c r="B197" s="2">
        <v>7658</v>
      </c>
      <c r="C197" s="3" t="s">
        <v>143</v>
      </c>
      <c r="D197" s="191" t="s">
        <v>222</v>
      </c>
      <c r="E197" s="192" t="s">
        <v>231</v>
      </c>
      <c r="F197" s="191" t="s">
        <v>236</v>
      </c>
      <c r="G197" s="193">
        <v>45078</v>
      </c>
      <c r="H197" s="193">
        <v>45092</v>
      </c>
      <c r="I197" s="191">
        <v>7</v>
      </c>
      <c r="J197" s="191" t="s">
        <v>20</v>
      </c>
      <c r="K197" s="197" t="s">
        <v>21</v>
      </c>
      <c r="L197" s="191" t="s">
        <v>235</v>
      </c>
      <c r="M197" s="188">
        <f>70000000-20000000</f>
        <v>50000000</v>
      </c>
      <c r="N197" s="192" t="s">
        <v>225</v>
      </c>
      <c r="O197" s="192" t="s">
        <v>164</v>
      </c>
      <c r="P197" s="192" t="s">
        <v>24</v>
      </c>
    </row>
    <row r="198" spans="1:16" s="196" customFormat="1" ht="90" x14ac:dyDescent="0.2">
      <c r="A198" s="2">
        <v>2023214</v>
      </c>
      <c r="B198" s="2">
        <v>7658</v>
      </c>
      <c r="C198" s="3" t="s">
        <v>143</v>
      </c>
      <c r="D198" s="191" t="s">
        <v>222</v>
      </c>
      <c r="E198" s="192" t="s">
        <v>237</v>
      </c>
      <c r="F198" s="191" t="s">
        <v>238</v>
      </c>
      <c r="G198" s="193">
        <v>44946</v>
      </c>
      <c r="H198" s="193">
        <v>44972</v>
      </c>
      <c r="I198" s="191">
        <v>7</v>
      </c>
      <c r="J198" s="191" t="s">
        <v>102</v>
      </c>
      <c r="K198" s="197" t="s">
        <v>21</v>
      </c>
      <c r="L198" s="191" t="s">
        <v>239</v>
      </c>
      <c r="M198" s="188">
        <f>80000000+20000000</f>
        <v>100000000</v>
      </c>
      <c r="N198" s="192" t="s">
        <v>230</v>
      </c>
      <c r="O198" s="192" t="s">
        <v>164</v>
      </c>
      <c r="P198" s="192" t="s">
        <v>24</v>
      </c>
    </row>
    <row r="199" spans="1:16" s="196" customFormat="1" ht="90" x14ac:dyDescent="0.2">
      <c r="A199" s="2">
        <v>2023215</v>
      </c>
      <c r="B199" s="2">
        <v>7658</v>
      </c>
      <c r="C199" s="3" t="s">
        <v>143</v>
      </c>
      <c r="D199" s="191" t="s">
        <v>222</v>
      </c>
      <c r="E199" s="192">
        <v>42172101</v>
      </c>
      <c r="F199" s="191" t="s">
        <v>825</v>
      </c>
      <c r="G199" s="193">
        <v>45184</v>
      </c>
      <c r="H199" s="193">
        <v>45214</v>
      </c>
      <c r="I199" s="191">
        <v>1</v>
      </c>
      <c r="J199" s="191" t="s">
        <v>119</v>
      </c>
      <c r="K199" s="197" t="s">
        <v>21</v>
      </c>
      <c r="L199" s="191" t="s">
        <v>241</v>
      </c>
      <c r="M199" s="188">
        <f>50000000-22000000</f>
        <v>28000000</v>
      </c>
      <c r="N199" s="192" t="s">
        <v>230</v>
      </c>
      <c r="O199" s="192" t="s">
        <v>164</v>
      </c>
      <c r="P199" s="192" t="s">
        <v>24</v>
      </c>
    </row>
    <row r="200" spans="1:16" s="196" customFormat="1" ht="150" x14ac:dyDescent="0.2">
      <c r="A200" s="2">
        <v>2023216</v>
      </c>
      <c r="B200" s="2">
        <v>7658</v>
      </c>
      <c r="C200" s="3" t="s">
        <v>143</v>
      </c>
      <c r="D200" s="191" t="s">
        <v>222</v>
      </c>
      <c r="E200" s="192" t="s">
        <v>242</v>
      </c>
      <c r="F200" s="191" t="s">
        <v>243</v>
      </c>
      <c r="G200" s="193">
        <v>45031</v>
      </c>
      <c r="H200" s="193">
        <v>45036</v>
      </c>
      <c r="I200" s="191">
        <v>10</v>
      </c>
      <c r="J200" s="191" t="s">
        <v>102</v>
      </c>
      <c r="K200" s="197" t="s">
        <v>21</v>
      </c>
      <c r="L200" s="191" t="s">
        <v>244</v>
      </c>
      <c r="M200" s="188">
        <f>250000000-10000000</f>
        <v>240000000</v>
      </c>
      <c r="N200" s="192" t="s">
        <v>230</v>
      </c>
      <c r="O200" s="192" t="s">
        <v>164</v>
      </c>
      <c r="P200" s="192" t="s">
        <v>24</v>
      </c>
    </row>
    <row r="201" spans="1:16" s="196" customFormat="1" ht="90" x14ac:dyDescent="0.2">
      <c r="A201" s="2">
        <v>2023217</v>
      </c>
      <c r="B201" s="2">
        <v>7658</v>
      </c>
      <c r="C201" s="3" t="s">
        <v>143</v>
      </c>
      <c r="D201" s="191" t="s">
        <v>222</v>
      </c>
      <c r="E201" s="192">
        <v>80111600</v>
      </c>
      <c r="F201" s="191" t="s">
        <v>245</v>
      </c>
      <c r="G201" s="193">
        <v>44931</v>
      </c>
      <c r="H201" s="193">
        <v>44942</v>
      </c>
      <c r="I201" s="191">
        <v>10.5</v>
      </c>
      <c r="J201" s="191" t="s">
        <v>20</v>
      </c>
      <c r="K201" s="197" t="s">
        <v>21</v>
      </c>
      <c r="L201" s="191" t="s">
        <v>27</v>
      </c>
      <c r="M201" s="188">
        <f>74750000-11750000</f>
        <v>63000000</v>
      </c>
      <c r="N201" s="192" t="s">
        <v>230</v>
      </c>
      <c r="O201" s="192" t="s">
        <v>164</v>
      </c>
      <c r="P201" s="192" t="s">
        <v>24</v>
      </c>
    </row>
    <row r="202" spans="1:16" s="196" customFormat="1" ht="90" x14ac:dyDescent="0.2">
      <c r="A202" s="2">
        <v>2023218</v>
      </c>
      <c r="B202" s="2">
        <v>7658</v>
      </c>
      <c r="C202" s="3" t="s">
        <v>143</v>
      </c>
      <c r="D202" s="191" t="s">
        <v>222</v>
      </c>
      <c r="E202" s="192">
        <v>80111600</v>
      </c>
      <c r="F202" s="191" t="s">
        <v>246</v>
      </c>
      <c r="G202" s="193">
        <v>44931</v>
      </c>
      <c r="H202" s="193">
        <v>44942</v>
      </c>
      <c r="I202" s="191">
        <v>11.5</v>
      </c>
      <c r="J202" s="191" t="s">
        <v>20</v>
      </c>
      <c r="K202" s="197" t="s">
        <v>21</v>
      </c>
      <c r="L202" s="191" t="s">
        <v>27</v>
      </c>
      <c r="M202" s="188">
        <f>46000000-30000000</f>
        <v>16000000</v>
      </c>
      <c r="N202" s="192" t="s">
        <v>225</v>
      </c>
      <c r="O202" s="192" t="s">
        <v>164</v>
      </c>
      <c r="P202" s="192" t="s">
        <v>24</v>
      </c>
    </row>
    <row r="203" spans="1:16" s="196" customFormat="1" ht="90" x14ac:dyDescent="0.2">
      <c r="A203" s="2">
        <v>2023219</v>
      </c>
      <c r="B203" s="2">
        <v>7658</v>
      </c>
      <c r="C203" s="3" t="s">
        <v>143</v>
      </c>
      <c r="D203" s="191" t="s">
        <v>222</v>
      </c>
      <c r="E203" s="192">
        <v>80111600</v>
      </c>
      <c r="F203" s="191" t="s">
        <v>700</v>
      </c>
      <c r="G203" s="193">
        <v>44931</v>
      </c>
      <c r="H203" s="193">
        <v>44942</v>
      </c>
      <c r="I203" s="191">
        <v>9</v>
      </c>
      <c r="J203" s="191" t="s">
        <v>20</v>
      </c>
      <c r="K203" s="197" t="s">
        <v>21</v>
      </c>
      <c r="L203" s="191" t="s">
        <v>27</v>
      </c>
      <c r="M203" s="188">
        <f>101579500-11579500+3000000-150000-7750000-1400000+21150000+22000000+10732400-28000000-18800000-18800000-15000000+15000000 +24000000+8250000+4000000+16565000+33334+36667+16667+16900000+23334+9600000+4200000+1500000+1500000+4800000+8520000-13200000+2114240+2800000-4008757-2000000-2100000-100-4500000-4650000-4800000-4800000-6000000-14083333-7333333-3000000-3000000-18000000+20000000-12000000-2450000</f>
        <v>90916119</v>
      </c>
      <c r="N203" s="192" t="s">
        <v>225</v>
      </c>
      <c r="O203" s="192" t="s">
        <v>164</v>
      </c>
      <c r="P203" s="192" t="s">
        <v>24</v>
      </c>
    </row>
    <row r="204" spans="1:16" s="196" customFormat="1" ht="90" x14ac:dyDescent="0.2">
      <c r="A204" s="2">
        <v>2023220</v>
      </c>
      <c r="B204" s="2">
        <v>7658</v>
      </c>
      <c r="C204" s="3" t="s">
        <v>143</v>
      </c>
      <c r="D204" s="191" t="s">
        <v>222</v>
      </c>
      <c r="E204" s="192">
        <v>80111600</v>
      </c>
      <c r="F204" s="191" t="s">
        <v>247</v>
      </c>
      <c r="G204" s="193">
        <v>44931</v>
      </c>
      <c r="H204" s="193">
        <v>44942</v>
      </c>
      <c r="I204" s="191">
        <v>11</v>
      </c>
      <c r="J204" s="191" t="s">
        <v>20</v>
      </c>
      <c r="K204" s="197" t="s">
        <v>21</v>
      </c>
      <c r="L204" s="191" t="s">
        <v>27</v>
      </c>
      <c r="M204" s="188">
        <f>92950000-4225000-54925000</f>
        <v>33800000</v>
      </c>
      <c r="N204" s="192" t="s">
        <v>225</v>
      </c>
      <c r="O204" s="192" t="s">
        <v>164</v>
      </c>
      <c r="P204" s="192" t="s">
        <v>24</v>
      </c>
    </row>
    <row r="205" spans="1:16" s="196" customFormat="1" ht="90" x14ac:dyDescent="0.2">
      <c r="A205" s="2">
        <v>2023221</v>
      </c>
      <c r="B205" s="2">
        <v>7658</v>
      </c>
      <c r="C205" s="3" t="s">
        <v>143</v>
      </c>
      <c r="D205" s="191" t="s">
        <v>222</v>
      </c>
      <c r="E205" s="192">
        <v>80111600</v>
      </c>
      <c r="F205" s="191" t="s">
        <v>248</v>
      </c>
      <c r="G205" s="193">
        <v>44931</v>
      </c>
      <c r="H205" s="193">
        <v>44942</v>
      </c>
      <c r="I205" s="191">
        <v>11</v>
      </c>
      <c r="J205" s="191" t="s">
        <v>20</v>
      </c>
      <c r="K205" s="197" t="s">
        <v>21</v>
      </c>
      <c r="L205" s="191" t="s">
        <v>51</v>
      </c>
      <c r="M205" s="188">
        <v>99000000</v>
      </c>
      <c r="N205" s="192" t="s">
        <v>225</v>
      </c>
      <c r="O205" s="192" t="s">
        <v>164</v>
      </c>
      <c r="P205" s="192" t="s">
        <v>24</v>
      </c>
    </row>
    <row r="206" spans="1:16" s="196" customFormat="1" ht="90" x14ac:dyDescent="0.2">
      <c r="A206" s="2">
        <v>2023222</v>
      </c>
      <c r="B206" s="2">
        <v>7658</v>
      </c>
      <c r="C206" s="3" t="s">
        <v>143</v>
      </c>
      <c r="D206" s="191" t="s">
        <v>222</v>
      </c>
      <c r="E206" s="192">
        <v>80111600</v>
      </c>
      <c r="F206" s="191" t="s">
        <v>249</v>
      </c>
      <c r="G206" s="193">
        <v>44931</v>
      </c>
      <c r="H206" s="193">
        <v>44942</v>
      </c>
      <c r="I206" s="191">
        <v>10.5</v>
      </c>
      <c r="J206" s="191" t="s">
        <v>20</v>
      </c>
      <c r="K206" s="197" t="s">
        <v>21</v>
      </c>
      <c r="L206" s="191" t="s">
        <v>27</v>
      </c>
      <c r="M206" s="188">
        <f>94760000-4120000-4120000-53560000</f>
        <v>32960000</v>
      </c>
      <c r="N206" s="192" t="s">
        <v>230</v>
      </c>
      <c r="O206" s="192" t="s">
        <v>164</v>
      </c>
      <c r="P206" s="192" t="s">
        <v>24</v>
      </c>
    </row>
    <row r="207" spans="1:16" s="196" customFormat="1" ht="90" x14ac:dyDescent="0.2">
      <c r="A207" s="2">
        <v>2023223</v>
      </c>
      <c r="B207" s="2">
        <v>7658</v>
      </c>
      <c r="C207" s="3" t="s">
        <v>143</v>
      </c>
      <c r="D207" s="191" t="s">
        <v>222</v>
      </c>
      <c r="E207" s="192">
        <v>80111600</v>
      </c>
      <c r="F207" s="191" t="s">
        <v>250</v>
      </c>
      <c r="G207" s="193">
        <v>44931</v>
      </c>
      <c r="H207" s="193">
        <v>44942</v>
      </c>
      <c r="I207" s="191">
        <v>11</v>
      </c>
      <c r="J207" s="191" t="s">
        <v>20</v>
      </c>
      <c r="K207" s="197" t="s">
        <v>21</v>
      </c>
      <c r="L207" s="191" t="s">
        <v>27</v>
      </c>
      <c r="M207" s="188">
        <f>92950000+8500000-2450000</f>
        <v>99000000</v>
      </c>
      <c r="N207" s="192" t="s">
        <v>230</v>
      </c>
      <c r="O207" s="192" t="s">
        <v>164</v>
      </c>
      <c r="P207" s="192" t="s">
        <v>24</v>
      </c>
    </row>
    <row r="208" spans="1:16" s="196" customFormat="1" ht="120" x14ac:dyDescent="0.2">
      <c r="A208" s="2">
        <v>2023224</v>
      </c>
      <c r="B208" s="2">
        <v>7658</v>
      </c>
      <c r="C208" s="3" t="s">
        <v>143</v>
      </c>
      <c r="D208" s="191" t="s">
        <v>222</v>
      </c>
      <c r="E208" s="192">
        <v>80111600</v>
      </c>
      <c r="F208" s="191" t="s">
        <v>251</v>
      </c>
      <c r="G208" s="193">
        <v>44931</v>
      </c>
      <c r="H208" s="193">
        <v>44942</v>
      </c>
      <c r="I208" s="191">
        <v>10.5</v>
      </c>
      <c r="J208" s="191" t="s">
        <v>20</v>
      </c>
      <c r="K208" s="197" t="s">
        <v>21</v>
      </c>
      <c r="L208" s="191" t="s">
        <v>27</v>
      </c>
      <c r="M208" s="188">
        <f>45655000-1985000-1985000-25805000</f>
        <v>15880000</v>
      </c>
      <c r="N208" s="192" t="s">
        <v>230</v>
      </c>
      <c r="O208" s="192" t="s">
        <v>164</v>
      </c>
      <c r="P208" s="192" t="s">
        <v>24</v>
      </c>
    </row>
    <row r="209" spans="1:16" s="196" customFormat="1" ht="90" x14ac:dyDescent="0.2">
      <c r="A209" s="2">
        <v>2023225</v>
      </c>
      <c r="B209" s="2">
        <v>7658</v>
      </c>
      <c r="C209" s="3" t="s">
        <v>143</v>
      </c>
      <c r="D209" s="191" t="s">
        <v>222</v>
      </c>
      <c r="E209" s="192">
        <v>80111600</v>
      </c>
      <c r="F209" s="191" t="s">
        <v>252</v>
      </c>
      <c r="G209" s="193">
        <v>44931</v>
      </c>
      <c r="H209" s="193">
        <v>44942</v>
      </c>
      <c r="I209" s="191">
        <v>10.5</v>
      </c>
      <c r="J209" s="191" t="s">
        <v>20</v>
      </c>
      <c r="K209" s="197" t="s">
        <v>21</v>
      </c>
      <c r="L209" s="191" t="s">
        <v>27</v>
      </c>
      <c r="M209" s="188">
        <f>78200000-5800000-1000000-44200000</f>
        <v>27200000</v>
      </c>
      <c r="N209" s="192" t="s">
        <v>225</v>
      </c>
      <c r="O209" s="192" t="s">
        <v>164</v>
      </c>
      <c r="P209" s="192" t="s">
        <v>24</v>
      </c>
    </row>
    <row r="210" spans="1:16" s="196" customFormat="1" ht="120" x14ac:dyDescent="0.2">
      <c r="A210" s="2">
        <v>2023226</v>
      </c>
      <c r="B210" s="2">
        <v>7658</v>
      </c>
      <c r="C210" s="3" t="s">
        <v>143</v>
      </c>
      <c r="D210" s="191" t="s">
        <v>222</v>
      </c>
      <c r="E210" s="192">
        <v>80111600</v>
      </c>
      <c r="F210" s="191" t="s">
        <v>253</v>
      </c>
      <c r="G210" s="193">
        <v>44931</v>
      </c>
      <c r="H210" s="193">
        <v>44942</v>
      </c>
      <c r="I210" s="191">
        <v>10.5</v>
      </c>
      <c r="J210" s="191" t="s">
        <v>20</v>
      </c>
      <c r="K210" s="197" t="s">
        <v>21</v>
      </c>
      <c r="L210" s="191" t="s">
        <v>27</v>
      </c>
      <c r="M210" s="188">
        <f>45655000-1985000-1985000-25805000</f>
        <v>15880000</v>
      </c>
      <c r="N210" s="192" t="s">
        <v>230</v>
      </c>
      <c r="O210" s="192" t="s">
        <v>164</v>
      </c>
      <c r="P210" s="192" t="s">
        <v>24</v>
      </c>
    </row>
    <row r="211" spans="1:16" s="196" customFormat="1" ht="90" x14ac:dyDescent="0.2">
      <c r="A211" s="2">
        <v>2023227</v>
      </c>
      <c r="B211" s="2">
        <v>7658</v>
      </c>
      <c r="C211" s="3" t="s">
        <v>143</v>
      </c>
      <c r="D211" s="191" t="s">
        <v>222</v>
      </c>
      <c r="E211" s="192">
        <v>80111600</v>
      </c>
      <c r="F211" s="191" t="s">
        <v>254</v>
      </c>
      <c r="G211" s="193">
        <v>44931</v>
      </c>
      <c r="H211" s="193">
        <v>44942</v>
      </c>
      <c r="I211" s="191">
        <v>10</v>
      </c>
      <c r="J211" s="191" t="s">
        <v>20</v>
      </c>
      <c r="K211" s="197" t="s">
        <v>21</v>
      </c>
      <c r="L211" s="191" t="s">
        <v>27</v>
      </c>
      <c r="M211" s="188">
        <f>36685000-4785000-4000000</f>
        <v>27900000</v>
      </c>
      <c r="N211" s="192" t="s">
        <v>225</v>
      </c>
      <c r="O211" s="192" t="s">
        <v>164</v>
      </c>
      <c r="P211" s="192" t="s">
        <v>24</v>
      </c>
    </row>
    <row r="212" spans="1:16" s="196" customFormat="1" ht="90" x14ac:dyDescent="0.2">
      <c r="A212" s="2">
        <v>2023228</v>
      </c>
      <c r="B212" s="2">
        <v>7658</v>
      </c>
      <c r="C212" s="3" t="s">
        <v>143</v>
      </c>
      <c r="D212" s="191" t="s">
        <v>222</v>
      </c>
      <c r="E212" s="192">
        <v>80111600</v>
      </c>
      <c r="F212" s="191" t="s">
        <v>255</v>
      </c>
      <c r="G212" s="193">
        <v>44931</v>
      </c>
      <c r="H212" s="193">
        <v>44942</v>
      </c>
      <c r="I212" s="191">
        <v>11</v>
      </c>
      <c r="J212" s="191" t="s">
        <v>20</v>
      </c>
      <c r="K212" s="197" t="s">
        <v>21</v>
      </c>
      <c r="L212" s="191" t="s">
        <v>27</v>
      </c>
      <c r="M212" s="188">
        <f>36685000-1595000-22330000</f>
        <v>12760000</v>
      </c>
      <c r="N212" s="192" t="s">
        <v>230</v>
      </c>
      <c r="O212" s="192" t="s">
        <v>164</v>
      </c>
      <c r="P212" s="192" t="s">
        <v>24</v>
      </c>
    </row>
    <row r="213" spans="1:16" s="196" customFormat="1" ht="90" x14ac:dyDescent="0.2">
      <c r="A213" s="2">
        <v>2023229</v>
      </c>
      <c r="B213" s="2">
        <v>7658</v>
      </c>
      <c r="C213" s="3" t="s">
        <v>143</v>
      </c>
      <c r="D213" s="191" t="s">
        <v>222</v>
      </c>
      <c r="E213" s="192">
        <v>80111600</v>
      </c>
      <c r="F213" s="191" t="s">
        <v>256</v>
      </c>
      <c r="G213" s="193">
        <v>44931</v>
      </c>
      <c r="H213" s="193">
        <v>44942</v>
      </c>
      <c r="I213" s="191">
        <v>10.5</v>
      </c>
      <c r="J213" s="191" t="s">
        <v>20</v>
      </c>
      <c r="K213" s="197" t="s">
        <v>21</v>
      </c>
      <c r="L213" s="191" t="s">
        <v>27</v>
      </c>
      <c r="M213" s="188">
        <f>36685000-1595000-1595000-20735000</f>
        <v>12760000</v>
      </c>
      <c r="N213" s="192" t="s">
        <v>225</v>
      </c>
      <c r="O213" s="192" t="s">
        <v>164</v>
      </c>
      <c r="P213" s="192" t="s">
        <v>24</v>
      </c>
    </row>
    <row r="214" spans="1:16" s="196" customFormat="1" ht="120" x14ac:dyDescent="0.2">
      <c r="A214" s="2">
        <v>2023230</v>
      </c>
      <c r="B214" s="2">
        <v>7658</v>
      </c>
      <c r="C214" s="3" t="s">
        <v>143</v>
      </c>
      <c r="D214" s="191" t="s">
        <v>222</v>
      </c>
      <c r="E214" s="192">
        <v>80111600</v>
      </c>
      <c r="F214" s="191" t="s">
        <v>257</v>
      </c>
      <c r="G214" s="193">
        <v>44931</v>
      </c>
      <c r="H214" s="193">
        <v>44942</v>
      </c>
      <c r="I214" s="191">
        <v>10.5</v>
      </c>
      <c r="J214" s="191" t="s">
        <v>20</v>
      </c>
      <c r="K214" s="197" t="s">
        <v>21</v>
      </c>
      <c r="L214" s="191" t="s">
        <v>27</v>
      </c>
      <c r="M214" s="188">
        <f>54050000-2350000-2350000-30550000</f>
        <v>18800000</v>
      </c>
      <c r="N214" s="192" t="s">
        <v>225</v>
      </c>
      <c r="O214" s="192" t="s">
        <v>164</v>
      </c>
      <c r="P214" s="192" t="s">
        <v>24</v>
      </c>
    </row>
    <row r="215" spans="1:16" s="196" customFormat="1" ht="90" x14ac:dyDescent="0.2">
      <c r="A215" s="2">
        <v>2023231</v>
      </c>
      <c r="B215" s="2">
        <v>7658</v>
      </c>
      <c r="C215" s="3" t="s">
        <v>143</v>
      </c>
      <c r="D215" s="191" t="s">
        <v>222</v>
      </c>
      <c r="E215" s="192">
        <v>80111600</v>
      </c>
      <c r="F215" s="191" t="s">
        <v>258</v>
      </c>
      <c r="G215" s="193">
        <v>44931</v>
      </c>
      <c r="H215" s="193">
        <v>44942</v>
      </c>
      <c r="I215" s="191">
        <v>10.5</v>
      </c>
      <c r="J215" s="191" t="s">
        <v>20</v>
      </c>
      <c r="K215" s="197" t="s">
        <v>21</v>
      </c>
      <c r="L215" s="191" t="s">
        <v>27</v>
      </c>
      <c r="M215" s="188">
        <f>54050000+5800000+150000</f>
        <v>60000000</v>
      </c>
      <c r="N215" s="192" t="s">
        <v>230</v>
      </c>
      <c r="O215" s="192" t="s">
        <v>164</v>
      </c>
      <c r="P215" s="192" t="s">
        <v>24</v>
      </c>
    </row>
    <row r="216" spans="1:16" s="196" customFormat="1" ht="105" x14ac:dyDescent="0.2">
      <c r="A216" s="2">
        <v>2023232</v>
      </c>
      <c r="B216" s="2">
        <v>7658</v>
      </c>
      <c r="C216" s="3" t="s">
        <v>143</v>
      </c>
      <c r="D216" s="191" t="s">
        <v>222</v>
      </c>
      <c r="E216" s="192">
        <v>80111600</v>
      </c>
      <c r="F216" s="191" t="s">
        <v>259</v>
      </c>
      <c r="G216" s="193">
        <v>44931</v>
      </c>
      <c r="H216" s="193">
        <v>44942</v>
      </c>
      <c r="I216" s="191">
        <v>10.5</v>
      </c>
      <c r="J216" s="191" t="s">
        <v>20</v>
      </c>
      <c r="K216" s="197" t="s">
        <v>21</v>
      </c>
      <c r="L216" s="191" t="s">
        <v>27</v>
      </c>
      <c r="M216" s="188">
        <f>51750000-4500000-29250000</f>
        <v>18000000</v>
      </c>
      <c r="N216" s="192" t="s">
        <v>225</v>
      </c>
      <c r="O216" s="192" t="s">
        <v>164</v>
      </c>
      <c r="P216" s="192" t="s">
        <v>24</v>
      </c>
    </row>
    <row r="217" spans="1:16" s="196" customFormat="1" ht="90" x14ac:dyDescent="0.2">
      <c r="A217" s="2">
        <v>2023233</v>
      </c>
      <c r="B217" s="2">
        <v>7658</v>
      </c>
      <c r="C217" s="3" t="s">
        <v>143</v>
      </c>
      <c r="D217" s="191" t="s">
        <v>222</v>
      </c>
      <c r="E217" s="192">
        <v>80111600</v>
      </c>
      <c r="F217" s="191" t="s">
        <v>260</v>
      </c>
      <c r="G217" s="193">
        <v>44931</v>
      </c>
      <c r="H217" s="193">
        <v>44942</v>
      </c>
      <c r="I217" s="191">
        <v>10.5</v>
      </c>
      <c r="J217" s="191" t="s">
        <v>20</v>
      </c>
      <c r="K217" s="197" t="s">
        <v>21</v>
      </c>
      <c r="L217" s="191" t="s">
        <v>27</v>
      </c>
      <c r="M217" s="188">
        <f>45655000-1985000-1985000-25805000</f>
        <v>15880000</v>
      </c>
      <c r="N217" s="192" t="s">
        <v>225</v>
      </c>
      <c r="O217" s="192" t="s">
        <v>164</v>
      </c>
      <c r="P217" s="192" t="s">
        <v>24</v>
      </c>
    </row>
    <row r="218" spans="1:16" s="196" customFormat="1" ht="90" x14ac:dyDescent="0.2">
      <c r="A218" s="2">
        <v>2023234</v>
      </c>
      <c r="B218" s="2">
        <v>7658</v>
      </c>
      <c r="C218" s="3" t="s">
        <v>143</v>
      </c>
      <c r="D218" s="191" t="s">
        <v>222</v>
      </c>
      <c r="E218" s="192">
        <v>80111600</v>
      </c>
      <c r="F218" s="191" t="s">
        <v>261</v>
      </c>
      <c r="G218" s="193">
        <v>44931</v>
      </c>
      <c r="H218" s="193">
        <v>44942</v>
      </c>
      <c r="I218" s="191">
        <v>11</v>
      </c>
      <c r="J218" s="191" t="s">
        <v>20</v>
      </c>
      <c r="K218" s="197" t="s">
        <v>21</v>
      </c>
      <c r="L218" s="191" t="s">
        <v>27</v>
      </c>
      <c r="M218" s="188">
        <f>97175000-4225000</f>
        <v>92950000</v>
      </c>
      <c r="N218" s="192" t="s">
        <v>225</v>
      </c>
      <c r="O218" s="192" t="s">
        <v>164</v>
      </c>
      <c r="P218" s="192" t="s">
        <v>24</v>
      </c>
    </row>
    <row r="219" spans="1:16" s="196" customFormat="1" ht="90" x14ac:dyDescent="0.2">
      <c r="A219" s="2">
        <v>2023236</v>
      </c>
      <c r="B219" s="2">
        <v>7658</v>
      </c>
      <c r="C219" s="3" t="s">
        <v>143</v>
      </c>
      <c r="D219" s="191" t="s">
        <v>222</v>
      </c>
      <c r="E219" s="192">
        <v>80111600</v>
      </c>
      <c r="F219" s="191" t="s">
        <v>262</v>
      </c>
      <c r="G219" s="193">
        <v>44931</v>
      </c>
      <c r="H219" s="193">
        <v>44942</v>
      </c>
      <c r="I219" s="191">
        <v>10.5</v>
      </c>
      <c r="J219" s="191" t="s">
        <v>20</v>
      </c>
      <c r="K219" s="197" t="s">
        <v>21</v>
      </c>
      <c r="L219" s="191" t="s">
        <v>27</v>
      </c>
      <c r="M219" s="188">
        <f>36685000-1595000-1595000-20735000</f>
        <v>12760000</v>
      </c>
      <c r="N219" s="192" t="s">
        <v>225</v>
      </c>
      <c r="O219" s="192" t="s">
        <v>164</v>
      </c>
      <c r="P219" s="192" t="s">
        <v>24</v>
      </c>
    </row>
    <row r="220" spans="1:16" s="196" customFormat="1" ht="90" x14ac:dyDescent="0.2">
      <c r="A220" s="2">
        <v>2023237</v>
      </c>
      <c r="B220" s="2">
        <v>7658</v>
      </c>
      <c r="C220" s="3" t="s">
        <v>143</v>
      </c>
      <c r="D220" s="191" t="s">
        <v>222</v>
      </c>
      <c r="E220" s="192">
        <v>80111600</v>
      </c>
      <c r="F220" s="191" t="s">
        <v>263</v>
      </c>
      <c r="G220" s="193">
        <v>45036</v>
      </c>
      <c r="H220" s="193">
        <v>45036</v>
      </c>
      <c r="I220" s="191">
        <v>9</v>
      </c>
      <c r="J220" s="191" t="s">
        <v>20</v>
      </c>
      <c r="K220" s="197" t="s">
        <v>21</v>
      </c>
      <c r="L220" s="191" t="s">
        <v>27</v>
      </c>
      <c r="M220" s="188">
        <f>54050000-2315000-4345000-150000-240000-18500000-600000</f>
        <v>27900000</v>
      </c>
      <c r="N220" s="192" t="s">
        <v>225</v>
      </c>
      <c r="O220" s="192" t="s">
        <v>164</v>
      </c>
      <c r="P220" s="192" t="s">
        <v>24</v>
      </c>
    </row>
    <row r="221" spans="1:16" s="196" customFormat="1" ht="105" x14ac:dyDescent="0.2">
      <c r="A221" s="2">
        <v>2023238</v>
      </c>
      <c r="B221" s="2">
        <v>7658</v>
      </c>
      <c r="C221" s="3" t="s">
        <v>143</v>
      </c>
      <c r="D221" s="191" t="s">
        <v>222</v>
      </c>
      <c r="E221" s="192">
        <v>80111600</v>
      </c>
      <c r="F221" s="191" t="s">
        <v>264</v>
      </c>
      <c r="G221" s="193">
        <v>44931</v>
      </c>
      <c r="H221" s="193">
        <v>44942</v>
      </c>
      <c r="I221" s="191">
        <v>10.5</v>
      </c>
      <c r="J221" s="191" t="s">
        <v>20</v>
      </c>
      <c r="K221" s="197" t="s">
        <v>21</v>
      </c>
      <c r="L221" s="191" t="s">
        <v>27</v>
      </c>
      <c r="M221" s="188">
        <f>28175000-1225000-1225000-15925000</f>
        <v>9800000</v>
      </c>
      <c r="N221" s="192" t="s">
        <v>225</v>
      </c>
      <c r="O221" s="192" t="s">
        <v>164</v>
      </c>
      <c r="P221" s="192" t="s">
        <v>24</v>
      </c>
    </row>
    <row r="222" spans="1:16" s="196" customFormat="1" ht="90" x14ac:dyDescent="0.2">
      <c r="A222" s="2">
        <v>2023239</v>
      </c>
      <c r="B222" s="2">
        <v>7658</v>
      </c>
      <c r="C222" s="3" t="s">
        <v>143</v>
      </c>
      <c r="D222" s="191" t="s">
        <v>222</v>
      </c>
      <c r="E222" s="192">
        <v>80111600</v>
      </c>
      <c r="F222" s="191" t="s">
        <v>265</v>
      </c>
      <c r="G222" s="193">
        <v>44931</v>
      </c>
      <c r="H222" s="193">
        <v>44942</v>
      </c>
      <c r="I222" s="191">
        <v>10.5</v>
      </c>
      <c r="J222" s="191" t="s">
        <v>20</v>
      </c>
      <c r="K222" s="197" t="s">
        <v>21</v>
      </c>
      <c r="L222" s="191" t="s">
        <v>27</v>
      </c>
      <c r="M222" s="188">
        <f>32775000+2315000-1595000-20735000</f>
        <v>12760000</v>
      </c>
      <c r="N222" s="192" t="s">
        <v>225</v>
      </c>
      <c r="O222" s="192" t="s">
        <v>164</v>
      </c>
      <c r="P222" s="192" t="s">
        <v>24</v>
      </c>
    </row>
    <row r="223" spans="1:16" s="196" customFormat="1" ht="90" x14ac:dyDescent="0.2">
      <c r="A223" s="2">
        <v>2023240</v>
      </c>
      <c r="B223" s="2">
        <v>7658</v>
      </c>
      <c r="C223" s="3" t="s">
        <v>143</v>
      </c>
      <c r="D223" s="191" t="s">
        <v>222</v>
      </c>
      <c r="E223" s="192">
        <v>80111600</v>
      </c>
      <c r="F223" s="191" t="s">
        <v>266</v>
      </c>
      <c r="G223" s="193">
        <v>44931</v>
      </c>
      <c r="H223" s="193">
        <v>44942</v>
      </c>
      <c r="I223" s="191">
        <v>10.5</v>
      </c>
      <c r="J223" s="191" t="s">
        <v>20</v>
      </c>
      <c r="K223" s="197" t="s">
        <v>21</v>
      </c>
      <c r="L223" s="191" t="s">
        <v>27</v>
      </c>
      <c r="M223" s="188">
        <f>51750000-50000-2350000-30550000</f>
        <v>18800000</v>
      </c>
      <c r="N223" s="192" t="s">
        <v>225</v>
      </c>
      <c r="O223" s="192" t="s">
        <v>164</v>
      </c>
      <c r="P223" s="192" t="s">
        <v>24</v>
      </c>
    </row>
    <row r="224" spans="1:16" s="196" customFormat="1" ht="90" x14ac:dyDescent="0.2">
      <c r="A224" s="2">
        <v>2023241</v>
      </c>
      <c r="B224" s="2">
        <v>7658</v>
      </c>
      <c r="C224" s="3" t="s">
        <v>143</v>
      </c>
      <c r="D224" s="191" t="s">
        <v>222</v>
      </c>
      <c r="E224" s="192">
        <v>80111600</v>
      </c>
      <c r="F224" s="191" t="s">
        <v>267</v>
      </c>
      <c r="G224" s="193">
        <v>44931</v>
      </c>
      <c r="H224" s="193">
        <v>44942</v>
      </c>
      <c r="I224" s="191">
        <v>11</v>
      </c>
      <c r="J224" s="191" t="s">
        <v>20</v>
      </c>
      <c r="K224" s="197" t="s">
        <v>21</v>
      </c>
      <c r="L224" s="191" t="s">
        <v>27</v>
      </c>
      <c r="M224" s="188">
        <f>82915000-3605000</f>
        <v>79310000</v>
      </c>
      <c r="N224" s="192" t="s">
        <v>225</v>
      </c>
      <c r="O224" s="192" t="s">
        <v>164</v>
      </c>
      <c r="P224" s="192" t="s">
        <v>24</v>
      </c>
    </row>
    <row r="225" spans="1:16" s="196" customFormat="1" ht="90" x14ac:dyDescent="0.2">
      <c r="A225" s="2">
        <v>2023242</v>
      </c>
      <c r="B225" s="2">
        <v>7658</v>
      </c>
      <c r="C225" s="3" t="s">
        <v>143</v>
      </c>
      <c r="D225" s="191" t="s">
        <v>222</v>
      </c>
      <c r="E225" s="192">
        <v>80111600</v>
      </c>
      <c r="F225" s="191" t="s">
        <v>268</v>
      </c>
      <c r="G225" s="193">
        <v>45036</v>
      </c>
      <c r="H225" s="193">
        <v>45036</v>
      </c>
      <c r="I225" s="191">
        <v>9</v>
      </c>
      <c r="J225" s="191" t="s">
        <v>20</v>
      </c>
      <c r="K225" s="197" t="s">
        <v>21</v>
      </c>
      <c r="L225" s="191" t="s">
        <v>27</v>
      </c>
      <c r="M225" s="188">
        <f>45655000+4345000+20000000-22500000-2500000-4435000-16565000</f>
        <v>24000000</v>
      </c>
      <c r="N225" s="192" t="s">
        <v>230</v>
      </c>
      <c r="O225" s="192" t="s">
        <v>164</v>
      </c>
      <c r="P225" s="192" t="s">
        <v>24</v>
      </c>
    </row>
    <row r="226" spans="1:16" s="196" customFormat="1" ht="120" x14ac:dyDescent="0.2">
      <c r="A226" s="2">
        <v>2023243</v>
      </c>
      <c r="B226" s="2">
        <v>7658</v>
      </c>
      <c r="C226" s="3" t="s">
        <v>143</v>
      </c>
      <c r="D226" s="191" t="s">
        <v>222</v>
      </c>
      <c r="E226" s="192">
        <v>80111600</v>
      </c>
      <c r="F226" s="191" t="s">
        <v>269</v>
      </c>
      <c r="G226" s="193">
        <v>44931</v>
      </c>
      <c r="H226" s="193">
        <v>44942</v>
      </c>
      <c r="I226" s="191">
        <v>10.5</v>
      </c>
      <c r="J226" s="191" t="s">
        <v>20</v>
      </c>
      <c r="K226" s="197" t="s">
        <v>21</v>
      </c>
      <c r="L226" s="191" t="s">
        <v>27</v>
      </c>
      <c r="M226" s="188">
        <f>54050000-2350000-2350000-30550000</f>
        <v>18800000</v>
      </c>
      <c r="N226" s="192" t="s">
        <v>230</v>
      </c>
      <c r="O226" s="192" t="s">
        <v>164</v>
      </c>
      <c r="P226" s="192" t="s">
        <v>24</v>
      </c>
    </row>
    <row r="227" spans="1:16" s="196" customFormat="1" ht="90" x14ac:dyDescent="0.2">
      <c r="A227" s="2">
        <v>2023244</v>
      </c>
      <c r="B227" s="2">
        <v>7658</v>
      </c>
      <c r="C227" s="3" t="s">
        <v>143</v>
      </c>
      <c r="D227" s="191" t="s">
        <v>222</v>
      </c>
      <c r="E227" s="192">
        <v>80111600</v>
      </c>
      <c r="F227" s="191" t="s">
        <v>270</v>
      </c>
      <c r="G227" s="193">
        <v>44931</v>
      </c>
      <c r="H227" s="193">
        <v>44942</v>
      </c>
      <c r="I227" s="191">
        <v>10</v>
      </c>
      <c r="J227" s="191" t="s">
        <v>20</v>
      </c>
      <c r="K227" s="197" t="s">
        <v>21</v>
      </c>
      <c r="L227" s="191" t="s">
        <v>51</v>
      </c>
      <c r="M227" s="188">
        <f>95450000-9800000-13400000-2940960-3000000-309000-6000000</f>
        <v>60000040</v>
      </c>
      <c r="N227" s="192" t="s">
        <v>225</v>
      </c>
      <c r="O227" s="192" t="s">
        <v>164</v>
      </c>
      <c r="P227" s="192" t="s">
        <v>24</v>
      </c>
    </row>
    <row r="228" spans="1:16" s="196" customFormat="1" ht="90" x14ac:dyDescent="0.2">
      <c r="A228" s="2">
        <v>2023245</v>
      </c>
      <c r="B228" s="2">
        <v>7658</v>
      </c>
      <c r="C228" s="3" t="s">
        <v>143</v>
      </c>
      <c r="D228" s="191" t="s">
        <v>222</v>
      </c>
      <c r="E228" s="192">
        <v>80111600</v>
      </c>
      <c r="F228" s="191" t="s">
        <v>271</v>
      </c>
      <c r="G228" s="193">
        <v>44931</v>
      </c>
      <c r="H228" s="193">
        <v>44942</v>
      </c>
      <c r="I228" s="191">
        <v>10.5</v>
      </c>
      <c r="J228" s="191" t="s">
        <v>20</v>
      </c>
      <c r="K228" s="197" t="s">
        <v>21</v>
      </c>
      <c r="L228" s="191" t="s">
        <v>27</v>
      </c>
      <c r="M228" s="188">
        <f>51750000-2250000-2830000-29250000</f>
        <v>17420000</v>
      </c>
      <c r="N228" s="192" t="s">
        <v>225</v>
      </c>
      <c r="O228" s="192" t="s">
        <v>164</v>
      </c>
      <c r="P228" s="192" t="s">
        <v>24</v>
      </c>
    </row>
    <row r="229" spans="1:16" s="196" customFormat="1" ht="90" x14ac:dyDescent="0.2">
      <c r="A229" s="2">
        <v>2023246</v>
      </c>
      <c r="B229" s="2">
        <v>7658</v>
      </c>
      <c r="C229" s="3" t="s">
        <v>143</v>
      </c>
      <c r="D229" s="191" t="s">
        <v>222</v>
      </c>
      <c r="E229" s="192">
        <v>80111600</v>
      </c>
      <c r="F229" s="191" t="s">
        <v>272</v>
      </c>
      <c r="G229" s="193">
        <v>44931</v>
      </c>
      <c r="H229" s="193">
        <v>44942</v>
      </c>
      <c r="I229" s="191">
        <v>10.5</v>
      </c>
      <c r="J229" s="191" t="s">
        <v>20</v>
      </c>
      <c r="K229" s="197" t="s">
        <v>21</v>
      </c>
      <c r="L229" s="191" t="s">
        <v>27</v>
      </c>
      <c r="M229" s="188">
        <f>51750000-2250000-2250000-29250000</f>
        <v>18000000</v>
      </c>
      <c r="N229" s="192" t="s">
        <v>225</v>
      </c>
      <c r="O229" s="192" t="s">
        <v>164</v>
      </c>
      <c r="P229" s="192" t="s">
        <v>24</v>
      </c>
    </row>
    <row r="230" spans="1:16" s="196" customFormat="1" ht="90" x14ac:dyDescent="0.2">
      <c r="A230" s="2">
        <v>2023247</v>
      </c>
      <c r="B230" s="2">
        <v>7658</v>
      </c>
      <c r="C230" s="3" t="s">
        <v>143</v>
      </c>
      <c r="D230" s="191" t="s">
        <v>222</v>
      </c>
      <c r="E230" s="192">
        <v>80111600</v>
      </c>
      <c r="F230" s="191" t="s">
        <v>273</v>
      </c>
      <c r="G230" s="193">
        <v>44931</v>
      </c>
      <c r="H230" s="193">
        <v>44942</v>
      </c>
      <c r="I230" s="191">
        <v>10</v>
      </c>
      <c r="J230" s="191" t="s">
        <v>20</v>
      </c>
      <c r="K230" s="197" t="s">
        <v>21</v>
      </c>
      <c r="L230" s="191" t="s">
        <v>27</v>
      </c>
      <c r="M230" s="188">
        <f>69000000-31900000+11750000+150000+1000000+7750000-8250000</f>
        <v>49500000</v>
      </c>
      <c r="N230" s="192" t="s">
        <v>225</v>
      </c>
      <c r="O230" s="192" t="s">
        <v>164</v>
      </c>
      <c r="P230" s="192" t="s">
        <v>24</v>
      </c>
    </row>
    <row r="231" spans="1:16" s="196" customFormat="1" ht="90" x14ac:dyDescent="0.2">
      <c r="A231" s="2">
        <v>2023248</v>
      </c>
      <c r="B231" s="2">
        <v>7658</v>
      </c>
      <c r="C231" s="3" t="s">
        <v>143</v>
      </c>
      <c r="D231" s="191" t="s">
        <v>222</v>
      </c>
      <c r="E231" s="192">
        <v>80111600</v>
      </c>
      <c r="F231" s="191" t="s">
        <v>274</v>
      </c>
      <c r="G231" s="193">
        <v>44931</v>
      </c>
      <c r="H231" s="193">
        <v>44942</v>
      </c>
      <c r="I231" s="191">
        <v>10.5</v>
      </c>
      <c r="J231" s="191" t="s">
        <v>20</v>
      </c>
      <c r="K231" s="197" t="s">
        <v>21</v>
      </c>
      <c r="L231" s="191" t="s">
        <v>27</v>
      </c>
      <c r="M231" s="188">
        <f>36800000-1600000-1600000-20800000</f>
        <v>12800000</v>
      </c>
      <c r="N231" s="192" t="s">
        <v>225</v>
      </c>
      <c r="O231" s="192" t="s">
        <v>164</v>
      </c>
      <c r="P231" s="192" t="s">
        <v>24</v>
      </c>
    </row>
    <row r="232" spans="1:16" s="196" customFormat="1" ht="90" x14ac:dyDescent="0.2">
      <c r="A232" s="2">
        <v>2023249</v>
      </c>
      <c r="B232" s="2">
        <v>7658</v>
      </c>
      <c r="C232" s="3" t="s">
        <v>143</v>
      </c>
      <c r="D232" s="191" t="s">
        <v>222</v>
      </c>
      <c r="E232" s="192">
        <v>80111600</v>
      </c>
      <c r="F232" s="191" t="s">
        <v>275</v>
      </c>
      <c r="G232" s="193">
        <v>44931</v>
      </c>
      <c r="H232" s="193">
        <v>44942</v>
      </c>
      <c r="I232" s="191">
        <v>11.5</v>
      </c>
      <c r="J232" s="191" t="s">
        <v>20</v>
      </c>
      <c r="K232" s="197" t="s">
        <v>21</v>
      </c>
      <c r="L232" s="191" t="s">
        <v>27</v>
      </c>
      <c r="M232" s="188">
        <f>39916500-4826500-22330000</f>
        <v>12760000</v>
      </c>
      <c r="N232" s="192" t="s">
        <v>225</v>
      </c>
      <c r="O232" s="192" t="s">
        <v>164</v>
      </c>
      <c r="P232" s="192" t="s">
        <v>24</v>
      </c>
    </row>
    <row r="233" spans="1:16" s="196" customFormat="1" ht="90" x14ac:dyDescent="0.2">
      <c r="A233" s="2">
        <v>2023250</v>
      </c>
      <c r="B233" s="2">
        <v>7658</v>
      </c>
      <c r="C233" s="3" t="s">
        <v>143</v>
      </c>
      <c r="D233" s="191" t="s">
        <v>222</v>
      </c>
      <c r="E233" s="192">
        <v>80111600</v>
      </c>
      <c r="F233" s="191" t="s">
        <v>276</v>
      </c>
      <c r="G233" s="193">
        <v>44931</v>
      </c>
      <c r="H233" s="193">
        <v>44942</v>
      </c>
      <c r="I233" s="191">
        <v>10</v>
      </c>
      <c r="J233" s="191" t="s">
        <v>20</v>
      </c>
      <c r="K233" s="197" t="s">
        <v>21</v>
      </c>
      <c r="L233" s="191" t="s">
        <v>27</v>
      </c>
      <c r="M233" s="188">
        <f>31625000-1625000-18000000</f>
        <v>12000000</v>
      </c>
      <c r="N233" s="192" t="s">
        <v>225</v>
      </c>
      <c r="O233" s="192" t="s">
        <v>164</v>
      </c>
      <c r="P233" s="192" t="s">
        <v>24</v>
      </c>
    </row>
    <row r="234" spans="1:16" s="196" customFormat="1" ht="90" x14ac:dyDescent="0.2">
      <c r="A234" s="2">
        <v>2023251</v>
      </c>
      <c r="B234" s="2">
        <v>7658</v>
      </c>
      <c r="C234" s="3" t="s">
        <v>143</v>
      </c>
      <c r="D234" s="191" t="s">
        <v>222</v>
      </c>
      <c r="E234" s="192">
        <v>80111600</v>
      </c>
      <c r="F234" s="191" t="s">
        <v>277</v>
      </c>
      <c r="G234" s="193">
        <v>45005</v>
      </c>
      <c r="H234" s="193">
        <v>45005</v>
      </c>
      <c r="I234" s="191">
        <v>10</v>
      </c>
      <c r="J234" s="191" t="s">
        <v>20</v>
      </c>
      <c r="K234" s="197" t="s">
        <v>21</v>
      </c>
      <c r="L234" s="191" t="s">
        <v>27</v>
      </c>
      <c r="M234" s="188">
        <f>35750000-3750000-25600000</f>
        <v>6400000</v>
      </c>
      <c r="N234" s="192" t="s">
        <v>230</v>
      </c>
      <c r="O234" s="192" t="s">
        <v>164</v>
      </c>
      <c r="P234" s="192" t="s">
        <v>24</v>
      </c>
    </row>
    <row r="235" spans="1:16" s="196" customFormat="1" ht="150" x14ac:dyDescent="0.2">
      <c r="A235" s="2">
        <v>2023252</v>
      </c>
      <c r="B235" s="2">
        <v>7658</v>
      </c>
      <c r="C235" s="3" t="s">
        <v>143</v>
      </c>
      <c r="D235" s="191" t="s">
        <v>222</v>
      </c>
      <c r="E235" s="192">
        <v>80111600</v>
      </c>
      <c r="F235" s="191" t="s">
        <v>278</v>
      </c>
      <c r="G235" s="193">
        <v>44931</v>
      </c>
      <c r="H235" s="193">
        <v>44942</v>
      </c>
      <c r="I235" s="191">
        <v>10</v>
      </c>
      <c r="J235" s="191" t="s">
        <v>20</v>
      </c>
      <c r="K235" s="197" t="s">
        <v>21</v>
      </c>
      <c r="L235" s="191" t="s">
        <v>27</v>
      </c>
      <c r="M235" s="188">
        <f>69000000-8500000+14010000+309000-150000-14669000-36000000</f>
        <v>24000000</v>
      </c>
      <c r="N235" s="192" t="s">
        <v>230</v>
      </c>
      <c r="O235" s="192" t="s">
        <v>164</v>
      </c>
      <c r="P235" s="192" t="s">
        <v>24</v>
      </c>
    </row>
    <row r="236" spans="1:16" s="196" customFormat="1" ht="150" x14ac:dyDescent="0.2">
      <c r="A236" s="2">
        <v>2023253</v>
      </c>
      <c r="B236" s="2">
        <v>7658</v>
      </c>
      <c r="C236" s="3" t="s">
        <v>143</v>
      </c>
      <c r="D236" s="191" t="s">
        <v>222</v>
      </c>
      <c r="E236" s="192">
        <v>80111600</v>
      </c>
      <c r="F236" s="191" t="s">
        <v>279</v>
      </c>
      <c r="G236" s="193">
        <v>44931</v>
      </c>
      <c r="H236" s="193">
        <v>44942</v>
      </c>
      <c r="I236" s="191">
        <v>10.5</v>
      </c>
      <c r="J236" s="191" t="s">
        <v>20</v>
      </c>
      <c r="K236" s="197" t="s">
        <v>21</v>
      </c>
      <c r="L236" s="191" t="s">
        <v>27</v>
      </c>
      <c r="M236" s="188">
        <f>42350000-1925000-25025000</f>
        <v>15400000</v>
      </c>
      <c r="N236" s="192" t="s">
        <v>230</v>
      </c>
      <c r="O236" s="192" t="s">
        <v>164</v>
      </c>
      <c r="P236" s="192" t="s">
        <v>24</v>
      </c>
    </row>
    <row r="237" spans="1:16" s="196" customFormat="1" ht="165" x14ac:dyDescent="0.2">
      <c r="A237" s="2">
        <v>2023254</v>
      </c>
      <c r="B237" s="2">
        <v>7658</v>
      </c>
      <c r="C237" s="3" t="s">
        <v>143</v>
      </c>
      <c r="D237" s="191" t="s">
        <v>222</v>
      </c>
      <c r="E237" s="192">
        <v>80111600</v>
      </c>
      <c r="F237" s="191" t="s">
        <v>280</v>
      </c>
      <c r="G237" s="193">
        <v>44931</v>
      </c>
      <c r="H237" s="193">
        <v>44942</v>
      </c>
      <c r="I237" s="191">
        <v>11</v>
      </c>
      <c r="J237" s="191" t="s">
        <v>20</v>
      </c>
      <c r="K237" s="197" t="s">
        <v>21</v>
      </c>
      <c r="L237" s="191" t="s">
        <v>27</v>
      </c>
      <c r="M237" s="188">
        <f>72150000-650000</f>
        <v>71500000</v>
      </c>
      <c r="N237" s="192" t="s">
        <v>230</v>
      </c>
      <c r="O237" s="192" t="s">
        <v>164</v>
      </c>
      <c r="P237" s="192" t="s">
        <v>24</v>
      </c>
    </row>
    <row r="238" spans="1:16" s="196" customFormat="1" ht="120" x14ac:dyDescent="0.2">
      <c r="A238" s="2">
        <v>2023255</v>
      </c>
      <c r="B238" s="2">
        <v>7658</v>
      </c>
      <c r="C238" s="3" t="s">
        <v>143</v>
      </c>
      <c r="D238" s="191" t="s">
        <v>222</v>
      </c>
      <c r="E238" s="192">
        <v>80111600</v>
      </c>
      <c r="F238" s="191" t="s">
        <v>281</v>
      </c>
      <c r="G238" s="193">
        <v>44931</v>
      </c>
      <c r="H238" s="193">
        <v>44942</v>
      </c>
      <c r="I238" s="191">
        <v>11.5</v>
      </c>
      <c r="J238" s="191" t="s">
        <v>20</v>
      </c>
      <c r="K238" s="197" t="s">
        <v>21</v>
      </c>
      <c r="L238" s="191" t="s">
        <v>27</v>
      </c>
      <c r="M238" s="188">
        <f>30659000-22059000</f>
        <v>8600000</v>
      </c>
      <c r="N238" s="192" t="s">
        <v>225</v>
      </c>
      <c r="O238" s="192" t="s">
        <v>164</v>
      </c>
      <c r="P238" s="192" t="s">
        <v>24</v>
      </c>
    </row>
    <row r="239" spans="1:16" s="196" customFormat="1" ht="60" x14ac:dyDescent="0.2">
      <c r="A239" s="2">
        <v>2023256</v>
      </c>
      <c r="B239" s="2">
        <v>7655</v>
      </c>
      <c r="C239" s="3" t="s">
        <v>25</v>
      </c>
      <c r="D239" s="191" t="s">
        <v>282</v>
      </c>
      <c r="E239" s="192">
        <v>80111600</v>
      </c>
      <c r="F239" s="191" t="s">
        <v>283</v>
      </c>
      <c r="G239" s="193">
        <v>45031</v>
      </c>
      <c r="H239" s="193">
        <v>45031</v>
      </c>
      <c r="I239" s="191">
        <v>8</v>
      </c>
      <c r="J239" s="191" t="s">
        <v>20</v>
      </c>
      <c r="K239" s="197" t="s">
        <v>21</v>
      </c>
      <c r="L239" s="191" t="s">
        <v>27</v>
      </c>
      <c r="M239" s="230">
        <f>124514000-28594000-30000000-29938667</f>
        <v>35981333</v>
      </c>
      <c r="N239" s="192" t="s">
        <v>28</v>
      </c>
      <c r="O239" s="192" t="s">
        <v>29</v>
      </c>
      <c r="P239" s="192" t="s">
        <v>24</v>
      </c>
    </row>
    <row r="240" spans="1:16" s="196" customFormat="1" ht="105" x14ac:dyDescent="0.2">
      <c r="A240" s="2">
        <v>2023257</v>
      </c>
      <c r="B240" s="2">
        <v>7658</v>
      </c>
      <c r="C240" s="3" t="s">
        <v>143</v>
      </c>
      <c r="D240" s="191" t="s">
        <v>282</v>
      </c>
      <c r="E240" s="192" t="s">
        <v>284</v>
      </c>
      <c r="F240" s="191" t="s">
        <v>285</v>
      </c>
      <c r="G240" s="193">
        <v>44941</v>
      </c>
      <c r="H240" s="193">
        <v>45000</v>
      </c>
      <c r="I240" s="191">
        <v>8</v>
      </c>
      <c r="J240" s="191" t="s">
        <v>160</v>
      </c>
      <c r="K240" s="197" t="s">
        <v>21</v>
      </c>
      <c r="L240" s="191" t="s">
        <v>27</v>
      </c>
      <c r="M240" s="188">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40" s="192" t="s">
        <v>286</v>
      </c>
      <c r="O240" s="192" t="s">
        <v>287</v>
      </c>
      <c r="P240" s="192" t="s">
        <v>24</v>
      </c>
    </row>
    <row r="241" spans="1:16" s="196" customFormat="1" ht="90" x14ac:dyDescent="0.2">
      <c r="A241" s="2">
        <v>2023258</v>
      </c>
      <c r="B241" s="2">
        <v>7658</v>
      </c>
      <c r="C241" s="3" t="s">
        <v>143</v>
      </c>
      <c r="D241" s="191" t="s">
        <v>282</v>
      </c>
      <c r="E241" s="192" t="s">
        <v>288</v>
      </c>
      <c r="F241" s="191" t="s">
        <v>289</v>
      </c>
      <c r="G241" s="193">
        <v>45022</v>
      </c>
      <c r="H241" s="193">
        <v>45078</v>
      </c>
      <c r="I241" s="191">
        <v>6</v>
      </c>
      <c r="J241" s="191" t="s">
        <v>155</v>
      </c>
      <c r="K241" s="197" t="s">
        <v>21</v>
      </c>
      <c r="L241" s="191" t="s">
        <v>27</v>
      </c>
      <c r="M241" s="188">
        <f>20000000-11000000-9000000</f>
        <v>0</v>
      </c>
      <c r="N241" s="192" t="s">
        <v>286</v>
      </c>
      <c r="O241" s="192" t="s">
        <v>287</v>
      </c>
      <c r="P241" s="192" t="s">
        <v>24</v>
      </c>
    </row>
    <row r="242" spans="1:16" s="196" customFormat="1" ht="120" x14ac:dyDescent="0.2">
      <c r="A242" s="2">
        <v>2023259</v>
      </c>
      <c r="B242" s="2">
        <v>7658</v>
      </c>
      <c r="C242" s="3" t="s">
        <v>143</v>
      </c>
      <c r="D242" s="191" t="s">
        <v>282</v>
      </c>
      <c r="E242" s="192" t="s">
        <v>290</v>
      </c>
      <c r="F242" s="191" t="s">
        <v>291</v>
      </c>
      <c r="G242" s="193">
        <v>44946</v>
      </c>
      <c r="H242" s="193">
        <v>45077</v>
      </c>
      <c r="I242" s="191">
        <v>8</v>
      </c>
      <c r="J242" s="191" t="s">
        <v>155</v>
      </c>
      <c r="K242" s="197" t="s">
        <v>21</v>
      </c>
      <c r="L242" s="191" t="s">
        <v>27</v>
      </c>
      <c r="M242" s="188">
        <f>120000000-83128962+55419308+10000000+2709654</f>
        <v>105000000</v>
      </c>
      <c r="N242" s="192" t="s">
        <v>286</v>
      </c>
      <c r="O242" s="192" t="s">
        <v>287</v>
      </c>
      <c r="P242" s="192" t="s">
        <v>24</v>
      </c>
    </row>
    <row r="243" spans="1:16" s="196" customFormat="1" ht="105" x14ac:dyDescent="0.2">
      <c r="A243" s="2">
        <v>2023260</v>
      </c>
      <c r="B243" s="2">
        <v>7658</v>
      </c>
      <c r="C243" s="3" t="s">
        <v>143</v>
      </c>
      <c r="D243" s="191" t="s">
        <v>282</v>
      </c>
      <c r="E243" s="192" t="s">
        <v>292</v>
      </c>
      <c r="F243" s="191" t="s">
        <v>293</v>
      </c>
      <c r="G243" s="193">
        <v>45047</v>
      </c>
      <c r="H243" s="193">
        <v>45078</v>
      </c>
      <c r="I243" s="191">
        <v>10</v>
      </c>
      <c r="J243" s="191" t="s">
        <v>119</v>
      </c>
      <c r="K243" s="197" t="s">
        <v>21</v>
      </c>
      <c r="L243" s="191" t="s">
        <v>27</v>
      </c>
      <c r="M243" s="188">
        <f>10000000-10000000</f>
        <v>0</v>
      </c>
      <c r="N243" s="192" t="s">
        <v>286</v>
      </c>
      <c r="O243" s="192" t="s">
        <v>287</v>
      </c>
      <c r="P243" s="192" t="s">
        <v>24</v>
      </c>
    </row>
    <row r="244" spans="1:16" s="196" customFormat="1" ht="105" x14ac:dyDescent="0.2">
      <c r="A244" s="2">
        <v>2023261</v>
      </c>
      <c r="B244" s="2">
        <v>7658</v>
      </c>
      <c r="C244" s="3" t="s">
        <v>143</v>
      </c>
      <c r="D244" s="191" t="s">
        <v>282</v>
      </c>
      <c r="E244" s="192" t="s">
        <v>294</v>
      </c>
      <c r="F244" s="191" t="s">
        <v>295</v>
      </c>
      <c r="G244" s="193">
        <v>45118</v>
      </c>
      <c r="H244" s="193">
        <v>45139</v>
      </c>
      <c r="I244" s="191">
        <v>2</v>
      </c>
      <c r="J244" s="191" t="s">
        <v>119</v>
      </c>
      <c r="K244" s="197" t="s">
        <v>21</v>
      </c>
      <c r="L244" s="191" t="s">
        <v>27</v>
      </c>
      <c r="M244" s="188">
        <f>20000000+11000000</f>
        <v>31000000</v>
      </c>
      <c r="N244" s="192" t="s">
        <v>286</v>
      </c>
      <c r="O244" s="192" t="s">
        <v>287</v>
      </c>
      <c r="P244" s="192" t="s">
        <v>24</v>
      </c>
    </row>
    <row r="245" spans="1:16" s="196" customFormat="1" ht="75" x14ac:dyDescent="0.2">
      <c r="A245" s="2">
        <v>2023262</v>
      </c>
      <c r="B245" s="2">
        <v>7658</v>
      </c>
      <c r="C245" s="3" t="s">
        <v>143</v>
      </c>
      <c r="D245" s="191" t="s">
        <v>282</v>
      </c>
      <c r="E245" s="192">
        <v>80111600</v>
      </c>
      <c r="F245" s="191" t="s">
        <v>296</v>
      </c>
      <c r="G245" s="193">
        <v>44986</v>
      </c>
      <c r="H245" s="193">
        <v>44986</v>
      </c>
      <c r="I245" s="191">
        <v>6</v>
      </c>
      <c r="J245" s="191" t="s">
        <v>20</v>
      </c>
      <c r="K245" s="197" t="s">
        <v>21</v>
      </c>
      <c r="L245" s="191" t="s">
        <v>27</v>
      </c>
      <c r="M245" s="188">
        <f>45000000-45000000+2000000+1400000+2950000+2950000+2800000+2800000+3000000+2500000+2700000+6900000</f>
        <v>30000000</v>
      </c>
      <c r="N245" s="192" t="s">
        <v>286</v>
      </c>
      <c r="O245" s="192" t="s">
        <v>287</v>
      </c>
      <c r="P245" s="192" t="s">
        <v>24</v>
      </c>
    </row>
    <row r="246" spans="1:16" s="196" customFormat="1" ht="75" x14ac:dyDescent="0.2">
      <c r="A246" s="2">
        <v>2023263</v>
      </c>
      <c r="B246" s="2">
        <v>7658</v>
      </c>
      <c r="C246" s="3" t="s">
        <v>143</v>
      </c>
      <c r="D246" s="191" t="s">
        <v>282</v>
      </c>
      <c r="E246" s="192">
        <v>80111600</v>
      </c>
      <c r="F246" s="191" t="s">
        <v>297</v>
      </c>
      <c r="G246" s="193">
        <v>44942</v>
      </c>
      <c r="H246" s="193">
        <v>44942</v>
      </c>
      <c r="I246" s="191">
        <v>1</v>
      </c>
      <c r="J246" s="191" t="s">
        <v>20</v>
      </c>
      <c r="K246" s="197" t="s">
        <v>21</v>
      </c>
      <c r="L246" s="191" t="s">
        <v>27</v>
      </c>
      <c r="M246" s="188">
        <f>82400000-18000000-9114285-4200000-2850000-2800000-2800000-2800000-2800000-1400000-3000000-2500000-2500000-2500000-2500000-4850000-4850000-4850000-2750000-4850000-485715</f>
        <v>0</v>
      </c>
      <c r="N246" s="192" t="s">
        <v>286</v>
      </c>
      <c r="O246" s="192" t="s">
        <v>287</v>
      </c>
      <c r="P246" s="192" t="s">
        <v>24</v>
      </c>
    </row>
    <row r="247" spans="1:16" s="196" customFormat="1" ht="75" x14ac:dyDescent="0.2">
      <c r="A247" s="2">
        <v>2023264</v>
      </c>
      <c r="B247" s="2">
        <v>7658</v>
      </c>
      <c r="C247" s="3" t="s">
        <v>143</v>
      </c>
      <c r="D247" s="191" t="s">
        <v>282</v>
      </c>
      <c r="E247" s="192">
        <v>80111600</v>
      </c>
      <c r="F247" s="191" t="s">
        <v>298</v>
      </c>
      <c r="G247" s="193">
        <v>44942</v>
      </c>
      <c r="H247" s="193">
        <v>44942</v>
      </c>
      <c r="I247" s="191">
        <v>10</v>
      </c>
      <c r="J247" s="191" t="s">
        <v>20</v>
      </c>
      <c r="K247" s="197" t="s">
        <v>21</v>
      </c>
      <c r="L247" s="191" t="s">
        <v>27</v>
      </c>
      <c r="M247" s="188">
        <v>80000000</v>
      </c>
      <c r="N247" s="192" t="s">
        <v>286</v>
      </c>
      <c r="O247" s="192" t="s">
        <v>287</v>
      </c>
      <c r="P247" s="192" t="s">
        <v>24</v>
      </c>
    </row>
    <row r="248" spans="1:16" s="196" customFormat="1" ht="75" x14ac:dyDescent="0.2">
      <c r="A248" s="2">
        <v>2023265</v>
      </c>
      <c r="B248" s="2">
        <v>7658</v>
      </c>
      <c r="C248" s="3" t="s">
        <v>143</v>
      </c>
      <c r="D248" s="191" t="s">
        <v>282</v>
      </c>
      <c r="E248" s="192">
        <v>80111600</v>
      </c>
      <c r="F248" s="191" t="s">
        <v>299</v>
      </c>
      <c r="G248" s="193">
        <v>44942</v>
      </c>
      <c r="H248" s="193">
        <v>44942</v>
      </c>
      <c r="I248" s="191">
        <v>10</v>
      </c>
      <c r="J248" s="191" t="s">
        <v>20</v>
      </c>
      <c r="K248" s="197" t="s">
        <v>21</v>
      </c>
      <c r="L248" s="191" t="s">
        <v>27</v>
      </c>
      <c r="M248" s="188">
        <f>75000000-11200000-14000000-18000000-18000000-13800000</f>
        <v>0</v>
      </c>
      <c r="N248" s="192" t="s">
        <v>286</v>
      </c>
      <c r="O248" s="192" t="s">
        <v>287</v>
      </c>
      <c r="P248" s="192" t="s">
        <v>24</v>
      </c>
    </row>
    <row r="249" spans="1:16" s="196" customFormat="1" ht="75" x14ac:dyDescent="0.2">
      <c r="A249" s="2">
        <v>2023266</v>
      </c>
      <c r="B249" s="2">
        <v>7658</v>
      </c>
      <c r="C249" s="3" t="s">
        <v>143</v>
      </c>
      <c r="D249" s="191" t="s">
        <v>282</v>
      </c>
      <c r="E249" s="192">
        <v>80111600</v>
      </c>
      <c r="F249" s="191" t="s">
        <v>300</v>
      </c>
      <c r="G249" s="193">
        <v>44942</v>
      </c>
      <c r="H249" s="193">
        <v>44942</v>
      </c>
      <c r="I249" s="191">
        <v>10</v>
      </c>
      <c r="J249" s="191" t="s">
        <v>20</v>
      </c>
      <c r="K249" s="197" t="s">
        <v>21</v>
      </c>
      <c r="L249" s="191" t="s">
        <v>27</v>
      </c>
      <c r="M249" s="188">
        <f>42000000-25200000</f>
        <v>16800000</v>
      </c>
      <c r="N249" s="192" t="s">
        <v>286</v>
      </c>
      <c r="O249" s="192" t="s">
        <v>287</v>
      </c>
      <c r="P249" s="192" t="s">
        <v>24</v>
      </c>
    </row>
    <row r="250" spans="1:16" s="196" customFormat="1" ht="75" x14ac:dyDescent="0.2">
      <c r="A250" s="2">
        <v>2023267</v>
      </c>
      <c r="B250" s="2">
        <v>7658</v>
      </c>
      <c r="C250" s="3" t="s">
        <v>143</v>
      </c>
      <c r="D250" s="191" t="s">
        <v>282</v>
      </c>
      <c r="E250" s="192">
        <v>80111600</v>
      </c>
      <c r="F250" s="191" t="s">
        <v>301</v>
      </c>
      <c r="G250" s="193">
        <v>44942</v>
      </c>
      <c r="H250" s="193">
        <v>44942</v>
      </c>
      <c r="I250" s="191">
        <v>4</v>
      </c>
      <c r="J250" s="191" t="s">
        <v>20</v>
      </c>
      <c r="K250" s="197" t="s">
        <v>21</v>
      </c>
      <c r="L250" s="191" t="s">
        <v>27</v>
      </c>
      <c r="M250" s="188">
        <f>28000000-12600000-2000000</f>
        <v>13400000</v>
      </c>
      <c r="N250" s="192" t="s">
        <v>286</v>
      </c>
      <c r="O250" s="192" t="s">
        <v>287</v>
      </c>
      <c r="P250" s="192" t="s">
        <v>24</v>
      </c>
    </row>
    <row r="251" spans="1:16" s="196" customFormat="1" ht="75" x14ac:dyDescent="0.2">
      <c r="A251" s="2">
        <v>2023268</v>
      </c>
      <c r="B251" s="2">
        <v>7658</v>
      </c>
      <c r="C251" s="3" t="s">
        <v>143</v>
      </c>
      <c r="D251" s="191" t="s">
        <v>282</v>
      </c>
      <c r="E251" s="192">
        <v>80111600</v>
      </c>
      <c r="F251" s="191" t="s">
        <v>302</v>
      </c>
      <c r="G251" s="193">
        <v>44942</v>
      </c>
      <c r="H251" s="193">
        <v>44942</v>
      </c>
      <c r="I251" s="191">
        <v>4</v>
      </c>
      <c r="J251" s="191" t="s">
        <v>20</v>
      </c>
      <c r="K251" s="197" t="s">
        <v>21</v>
      </c>
      <c r="L251" s="191" t="s">
        <v>27</v>
      </c>
      <c r="M251" s="188">
        <v>16800000</v>
      </c>
      <c r="N251" s="192" t="s">
        <v>286</v>
      </c>
      <c r="O251" s="192" t="s">
        <v>287</v>
      </c>
      <c r="P251" s="192" t="s">
        <v>24</v>
      </c>
    </row>
    <row r="252" spans="1:16" s="196" customFormat="1" ht="75" x14ac:dyDescent="0.2">
      <c r="A252" s="2">
        <v>2023269</v>
      </c>
      <c r="B252" s="2">
        <v>7658</v>
      </c>
      <c r="C252" s="3" t="s">
        <v>143</v>
      </c>
      <c r="D252" s="191" t="s">
        <v>282</v>
      </c>
      <c r="E252" s="192">
        <v>80111600</v>
      </c>
      <c r="F252" s="191" t="s">
        <v>303</v>
      </c>
      <c r="G252" s="193">
        <v>44942</v>
      </c>
      <c r="H252" s="193">
        <v>44942</v>
      </c>
      <c r="I252" s="191">
        <v>4</v>
      </c>
      <c r="J252" s="191" t="s">
        <v>20</v>
      </c>
      <c r="K252" s="197" t="s">
        <v>21</v>
      </c>
      <c r="L252" s="191" t="s">
        <v>27</v>
      </c>
      <c r="M252" s="188">
        <f>11400000</f>
        <v>11400000</v>
      </c>
      <c r="N252" s="192" t="s">
        <v>286</v>
      </c>
      <c r="O252" s="192" t="s">
        <v>287</v>
      </c>
      <c r="P252" s="192" t="s">
        <v>24</v>
      </c>
    </row>
    <row r="253" spans="1:16" s="196" customFormat="1" ht="75" x14ac:dyDescent="0.2">
      <c r="A253" s="2">
        <v>2023270</v>
      </c>
      <c r="B253" s="2">
        <v>7658</v>
      </c>
      <c r="C253" s="3" t="s">
        <v>143</v>
      </c>
      <c r="D253" s="191" t="s">
        <v>282</v>
      </c>
      <c r="E253" s="192">
        <v>80111600</v>
      </c>
      <c r="F253" s="191" t="s">
        <v>304</v>
      </c>
      <c r="G253" s="193">
        <v>44942</v>
      </c>
      <c r="H253" s="193">
        <v>44942</v>
      </c>
      <c r="I253" s="191">
        <v>10</v>
      </c>
      <c r="J253" s="191" t="s">
        <v>20</v>
      </c>
      <c r="K253" s="197" t="s">
        <v>21</v>
      </c>
      <c r="L253" s="191" t="s">
        <v>27</v>
      </c>
      <c r="M253" s="188">
        <f>38500000-23100000</f>
        <v>15400000</v>
      </c>
      <c r="N253" s="192" t="s">
        <v>286</v>
      </c>
      <c r="O253" s="192" t="s">
        <v>287</v>
      </c>
      <c r="P253" s="192" t="s">
        <v>24</v>
      </c>
    </row>
    <row r="254" spans="1:16" s="196" customFormat="1" ht="75" x14ac:dyDescent="0.2">
      <c r="A254" s="2">
        <v>2023271</v>
      </c>
      <c r="B254" s="2">
        <v>7658</v>
      </c>
      <c r="C254" s="3" t="s">
        <v>143</v>
      </c>
      <c r="D254" s="191" t="s">
        <v>282</v>
      </c>
      <c r="E254" s="192">
        <v>80111600</v>
      </c>
      <c r="F254" s="191" t="s">
        <v>305</v>
      </c>
      <c r="G254" s="193">
        <v>44942</v>
      </c>
      <c r="H254" s="193">
        <v>44942</v>
      </c>
      <c r="I254" s="191">
        <v>4</v>
      </c>
      <c r="J254" s="191" t="s">
        <v>20</v>
      </c>
      <c r="K254" s="197" t="s">
        <v>21</v>
      </c>
      <c r="L254" s="191" t="s">
        <v>27</v>
      </c>
      <c r="M254" s="188">
        <v>11200000</v>
      </c>
      <c r="N254" s="192" t="s">
        <v>286</v>
      </c>
      <c r="O254" s="192" t="s">
        <v>287</v>
      </c>
      <c r="P254" s="192" t="s">
        <v>24</v>
      </c>
    </row>
    <row r="255" spans="1:16" s="196" customFormat="1" ht="75" x14ac:dyDescent="0.2">
      <c r="A255" s="2">
        <v>2023272</v>
      </c>
      <c r="B255" s="2">
        <v>7658</v>
      </c>
      <c r="C255" s="3" t="s">
        <v>143</v>
      </c>
      <c r="D255" s="191" t="s">
        <v>282</v>
      </c>
      <c r="E255" s="192">
        <v>80111600</v>
      </c>
      <c r="F255" s="191" t="s">
        <v>305</v>
      </c>
      <c r="G255" s="193">
        <v>44942</v>
      </c>
      <c r="H255" s="193">
        <v>44942</v>
      </c>
      <c r="I255" s="191">
        <v>3</v>
      </c>
      <c r="J255" s="191" t="s">
        <v>20</v>
      </c>
      <c r="K255" s="197" t="s">
        <v>21</v>
      </c>
      <c r="L255" s="191" t="s">
        <v>27</v>
      </c>
      <c r="M255" s="188">
        <f>11200000-1400000-1400000</f>
        <v>8400000</v>
      </c>
      <c r="N255" s="192" t="s">
        <v>286</v>
      </c>
      <c r="O255" s="192" t="s">
        <v>287</v>
      </c>
      <c r="P255" s="192" t="s">
        <v>24</v>
      </c>
    </row>
    <row r="256" spans="1:16" s="196" customFormat="1" ht="75" x14ac:dyDescent="0.2">
      <c r="A256" s="2">
        <v>2023273</v>
      </c>
      <c r="B256" s="2">
        <v>7658</v>
      </c>
      <c r="C256" s="3" t="s">
        <v>143</v>
      </c>
      <c r="D256" s="191" t="s">
        <v>282</v>
      </c>
      <c r="E256" s="192">
        <v>80111600</v>
      </c>
      <c r="F256" s="191" t="s">
        <v>305</v>
      </c>
      <c r="G256" s="193">
        <v>44942</v>
      </c>
      <c r="H256" s="193">
        <v>44942</v>
      </c>
      <c r="I256" s="191">
        <v>3</v>
      </c>
      <c r="J256" s="191" t="s">
        <v>20</v>
      </c>
      <c r="K256" s="197" t="s">
        <v>21</v>
      </c>
      <c r="L256" s="191" t="s">
        <v>27</v>
      </c>
      <c r="M256" s="188">
        <f>11200000-2950000</f>
        <v>8250000</v>
      </c>
      <c r="N256" s="192" t="s">
        <v>286</v>
      </c>
      <c r="O256" s="192" t="s">
        <v>287</v>
      </c>
      <c r="P256" s="192" t="s">
        <v>24</v>
      </c>
    </row>
    <row r="257" spans="1:16" s="196" customFormat="1" ht="75" x14ac:dyDescent="0.2">
      <c r="A257" s="2">
        <v>2023274</v>
      </c>
      <c r="B257" s="2">
        <v>7658</v>
      </c>
      <c r="C257" s="3" t="s">
        <v>143</v>
      </c>
      <c r="D257" s="191" t="s">
        <v>282</v>
      </c>
      <c r="E257" s="192">
        <v>80111600</v>
      </c>
      <c r="F257" s="191" t="s">
        <v>305</v>
      </c>
      <c r="G257" s="193">
        <v>44942</v>
      </c>
      <c r="H257" s="193">
        <v>44942</v>
      </c>
      <c r="I257" s="191">
        <v>3</v>
      </c>
      <c r="J257" s="191" t="s">
        <v>20</v>
      </c>
      <c r="K257" s="197" t="s">
        <v>21</v>
      </c>
      <c r="L257" s="191" t="s">
        <v>27</v>
      </c>
      <c r="M257" s="188">
        <f>11200000-2950000</f>
        <v>8250000</v>
      </c>
      <c r="N257" s="192" t="s">
        <v>286</v>
      </c>
      <c r="O257" s="192" t="s">
        <v>287</v>
      </c>
      <c r="P257" s="192" t="s">
        <v>24</v>
      </c>
    </row>
    <row r="258" spans="1:16" s="196" customFormat="1" ht="75" x14ac:dyDescent="0.2">
      <c r="A258" s="2">
        <v>2023275</v>
      </c>
      <c r="B258" s="2">
        <v>7658</v>
      </c>
      <c r="C258" s="3" t="s">
        <v>143</v>
      </c>
      <c r="D258" s="191" t="s">
        <v>282</v>
      </c>
      <c r="E258" s="192">
        <v>80111600</v>
      </c>
      <c r="F258" s="191" t="s">
        <v>305</v>
      </c>
      <c r="G258" s="193">
        <v>44942</v>
      </c>
      <c r="H258" s="193">
        <v>44942</v>
      </c>
      <c r="I258" s="191">
        <v>2</v>
      </c>
      <c r="J258" s="191" t="s">
        <v>20</v>
      </c>
      <c r="K258" s="197" t="s">
        <v>21</v>
      </c>
      <c r="L258" s="191" t="s">
        <v>27</v>
      </c>
      <c r="M258" s="188">
        <f>11200000-2800000-2800000</f>
        <v>5600000</v>
      </c>
      <c r="N258" s="192" t="s">
        <v>286</v>
      </c>
      <c r="O258" s="192" t="s">
        <v>287</v>
      </c>
      <c r="P258" s="192" t="s">
        <v>24</v>
      </c>
    </row>
    <row r="259" spans="1:16" s="196" customFormat="1" ht="75" x14ac:dyDescent="0.2">
      <c r="A259" s="2">
        <v>2023276</v>
      </c>
      <c r="B259" s="2">
        <v>7658</v>
      </c>
      <c r="C259" s="3" t="s">
        <v>143</v>
      </c>
      <c r="D259" s="191" t="s">
        <v>282</v>
      </c>
      <c r="E259" s="192">
        <v>80111600</v>
      </c>
      <c r="F259" s="191" t="s">
        <v>305</v>
      </c>
      <c r="G259" s="193">
        <v>44942</v>
      </c>
      <c r="H259" s="193">
        <v>44942</v>
      </c>
      <c r="I259" s="191">
        <v>4</v>
      </c>
      <c r="J259" s="191" t="s">
        <v>20</v>
      </c>
      <c r="K259" s="197" t="s">
        <v>21</v>
      </c>
      <c r="L259" s="191" t="s">
        <v>27</v>
      </c>
      <c r="M259" s="188">
        <f>11200000-11200000</f>
        <v>0</v>
      </c>
      <c r="N259" s="192" t="s">
        <v>286</v>
      </c>
      <c r="O259" s="192" t="s">
        <v>287</v>
      </c>
      <c r="P259" s="192" t="s">
        <v>24</v>
      </c>
    </row>
    <row r="260" spans="1:16" s="196" customFormat="1" ht="75" x14ac:dyDescent="0.2">
      <c r="A260" s="2">
        <v>2023277</v>
      </c>
      <c r="B260" s="2">
        <v>7658</v>
      </c>
      <c r="C260" s="3" t="s">
        <v>143</v>
      </c>
      <c r="D260" s="191" t="s">
        <v>282</v>
      </c>
      <c r="E260" s="192">
        <v>80111600</v>
      </c>
      <c r="F260" s="191" t="s">
        <v>305</v>
      </c>
      <c r="G260" s="193">
        <v>44942</v>
      </c>
      <c r="H260" s="193">
        <v>44942</v>
      </c>
      <c r="I260" s="191">
        <v>8</v>
      </c>
      <c r="J260" s="191" t="s">
        <v>20</v>
      </c>
      <c r="K260" s="197" t="s">
        <v>21</v>
      </c>
      <c r="L260" s="191" t="s">
        <v>27</v>
      </c>
      <c r="M260" s="188">
        <f>11200000-2800000-2800000</f>
        <v>5600000</v>
      </c>
      <c r="N260" s="192" t="s">
        <v>286</v>
      </c>
      <c r="O260" s="192" t="s">
        <v>287</v>
      </c>
      <c r="P260" s="192" t="s">
        <v>24</v>
      </c>
    </row>
    <row r="261" spans="1:16" s="196" customFormat="1" ht="75" x14ac:dyDescent="0.2">
      <c r="A261" s="2">
        <v>2023278</v>
      </c>
      <c r="B261" s="2">
        <v>7658</v>
      </c>
      <c r="C261" s="3" t="s">
        <v>143</v>
      </c>
      <c r="D261" s="191" t="s">
        <v>282</v>
      </c>
      <c r="E261" s="192">
        <v>80111600</v>
      </c>
      <c r="F261" s="191" t="s">
        <v>306</v>
      </c>
      <c r="G261" s="193">
        <v>44942</v>
      </c>
      <c r="H261" s="193">
        <v>44942</v>
      </c>
      <c r="I261" s="191">
        <v>4</v>
      </c>
      <c r="J261" s="191" t="s">
        <v>20</v>
      </c>
      <c r="K261" s="197" t="s">
        <v>21</v>
      </c>
      <c r="L261" s="191" t="s">
        <v>27</v>
      </c>
      <c r="M261" s="188">
        <f>11200000-11200000</f>
        <v>0</v>
      </c>
      <c r="N261" s="192" t="s">
        <v>286</v>
      </c>
      <c r="O261" s="192" t="s">
        <v>287</v>
      </c>
      <c r="P261" s="192" t="s">
        <v>24</v>
      </c>
    </row>
    <row r="262" spans="1:16" s="196" customFormat="1" ht="75" x14ac:dyDescent="0.2">
      <c r="A262" s="2">
        <v>2023279</v>
      </c>
      <c r="B262" s="2">
        <v>7658</v>
      </c>
      <c r="C262" s="3" t="s">
        <v>143</v>
      </c>
      <c r="D262" s="191" t="s">
        <v>282</v>
      </c>
      <c r="E262" s="192">
        <v>80111600</v>
      </c>
      <c r="F262" s="191" t="s">
        <v>307</v>
      </c>
      <c r="G262" s="193">
        <v>44942</v>
      </c>
      <c r="H262" s="193">
        <v>44942</v>
      </c>
      <c r="I262" s="191">
        <v>3</v>
      </c>
      <c r="J262" s="191" t="s">
        <v>20</v>
      </c>
      <c r="K262" s="197" t="s">
        <v>21</v>
      </c>
      <c r="L262" s="191" t="s">
        <v>27</v>
      </c>
      <c r="M262" s="188">
        <f>12000000-3000000</f>
        <v>9000000</v>
      </c>
      <c r="N262" s="192" t="s">
        <v>286</v>
      </c>
      <c r="O262" s="192" t="s">
        <v>287</v>
      </c>
      <c r="P262" s="192" t="s">
        <v>24</v>
      </c>
    </row>
    <row r="263" spans="1:16" s="196" customFormat="1" ht="75" x14ac:dyDescent="0.2">
      <c r="A263" s="2">
        <v>2023280</v>
      </c>
      <c r="B263" s="2">
        <v>7658</v>
      </c>
      <c r="C263" s="3" t="s">
        <v>143</v>
      </c>
      <c r="D263" s="191" t="s">
        <v>282</v>
      </c>
      <c r="E263" s="192">
        <v>80111600</v>
      </c>
      <c r="F263" s="191" t="s">
        <v>308</v>
      </c>
      <c r="G263" s="193">
        <v>44942</v>
      </c>
      <c r="H263" s="193">
        <v>44942</v>
      </c>
      <c r="I263" s="191">
        <v>3</v>
      </c>
      <c r="J263" s="191" t="s">
        <v>20</v>
      </c>
      <c r="K263" s="197" t="s">
        <v>21</v>
      </c>
      <c r="L263" s="191" t="s">
        <v>27</v>
      </c>
      <c r="M263" s="188">
        <f>12000000-2000000-2500000</f>
        <v>7500000</v>
      </c>
      <c r="N263" s="192" t="s">
        <v>286</v>
      </c>
      <c r="O263" s="192" t="s">
        <v>287</v>
      </c>
      <c r="P263" s="192" t="s">
        <v>24</v>
      </c>
    </row>
    <row r="264" spans="1:16" s="196" customFormat="1" ht="75" x14ac:dyDescent="0.2">
      <c r="A264" s="2">
        <v>2023281</v>
      </c>
      <c r="B264" s="2">
        <v>7658</v>
      </c>
      <c r="C264" s="3" t="s">
        <v>143</v>
      </c>
      <c r="D264" s="191" t="s">
        <v>282</v>
      </c>
      <c r="E264" s="192">
        <v>80111600</v>
      </c>
      <c r="F264" s="191" t="s">
        <v>308</v>
      </c>
      <c r="G264" s="193">
        <v>44942</v>
      </c>
      <c r="H264" s="193">
        <v>44942</v>
      </c>
      <c r="I264" s="191">
        <v>4</v>
      </c>
      <c r="J264" s="191" t="s">
        <v>20</v>
      </c>
      <c r="K264" s="197" t="s">
        <v>21</v>
      </c>
      <c r="L264" s="191" t="s">
        <v>27</v>
      </c>
      <c r="M264" s="188">
        <v>10000000</v>
      </c>
      <c r="N264" s="192" t="s">
        <v>286</v>
      </c>
      <c r="O264" s="192" t="s">
        <v>287</v>
      </c>
      <c r="P264" s="192" t="s">
        <v>24</v>
      </c>
    </row>
    <row r="265" spans="1:16" s="196" customFormat="1" ht="75" x14ac:dyDescent="0.2">
      <c r="A265" s="2">
        <v>2023282</v>
      </c>
      <c r="B265" s="2">
        <v>7658</v>
      </c>
      <c r="C265" s="3" t="s">
        <v>143</v>
      </c>
      <c r="D265" s="191" t="s">
        <v>282</v>
      </c>
      <c r="E265" s="192">
        <v>80111600</v>
      </c>
      <c r="F265" s="191" t="s">
        <v>308</v>
      </c>
      <c r="G265" s="193">
        <v>44942</v>
      </c>
      <c r="H265" s="193">
        <v>44942</v>
      </c>
      <c r="I265" s="191">
        <v>4</v>
      </c>
      <c r="J265" s="191" t="s">
        <v>20</v>
      </c>
      <c r="K265" s="197" t="s">
        <v>21</v>
      </c>
      <c r="L265" s="191" t="s">
        <v>27</v>
      </c>
      <c r="M265" s="188">
        <v>10000000</v>
      </c>
      <c r="N265" s="192" t="s">
        <v>286</v>
      </c>
      <c r="O265" s="192" t="s">
        <v>287</v>
      </c>
      <c r="P265" s="192" t="s">
        <v>24</v>
      </c>
    </row>
    <row r="266" spans="1:16" s="196" customFormat="1" ht="75" x14ac:dyDescent="0.2">
      <c r="A266" s="2">
        <v>2023283</v>
      </c>
      <c r="B266" s="2">
        <v>7658</v>
      </c>
      <c r="C266" s="3" t="s">
        <v>143</v>
      </c>
      <c r="D266" s="191" t="s">
        <v>282</v>
      </c>
      <c r="E266" s="192">
        <v>80111600</v>
      </c>
      <c r="F266" s="191" t="s">
        <v>308</v>
      </c>
      <c r="G266" s="193">
        <v>44942</v>
      </c>
      <c r="H266" s="193">
        <v>44942</v>
      </c>
      <c r="I266" s="191">
        <v>4</v>
      </c>
      <c r="J266" s="191" t="s">
        <v>20</v>
      </c>
      <c r="K266" s="197" t="s">
        <v>21</v>
      </c>
      <c r="L266" s="191" t="s">
        <v>27</v>
      </c>
      <c r="M266" s="188">
        <v>10000000</v>
      </c>
      <c r="N266" s="192" t="s">
        <v>286</v>
      </c>
      <c r="O266" s="192" t="s">
        <v>287</v>
      </c>
      <c r="P266" s="192" t="s">
        <v>24</v>
      </c>
    </row>
    <row r="267" spans="1:16" s="196" customFormat="1" ht="75" x14ac:dyDescent="0.2">
      <c r="A267" s="2">
        <v>2023284</v>
      </c>
      <c r="B267" s="2">
        <v>7658</v>
      </c>
      <c r="C267" s="3" t="s">
        <v>143</v>
      </c>
      <c r="D267" s="191" t="s">
        <v>282</v>
      </c>
      <c r="E267" s="192">
        <v>80111600</v>
      </c>
      <c r="F267" s="191" t="s">
        <v>308</v>
      </c>
      <c r="G267" s="193">
        <v>44942</v>
      </c>
      <c r="H267" s="193">
        <v>44942</v>
      </c>
      <c r="I267" s="191">
        <v>4</v>
      </c>
      <c r="J267" s="191" t="s">
        <v>20</v>
      </c>
      <c r="K267" s="197" t="s">
        <v>21</v>
      </c>
      <c r="L267" s="191" t="s">
        <v>27</v>
      </c>
      <c r="M267" s="188">
        <v>10000000</v>
      </c>
      <c r="N267" s="192" t="s">
        <v>286</v>
      </c>
      <c r="O267" s="192" t="s">
        <v>287</v>
      </c>
      <c r="P267" s="192" t="s">
        <v>24</v>
      </c>
    </row>
    <row r="268" spans="1:16" s="196" customFormat="1" ht="75" x14ac:dyDescent="0.2">
      <c r="A268" s="2">
        <v>2023285</v>
      </c>
      <c r="B268" s="2">
        <v>7658</v>
      </c>
      <c r="C268" s="3" t="s">
        <v>143</v>
      </c>
      <c r="D268" s="191" t="s">
        <v>282</v>
      </c>
      <c r="E268" s="192">
        <v>80111600</v>
      </c>
      <c r="F268" s="191" t="s">
        <v>308</v>
      </c>
      <c r="G268" s="193">
        <v>44942</v>
      </c>
      <c r="H268" s="193">
        <v>44942</v>
      </c>
      <c r="I268" s="191">
        <v>4</v>
      </c>
      <c r="J268" s="191" t="s">
        <v>20</v>
      </c>
      <c r="K268" s="197" t="s">
        <v>21</v>
      </c>
      <c r="L268" s="191" t="s">
        <v>27</v>
      </c>
      <c r="M268" s="188">
        <f>10000000-2500000</f>
        <v>7500000</v>
      </c>
      <c r="N268" s="192" t="s">
        <v>286</v>
      </c>
      <c r="O268" s="192" t="s">
        <v>287</v>
      </c>
      <c r="P268" s="192" t="s">
        <v>24</v>
      </c>
    </row>
    <row r="269" spans="1:16" s="196" customFormat="1" ht="75" x14ac:dyDescent="0.2">
      <c r="A269" s="2">
        <v>2023286</v>
      </c>
      <c r="B269" s="2">
        <v>7658</v>
      </c>
      <c r="C269" s="3" t="s">
        <v>143</v>
      </c>
      <c r="D269" s="191" t="s">
        <v>282</v>
      </c>
      <c r="E269" s="192">
        <v>80111600</v>
      </c>
      <c r="F269" s="191" t="s">
        <v>308</v>
      </c>
      <c r="G269" s="193">
        <v>44942</v>
      </c>
      <c r="H269" s="193">
        <v>44942</v>
      </c>
      <c r="I269" s="191">
        <v>4</v>
      </c>
      <c r="J269" s="191" t="s">
        <v>20</v>
      </c>
      <c r="K269" s="197" t="s">
        <v>21</v>
      </c>
      <c r="L269" s="191" t="s">
        <v>27</v>
      </c>
      <c r="M269" s="188">
        <f>10000000-3750000-2700000-3550000+10000000</f>
        <v>10000000</v>
      </c>
      <c r="N269" s="192" t="s">
        <v>286</v>
      </c>
      <c r="O269" s="192" t="s">
        <v>287</v>
      </c>
      <c r="P269" s="192" t="s">
        <v>24</v>
      </c>
    </row>
    <row r="270" spans="1:16" s="196" customFormat="1" ht="75" x14ac:dyDescent="0.2">
      <c r="A270" s="2">
        <v>2023287</v>
      </c>
      <c r="B270" s="2">
        <v>7658</v>
      </c>
      <c r="C270" s="3" t="s">
        <v>143</v>
      </c>
      <c r="D270" s="191" t="s">
        <v>282</v>
      </c>
      <c r="E270" s="192">
        <v>80111600</v>
      </c>
      <c r="F270" s="191" t="s">
        <v>309</v>
      </c>
      <c r="G270" s="193">
        <v>44942</v>
      </c>
      <c r="H270" s="193">
        <v>44942</v>
      </c>
      <c r="I270" s="191">
        <v>4</v>
      </c>
      <c r="J270" s="191" t="s">
        <v>20</v>
      </c>
      <c r="K270" s="197" t="s">
        <v>21</v>
      </c>
      <c r="L270" s="191" t="s">
        <v>27</v>
      </c>
      <c r="M270" s="188">
        <v>18000000</v>
      </c>
      <c r="N270" s="192" t="s">
        <v>286</v>
      </c>
      <c r="O270" s="192" t="s">
        <v>287</v>
      </c>
      <c r="P270" s="192" t="s">
        <v>24</v>
      </c>
    </row>
    <row r="271" spans="1:16" s="196" customFormat="1" ht="75" x14ac:dyDescent="0.2">
      <c r="A271" s="2">
        <v>2023288</v>
      </c>
      <c r="B271" s="2">
        <v>7658</v>
      </c>
      <c r="C271" s="3" t="s">
        <v>143</v>
      </c>
      <c r="D271" s="191" t="s">
        <v>282</v>
      </c>
      <c r="E271" s="192">
        <v>80111600</v>
      </c>
      <c r="F271" s="191" t="s">
        <v>310</v>
      </c>
      <c r="G271" s="193">
        <v>44942</v>
      </c>
      <c r="H271" s="193">
        <v>44942</v>
      </c>
      <c r="I271" s="191">
        <v>4</v>
      </c>
      <c r="J271" s="191" t="s">
        <v>20</v>
      </c>
      <c r="K271" s="197" t="s">
        <v>21</v>
      </c>
      <c r="L271" s="191" t="s">
        <v>27</v>
      </c>
      <c r="M271" s="188">
        <v>18000000</v>
      </c>
      <c r="N271" s="192" t="s">
        <v>286</v>
      </c>
      <c r="O271" s="192" t="s">
        <v>287</v>
      </c>
      <c r="P271" s="192" t="s">
        <v>24</v>
      </c>
    </row>
    <row r="272" spans="1:16" s="196" customFormat="1" ht="75" x14ac:dyDescent="0.2">
      <c r="A272" s="2">
        <v>2023289</v>
      </c>
      <c r="B272" s="2">
        <v>7658</v>
      </c>
      <c r="C272" s="3" t="s">
        <v>143</v>
      </c>
      <c r="D272" s="191" t="s">
        <v>282</v>
      </c>
      <c r="E272" s="192">
        <v>80111600</v>
      </c>
      <c r="F272" s="191" t="s">
        <v>311</v>
      </c>
      <c r="G272" s="193">
        <v>44942</v>
      </c>
      <c r="H272" s="193">
        <v>44942</v>
      </c>
      <c r="I272" s="191">
        <v>4</v>
      </c>
      <c r="J272" s="191" t="s">
        <v>20</v>
      </c>
      <c r="K272" s="197" t="s">
        <v>21</v>
      </c>
      <c r="L272" s="191" t="s">
        <v>27</v>
      </c>
      <c r="M272" s="188">
        <v>19400000</v>
      </c>
      <c r="N272" s="192" t="s">
        <v>286</v>
      </c>
      <c r="O272" s="192" t="s">
        <v>287</v>
      </c>
      <c r="P272" s="192" t="s">
        <v>24</v>
      </c>
    </row>
    <row r="273" spans="1:16" s="196" customFormat="1" ht="75" x14ac:dyDescent="0.2">
      <c r="A273" s="2">
        <v>2023290</v>
      </c>
      <c r="B273" s="2">
        <v>7658</v>
      </c>
      <c r="C273" s="3" t="s">
        <v>143</v>
      </c>
      <c r="D273" s="191" t="s">
        <v>282</v>
      </c>
      <c r="E273" s="192">
        <v>80111600</v>
      </c>
      <c r="F273" s="191" t="s">
        <v>311</v>
      </c>
      <c r="G273" s="193">
        <v>44942</v>
      </c>
      <c r="H273" s="193">
        <v>44942</v>
      </c>
      <c r="I273" s="191">
        <v>4</v>
      </c>
      <c r="J273" s="191" t="s">
        <v>20</v>
      </c>
      <c r="K273" s="197" t="s">
        <v>21</v>
      </c>
      <c r="L273" s="191" t="s">
        <v>27</v>
      </c>
      <c r="M273" s="188">
        <v>19400000</v>
      </c>
      <c r="N273" s="192" t="s">
        <v>286</v>
      </c>
      <c r="O273" s="192" t="s">
        <v>287</v>
      </c>
      <c r="P273" s="192" t="s">
        <v>24</v>
      </c>
    </row>
    <row r="274" spans="1:16" s="196" customFormat="1" ht="75" x14ac:dyDescent="0.2">
      <c r="A274" s="2">
        <v>2023291</v>
      </c>
      <c r="B274" s="2">
        <v>7658</v>
      </c>
      <c r="C274" s="3" t="s">
        <v>143</v>
      </c>
      <c r="D274" s="191" t="s">
        <v>282</v>
      </c>
      <c r="E274" s="192">
        <v>80111600</v>
      </c>
      <c r="F274" s="191" t="s">
        <v>311</v>
      </c>
      <c r="G274" s="193">
        <v>44942</v>
      </c>
      <c r="H274" s="193">
        <v>44942</v>
      </c>
      <c r="I274" s="191">
        <v>3</v>
      </c>
      <c r="J274" s="191" t="s">
        <v>20</v>
      </c>
      <c r="K274" s="197" t="s">
        <v>21</v>
      </c>
      <c r="L274" s="191" t="s">
        <v>27</v>
      </c>
      <c r="M274" s="188">
        <f>19400000-4850000</f>
        <v>14550000</v>
      </c>
      <c r="N274" s="192" t="s">
        <v>286</v>
      </c>
      <c r="O274" s="192" t="s">
        <v>287</v>
      </c>
      <c r="P274" s="192" t="s">
        <v>24</v>
      </c>
    </row>
    <row r="275" spans="1:16" s="196" customFormat="1" ht="75" x14ac:dyDescent="0.2">
      <c r="A275" s="2">
        <v>2023292</v>
      </c>
      <c r="B275" s="2">
        <v>7658</v>
      </c>
      <c r="C275" s="3" t="s">
        <v>143</v>
      </c>
      <c r="D275" s="191" t="s">
        <v>282</v>
      </c>
      <c r="E275" s="192">
        <v>80111600</v>
      </c>
      <c r="F275" s="191" t="s">
        <v>312</v>
      </c>
      <c r="G275" s="193">
        <v>44942</v>
      </c>
      <c r="H275" s="193">
        <v>44942</v>
      </c>
      <c r="I275" s="191">
        <v>3</v>
      </c>
      <c r="J275" s="191" t="s">
        <v>20</v>
      </c>
      <c r="K275" s="197" t="s">
        <v>21</v>
      </c>
      <c r="L275" s="191" t="s">
        <v>27</v>
      </c>
      <c r="M275" s="188">
        <f>60000000-36000000-6000000</f>
        <v>18000000</v>
      </c>
      <c r="N275" s="192" t="s">
        <v>286</v>
      </c>
      <c r="O275" s="192" t="s">
        <v>287</v>
      </c>
      <c r="P275" s="192" t="s">
        <v>24</v>
      </c>
    </row>
    <row r="276" spans="1:16" s="196" customFormat="1" ht="75" x14ac:dyDescent="0.2">
      <c r="A276" s="2">
        <v>2023293</v>
      </c>
      <c r="B276" s="2">
        <v>7658</v>
      </c>
      <c r="C276" s="3" t="s">
        <v>143</v>
      </c>
      <c r="D276" s="191" t="s">
        <v>282</v>
      </c>
      <c r="E276" s="192">
        <v>80111600</v>
      </c>
      <c r="F276" s="191" t="s">
        <v>312</v>
      </c>
      <c r="G276" s="193">
        <v>44942</v>
      </c>
      <c r="H276" s="193">
        <v>44942</v>
      </c>
      <c r="I276" s="191">
        <v>3</v>
      </c>
      <c r="J276" s="191" t="s">
        <v>20</v>
      </c>
      <c r="K276" s="197" t="s">
        <v>21</v>
      </c>
      <c r="L276" s="191" t="s">
        <v>27</v>
      </c>
      <c r="M276" s="188">
        <f>22000000-5500000</f>
        <v>16500000</v>
      </c>
      <c r="N276" s="192" t="s">
        <v>286</v>
      </c>
      <c r="O276" s="192" t="s">
        <v>287</v>
      </c>
      <c r="P276" s="192" t="s">
        <v>24</v>
      </c>
    </row>
    <row r="277" spans="1:16" s="196" customFormat="1" ht="75" x14ac:dyDescent="0.2">
      <c r="A277" s="2">
        <v>2023294</v>
      </c>
      <c r="B277" s="2">
        <v>7658</v>
      </c>
      <c r="C277" s="3" t="s">
        <v>143</v>
      </c>
      <c r="D277" s="191" t="s">
        <v>282</v>
      </c>
      <c r="E277" s="192">
        <v>80111600</v>
      </c>
      <c r="F277" s="191" t="s">
        <v>312</v>
      </c>
      <c r="G277" s="193">
        <v>44942</v>
      </c>
      <c r="H277" s="193">
        <v>44942</v>
      </c>
      <c r="I277" s="191">
        <v>3</v>
      </c>
      <c r="J277" s="191" t="s">
        <v>20</v>
      </c>
      <c r="K277" s="197" t="s">
        <v>21</v>
      </c>
      <c r="L277" s="191" t="s">
        <v>27</v>
      </c>
      <c r="M277" s="188">
        <f>22000000-5500000</f>
        <v>16500000</v>
      </c>
      <c r="N277" s="192" t="s">
        <v>286</v>
      </c>
      <c r="O277" s="192" t="s">
        <v>287</v>
      </c>
      <c r="P277" s="192" t="s">
        <v>24</v>
      </c>
    </row>
    <row r="278" spans="1:16" s="196" customFormat="1" ht="75" x14ac:dyDescent="0.2">
      <c r="A278" s="2">
        <v>2023295</v>
      </c>
      <c r="B278" s="2">
        <v>7658</v>
      </c>
      <c r="C278" s="3" t="s">
        <v>143</v>
      </c>
      <c r="D278" s="191" t="s">
        <v>282</v>
      </c>
      <c r="E278" s="192">
        <v>80111600</v>
      </c>
      <c r="F278" s="191" t="s">
        <v>305</v>
      </c>
      <c r="G278" s="193">
        <v>44942</v>
      </c>
      <c r="H278" s="193">
        <v>44942</v>
      </c>
      <c r="I278" s="191">
        <v>4</v>
      </c>
      <c r="J278" s="191" t="s">
        <v>20</v>
      </c>
      <c r="K278" s="197" t="s">
        <v>21</v>
      </c>
      <c r="L278" s="191" t="s">
        <v>27</v>
      </c>
      <c r="M278" s="188">
        <f>9800000-9800000+2500000+8700000-2800000</f>
        <v>8400000</v>
      </c>
      <c r="N278" s="192" t="s">
        <v>286</v>
      </c>
      <c r="O278" s="192" t="s">
        <v>287</v>
      </c>
      <c r="P278" s="192" t="s">
        <v>24</v>
      </c>
    </row>
    <row r="279" spans="1:16" s="196" customFormat="1" ht="75" x14ac:dyDescent="0.2">
      <c r="A279" s="2">
        <v>2023296</v>
      </c>
      <c r="B279" s="2">
        <v>7658</v>
      </c>
      <c r="C279" s="3" t="s">
        <v>143</v>
      </c>
      <c r="D279" s="191" t="s">
        <v>282</v>
      </c>
      <c r="E279" s="192">
        <v>80111600</v>
      </c>
      <c r="F279" s="191" t="s">
        <v>313</v>
      </c>
      <c r="G279" s="193">
        <v>44942</v>
      </c>
      <c r="H279" s="193">
        <v>44942</v>
      </c>
      <c r="I279" s="191">
        <v>4</v>
      </c>
      <c r="J279" s="191" t="s">
        <v>20</v>
      </c>
      <c r="K279" s="197" t="s">
        <v>21</v>
      </c>
      <c r="L279" s="191" t="s">
        <v>27</v>
      </c>
      <c r="M279" s="188">
        <f>9800000-1400000</f>
        <v>8400000</v>
      </c>
      <c r="N279" s="192" t="s">
        <v>286</v>
      </c>
      <c r="O279" s="192" t="s">
        <v>287</v>
      </c>
      <c r="P279" s="192" t="s">
        <v>24</v>
      </c>
    </row>
    <row r="280" spans="1:16" s="196" customFormat="1" ht="75" x14ac:dyDescent="0.2">
      <c r="A280" s="2">
        <v>2023297</v>
      </c>
      <c r="B280" s="2">
        <v>7658</v>
      </c>
      <c r="C280" s="3" t="s">
        <v>143</v>
      </c>
      <c r="D280" s="191" t="s">
        <v>282</v>
      </c>
      <c r="E280" s="192">
        <v>80111600</v>
      </c>
      <c r="F280" s="191" t="s">
        <v>313</v>
      </c>
      <c r="G280" s="193">
        <v>44942</v>
      </c>
      <c r="H280" s="193">
        <v>44942</v>
      </c>
      <c r="I280" s="191">
        <v>4</v>
      </c>
      <c r="J280" s="191" t="s">
        <v>20</v>
      </c>
      <c r="K280" s="197" t="s">
        <v>21</v>
      </c>
      <c r="L280" s="191" t="s">
        <v>27</v>
      </c>
      <c r="M280" s="188">
        <f>9800000-1400000</f>
        <v>8400000</v>
      </c>
      <c r="N280" s="192" t="s">
        <v>286</v>
      </c>
      <c r="O280" s="192" t="s">
        <v>287</v>
      </c>
      <c r="P280" s="192" t="s">
        <v>24</v>
      </c>
    </row>
    <row r="281" spans="1:16" s="196" customFormat="1" ht="75" x14ac:dyDescent="0.2">
      <c r="A281" s="2">
        <v>2023298</v>
      </c>
      <c r="B281" s="2">
        <v>7658</v>
      </c>
      <c r="C281" s="3" t="s">
        <v>143</v>
      </c>
      <c r="D281" s="191" t="s">
        <v>282</v>
      </c>
      <c r="E281" s="192">
        <v>80111600</v>
      </c>
      <c r="F281" s="191" t="s">
        <v>313</v>
      </c>
      <c r="G281" s="193">
        <v>44942</v>
      </c>
      <c r="H281" s="193">
        <v>44942</v>
      </c>
      <c r="I281" s="191">
        <v>4</v>
      </c>
      <c r="J281" s="191" t="s">
        <v>20</v>
      </c>
      <c r="K281" s="197" t="s">
        <v>21</v>
      </c>
      <c r="L281" s="191" t="s">
        <v>27</v>
      </c>
      <c r="M281" s="188">
        <f>9800000-1400000</f>
        <v>8400000</v>
      </c>
      <c r="N281" s="192" t="s">
        <v>286</v>
      </c>
      <c r="O281" s="192" t="s">
        <v>287</v>
      </c>
      <c r="P281" s="192" t="s">
        <v>24</v>
      </c>
    </row>
    <row r="282" spans="1:16" s="196" customFormat="1" ht="75" x14ac:dyDescent="0.2">
      <c r="A282" s="2">
        <v>2023299</v>
      </c>
      <c r="B282" s="2">
        <v>7658</v>
      </c>
      <c r="C282" s="3" t="s">
        <v>143</v>
      </c>
      <c r="D282" s="191" t="s">
        <v>282</v>
      </c>
      <c r="E282" s="192">
        <v>80111600</v>
      </c>
      <c r="F282" s="191" t="s">
        <v>313</v>
      </c>
      <c r="G282" s="193">
        <v>44942</v>
      </c>
      <c r="H282" s="193">
        <v>44942</v>
      </c>
      <c r="I282" s="191">
        <v>4</v>
      </c>
      <c r="J282" s="191" t="s">
        <v>20</v>
      </c>
      <c r="K282" s="197" t="s">
        <v>21</v>
      </c>
      <c r="L282" s="191" t="s">
        <v>27</v>
      </c>
      <c r="M282" s="188">
        <f>9800000-1400000</f>
        <v>8400000</v>
      </c>
      <c r="N282" s="192" t="s">
        <v>286</v>
      </c>
      <c r="O282" s="192" t="s">
        <v>287</v>
      </c>
      <c r="P282" s="192" t="s">
        <v>24</v>
      </c>
    </row>
    <row r="283" spans="1:16" s="196" customFormat="1" ht="75" x14ac:dyDescent="0.2">
      <c r="A283" s="2">
        <v>2023300</v>
      </c>
      <c r="B283" s="2">
        <v>7658</v>
      </c>
      <c r="C283" s="3" t="s">
        <v>143</v>
      </c>
      <c r="D283" s="191" t="s">
        <v>282</v>
      </c>
      <c r="E283" s="192">
        <v>80111600</v>
      </c>
      <c r="F283" s="191" t="s">
        <v>313</v>
      </c>
      <c r="G283" s="193">
        <v>44942</v>
      </c>
      <c r="H283" s="193">
        <v>44942</v>
      </c>
      <c r="I283" s="191">
        <v>3</v>
      </c>
      <c r="J283" s="191" t="s">
        <v>20</v>
      </c>
      <c r="K283" s="197" t="s">
        <v>21</v>
      </c>
      <c r="L283" s="191" t="s">
        <v>27</v>
      </c>
      <c r="M283" s="188">
        <f>9800000-1400000-8400000+8400000</f>
        <v>8400000</v>
      </c>
      <c r="N283" s="192" t="s">
        <v>286</v>
      </c>
      <c r="O283" s="192" t="s">
        <v>287</v>
      </c>
      <c r="P283" s="192" t="s">
        <v>24</v>
      </c>
    </row>
    <row r="284" spans="1:16" s="196" customFormat="1" ht="75" x14ac:dyDescent="0.2">
      <c r="A284" s="2">
        <v>2023301</v>
      </c>
      <c r="B284" s="2">
        <v>7658</v>
      </c>
      <c r="C284" s="3" t="s">
        <v>143</v>
      </c>
      <c r="D284" s="191" t="s">
        <v>282</v>
      </c>
      <c r="E284" s="192">
        <v>80111600</v>
      </c>
      <c r="F284" s="191" t="s">
        <v>313</v>
      </c>
      <c r="G284" s="193">
        <v>44942</v>
      </c>
      <c r="H284" s="193">
        <v>44942</v>
      </c>
      <c r="I284" s="191">
        <v>4</v>
      </c>
      <c r="J284" s="191" t="s">
        <v>20</v>
      </c>
      <c r="K284" s="197" t="s">
        <v>21</v>
      </c>
      <c r="L284" s="191" t="s">
        <v>27</v>
      </c>
      <c r="M284" s="188">
        <f>9800000-1400000</f>
        <v>8400000</v>
      </c>
      <c r="N284" s="192" t="s">
        <v>286</v>
      </c>
      <c r="O284" s="192" t="s">
        <v>287</v>
      </c>
      <c r="P284" s="192" t="s">
        <v>24</v>
      </c>
    </row>
    <row r="285" spans="1:16" s="196" customFormat="1" ht="75" x14ac:dyDescent="0.2">
      <c r="A285" s="2">
        <v>2023302</v>
      </c>
      <c r="B285" s="2">
        <v>7658</v>
      </c>
      <c r="C285" s="3" t="s">
        <v>143</v>
      </c>
      <c r="D285" s="191" t="s">
        <v>282</v>
      </c>
      <c r="E285" s="192">
        <v>80111600</v>
      </c>
      <c r="F285" s="191" t="s">
        <v>313</v>
      </c>
      <c r="G285" s="193">
        <v>44942</v>
      </c>
      <c r="H285" s="193">
        <v>44942</v>
      </c>
      <c r="I285" s="191">
        <v>4</v>
      </c>
      <c r="J285" s="191" t="s">
        <v>20</v>
      </c>
      <c r="K285" s="197" t="s">
        <v>21</v>
      </c>
      <c r="L285" s="191" t="s">
        <v>27</v>
      </c>
      <c r="M285" s="188">
        <f>9800000-1400000</f>
        <v>8400000</v>
      </c>
      <c r="N285" s="192" t="s">
        <v>286</v>
      </c>
      <c r="O285" s="192" t="s">
        <v>287</v>
      </c>
      <c r="P285" s="192" t="s">
        <v>24</v>
      </c>
    </row>
    <row r="286" spans="1:16" s="196" customFormat="1" ht="75" x14ac:dyDescent="0.2">
      <c r="A286" s="2">
        <v>2023303</v>
      </c>
      <c r="B286" s="2">
        <v>7658</v>
      </c>
      <c r="C286" s="3" t="s">
        <v>143</v>
      </c>
      <c r="D286" s="191" t="s">
        <v>282</v>
      </c>
      <c r="E286" s="192">
        <v>80111600</v>
      </c>
      <c r="F286" s="191" t="s">
        <v>313</v>
      </c>
      <c r="G286" s="193">
        <v>44942</v>
      </c>
      <c r="H286" s="193">
        <v>44942</v>
      </c>
      <c r="I286" s="191">
        <v>4</v>
      </c>
      <c r="J286" s="191" t="s">
        <v>20</v>
      </c>
      <c r="K286" s="197" t="s">
        <v>21</v>
      </c>
      <c r="L286" s="191" t="s">
        <v>27</v>
      </c>
      <c r="M286" s="188">
        <f>9800000-1400000-8400000+11200000</f>
        <v>11200000</v>
      </c>
      <c r="N286" s="192" t="s">
        <v>286</v>
      </c>
      <c r="O286" s="192" t="s">
        <v>287</v>
      </c>
      <c r="P286" s="192" t="s">
        <v>24</v>
      </c>
    </row>
    <row r="287" spans="1:16" s="196" customFormat="1" ht="75" x14ac:dyDescent="0.2">
      <c r="A287" s="2">
        <v>2023304</v>
      </c>
      <c r="B287" s="2">
        <v>7658</v>
      </c>
      <c r="C287" s="3" t="s">
        <v>143</v>
      </c>
      <c r="D287" s="191" t="s">
        <v>282</v>
      </c>
      <c r="E287" s="192">
        <v>80111600</v>
      </c>
      <c r="F287" s="191" t="s">
        <v>313</v>
      </c>
      <c r="G287" s="193">
        <v>44942</v>
      </c>
      <c r="H287" s="193">
        <v>44942</v>
      </c>
      <c r="I287" s="191">
        <v>4</v>
      </c>
      <c r="J287" s="191" t="s">
        <v>20</v>
      </c>
      <c r="K287" s="197" t="s">
        <v>21</v>
      </c>
      <c r="L287" s="191" t="s">
        <v>27</v>
      </c>
      <c r="M287" s="188">
        <f>9800000-1400000-8400000+10800000+400000-2800000</f>
        <v>8400000</v>
      </c>
      <c r="N287" s="192" t="s">
        <v>286</v>
      </c>
      <c r="O287" s="192" t="s">
        <v>287</v>
      </c>
      <c r="P287" s="192" t="s">
        <v>24</v>
      </c>
    </row>
    <row r="288" spans="1:16" s="196" customFormat="1" ht="75" x14ac:dyDescent="0.2">
      <c r="A288" s="2">
        <v>2023305</v>
      </c>
      <c r="B288" s="2">
        <v>7658</v>
      </c>
      <c r="C288" s="3" t="s">
        <v>143</v>
      </c>
      <c r="D288" s="191" t="s">
        <v>282</v>
      </c>
      <c r="E288" s="192">
        <v>80111600</v>
      </c>
      <c r="F288" s="191" t="s">
        <v>313</v>
      </c>
      <c r="G288" s="193">
        <v>44942</v>
      </c>
      <c r="H288" s="193">
        <v>44942</v>
      </c>
      <c r="I288" s="191">
        <v>4</v>
      </c>
      <c r="J288" s="191" t="s">
        <v>20</v>
      </c>
      <c r="K288" s="197" t="s">
        <v>21</v>
      </c>
      <c r="L288" s="191" t="s">
        <v>27</v>
      </c>
      <c r="M288" s="188">
        <f>9800000-1400000</f>
        <v>8400000</v>
      </c>
      <c r="N288" s="192" t="s">
        <v>286</v>
      </c>
      <c r="O288" s="192" t="s">
        <v>287</v>
      </c>
      <c r="P288" s="192" t="s">
        <v>24</v>
      </c>
    </row>
    <row r="289" spans="1:16" s="196" customFormat="1" ht="75" x14ac:dyDescent="0.2">
      <c r="A289" s="2">
        <v>2023306</v>
      </c>
      <c r="B289" s="2">
        <v>7658</v>
      </c>
      <c r="C289" s="3" t="s">
        <v>143</v>
      </c>
      <c r="D289" s="191" t="s">
        <v>282</v>
      </c>
      <c r="E289" s="192">
        <v>80111600</v>
      </c>
      <c r="F289" s="191" t="s">
        <v>313</v>
      </c>
      <c r="G289" s="193">
        <v>44942</v>
      </c>
      <c r="H289" s="193">
        <v>44942</v>
      </c>
      <c r="I289" s="191">
        <v>1</v>
      </c>
      <c r="J289" s="191" t="s">
        <v>20</v>
      </c>
      <c r="K289" s="197" t="s">
        <v>21</v>
      </c>
      <c r="L289" s="191" t="s">
        <v>27</v>
      </c>
      <c r="M289" s="188">
        <f>9800000-1400000-8400000</f>
        <v>0</v>
      </c>
      <c r="N289" s="192" t="s">
        <v>286</v>
      </c>
      <c r="O289" s="192" t="s">
        <v>287</v>
      </c>
      <c r="P289" s="192" t="s">
        <v>24</v>
      </c>
    </row>
    <row r="290" spans="1:16" s="196" customFormat="1" ht="75" x14ac:dyDescent="0.2">
      <c r="A290" s="2">
        <v>2023307</v>
      </c>
      <c r="B290" s="2">
        <v>7658</v>
      </c>
      <c r="C290" s="3" t="s">
        <v>143</v>
      </c>
      <c r="D290" s="191" t="s">
        <v>282</v>
      </c>
      <c r="E290" s="192">
        <v>80111600</v>
      </c>
      <c r="F290" s="191" t="s">
        <v>313</v>
      </c>
      <c r="G290" s="193">
        <v>44942</v>
      </c>
      <c r="H290" s="193">
        <v>44942</v>
      </c>
      <c r="I290" s="191">
        <v>4</v>
      </c>
      <c r="J290" s="191" t="s">
        <v>20</v>
      </c>
      <c r="K290" s="197" t="s">
        <v>21</v>
      </c>
      <c r="L290" s="191" t="s">
        <v>27</v>
      </c>
      <c r="M290" s="188">
        <f>9800000-9800000+8400000</f>
        <v>8400000</v>
      </c>
      <c r="N290" s="192" t="s">
        <v>286</v>
      </c>
      <c r="O290" s="192" t="s">
        <v>287</v>
      </c>
      <c r="P290" s="192" t="s">
        <v>24</v>
      </c>
    </row>
    <row r="291" spans="1:16" s="196" customFormat="1" ht="75" x14ac:dyDescent="0.2">
      <c r="A291" s="2">
        <v>2023308</v>
      </c>
      <c r="B291" s="2">
        <v>7658</v>
      </c>
      <c r="C291" s="3" t="s">
        <v>143</v>
      </c>
      <c r="D291" s="191" t="s">
        <v>282</v>
      </c>
      <c r="E291" s="192">
        <v>80111600</v>
      </c>
      <c r="F291" s="191" t="s">
        <v>314</v>
      </c>
      <c r="G291" s="193">
        <v>44942</v>
      </c>
      <c r="H291" s="193">
        <v>44942</v>
      </c>
      <c r="I291" s="191">
        <v>10</v>
      </c>
      <c r="J291" s="191" t="s">
        <v>20</v>
      </c>
      <c r="K291" s="197" t="s">
        <v>21</v>
      </c>
      <c r="L291" s="191" t="s">
        <v>27</v>
      </c>
      <c r="M291" s="188">
        <v>48500000</v>
      </c>
      <c r="N291" s="192" t="s">
        <v>286</v>
      </c>
      <c r="O291" s="192" t="s">
        <v>287</v>
      </c>
      <c r="P291" s="192" t="s">
        <v>24</v>
      </c>
    </row>
    <row r="292" spans="1:16" s="196" customFormat="1" ht="75" x14ac:dyDescent="0.2">
      <c r="A292" s="2">
        <v>2023309</v>
      </c>
      <c r="B292" s="2">
        <v>7658</v>
      </c>
      <c r="C292" s="3" t="s">
        <v>143</v>
      </c>
      <c r="D292" s="191" t="s">
        <v>282</v>
      </c>
      <c r="E292" s="192">
        <v>80111600</v>
      </c>
      <c r="F292" s="191" t="s">
        <v>315</v>
      </c>
      <c r="G292" s="193">
        <v>44942</v>
      </c>
      <c r="H292" s="193">
        <v>44942</v>
      </c>
      <c r="I292" s="191">
        <v>10</v>
      </c>
      <c r="J292" s="191" t="s">
        <v>20</v>
      </c>
      <c r="K292" s="197" t="s">
        <v>21</v>
      </c>
      <c r="L292" s="191" t="s">
        <v>27</v>
      </c>
      <c r="M292" s="188">
        <v>33500000</v>
      </c>
      <c r="N292" s="192" t="s">
        <v>286</v>
      </c>
      <c r="O292" s="192" t="s">
        <v>287</v>
      </c>
      <c r="P292" s="192" t="s">
        <v>24</v>
      </c>
    </row>
    <row r="293" spans="1:16" s="196" customFormat="1" ht="75" x14ac:dyDescent="0.2">
      <c r="A293" s="2">
        <v>2023310</v>
      </c>
      <c r="B293" s="2">
        <v>7658</v>
      </c>
      <c r="C293" s="3" t="s">
        <v>143</v>
      </c>
      <c r="D293" s="191" t="s">
        <v>282</v>
      </c>
      <c r="E293" s="192">
        <v>80111600</v>
      </c>
      <c r="F293" s="191" t="s">
        <v>316</v>
      </c>
      <c r="G293" s="193">
        <v>44942</v>
      </c>
      <c r="H293" s="193">
        <v>44942</v>
      </c>
      <c r="I293" s="191">
        <v>3</v>
      </c>
      <c r="J293" s="191" t="s">
        <v>20</v>
      </c>
      <c r="K293" s="197" t="s">
        <v>21</v>
      </c>
      <c r="L293" s="191" t="s">
        <v>27</v>
      </c>
      <c r="M293" s="188">
        <f>18000000-4500000</f>
        <v>13500000</v>
      </c>
      <c r="N293" s="192" t="s">
        <v>286</v>
      </c>
      <c r="O293" s="192" t="s">
        <v>287</v>
      </c>
      <c r="P293" s="192" t="s">
        <v>24</v>
      </c>
    </row>
    <row r="294" spans="1:16" s="196" customFormat="1" ht="75" x14ac:dyDescent="0.2">
      <c r="A294" s="2">
        <v>2023311</v>
      </c>
      <c r="B294" s="2">
        <v>7658</v>
      </c>
      <c r="C294" s="3" t="s">
        <v>143</v>
      </c>
      <c r="D294" s="191" t="s">
        <v>282</v>
      </c>
      <c r="E294" s="192">
        <v>80111600</v>
      </c>
      <c r="F294" s="191" t="s">
        <v>316</v>
      </c>
      <c r="G294" s="193">
        <v>44942</v>
      </c>
      <c r="H294" s="193">
        <v>44942</v>
      </c>
      <c r="I294" s="191">
        <v>3</v>
      </c>
      <c r="J294" s="191" t="s">
        <v>20</v>
      </c>
      <c r="K294" s="197" t="s">
        <v>21</v>
      </c>
      <c r="L294" s="191" t="s">
        <v>27</v>
      </c>
      <c r="M294" s="188">
        <f>22000000-4000000-4500000</f>
        <v>13500000</v>
      </c>
      <c r="N294" s="192" t="s">
        <v>286</v>
      </c>
      <c r="O294" s="192" t="s">
        <v>287</v>
      </c>
      <c r="P294" s="192" t="s">
        <v>24</v>
      </c>
    </row>
    <row r="295" spans="1:16" s="196" customFormat="1" ht="75" x14ac:dyDescent="0.2">
      <c r="A295" s="2">
        <v>2023312</v>
      </c>
      <c r="B295" s="2">
        <v>7658</v>
      </c>
      <c r="C295" s="3" t="s">
        <v>143</v>
      </c>
      <c r="D295" s="191" t="s">
        <v>282</v>
      </c>
      <c r="E295" s="192">
        <v>80111600</v>
      </c>
      <c r="F295" s="191" t="s">
        <v>316</v>
      </c>
      <c r="G295" s="193">
        <v>44942</v>
      </c>
      <c r="H295" s="193">
        <v>44942</v>
      </c>
      <c r="I295" s="191">
        <v>4</v>
      </c>
      <c r="J295" s="191" t="s">
        <v>20</v>
      </c>
      <c r="K295" s="197" t="s">
        <v>21</v>
      </c>
      <c r="L295" s="191" t="s">
        <v>27</v>
      </c>
      <c r="M295" s="188">
        <v>19400000</v>
      </c>
      <c r="N295" s="192" t="s">
        <v>286</v>
      </c>
      <c r="O295" s="192" t="s">
        <v>287</v>
      </c>
      <c r="P295" s="192" t="s">
        <v>24</v>
      </c>
    </row>
    <row r="296" spans="1:16" s="196" customFormat="1" ht="75" x14ac:dyDescent="0.2">
      <c r="A296" s="2">
        <v>2023313</v>
      </c>
      <c r="B296" s="2">
        <v>7658</v>
      </c>
      <c r="C296" s="3" t="s">
        <v>143</v>
      </c>
      <c r="D296" s="191" t="s">
        <v>282</v>
      </c>
      <c r="E296" s="192">
        <v>80111600</v>
      </c>
      <c r="F296" s="191" t="s">
        <v>317</v>
      </c>
      <c r="G296" s="193">
        <v>44942</v>
      </c>
      <c r="H296" s="193">
        <v>44942</v>
      </c>
      <c r="I296" s="191">
        <v>8</v>
      </c>
      <c r="J296" s="191" t="s">
        <v>20</v>
      </c>
      <c r="K296" s="197" t="s">
        <v>21</v>
      </c>
      <c r="L296" s="191" t="s">
        <v>27</v>
      </c>
      <c r="M296" s="188">
        <f>72000000-43200000-14400000+7200000</f>
        <v>21600000</v>
      </c>
      <c r="N296" s="192" t="s">
        <v>286</v>
      </c>
      <c r="O296" s="192" t="s">
        <v>287</v>
      </c>
      <c r="P296" s="192" t="s">
        <v>24</v>
      </c>
    </row>
    <row r="297" spans="1:16" s="196" customFormat="1" ht="75" x14ac:dyDescent="0.2">
      <c r="A297" s="2">
        <v>2023314</v>
      </c>
      <c r="B297" s="2">
        <v>7658</v>
      </c>
      <c r="C297" s="3" t="s">
        <v>143</v>
      </c>
      <c r="D297" s="191" t="s">
        <v>282</v>
      </c>
      <c r="E297" s="192">
        <v>80111600</v>
      </c>
      <c r="F297" s="191" t="s">
        <v>317</v>
      </c>
      <c r="G297" s="193">
        <v>44942</v>
      </c>
      <c r="H297" s="193">
        <v>44942</v>
      </c>
      <c r="I297" s="191">
        <v>10</v>
      </c>
      <c r="J297" s="191" t="s">
        <v>20</v>
      </c>
      <c r="K297" s="197" t="s">
        <v>21</v>
      </c>
      <c r="L297" s="191" t="s">
        <v>27</v>
      </c>
      <c r="M297" s="188">
        <f>52000000-31200000</f>
        <v>20800000</v>
      </c>
      <c r="N297" s="192" t="s">
        <v>286</v>
      </c>
      <c r="O297" s="192" t="s">
        <v>287</v>
      </c>
      <c r="P297" s="192" t="s">
        <v>24</v>
      </c>
    </row>
    <row r="298" spans="1:16" s="196" customFormat="1" ht="75" x14ac:dyDescent="0.2">
      <c r="A298" s="2">
        <v>2023315</v>
      </c>
      <c r="B298" s="2">
        <v>7658</v>
      </c>
      <c r="C298" s="3" t="s">
        <v>143</v>
      </c>
      <c r="D298" s="191" t="s">
        <v>282</v>
      </c>
      <c r="E298" s="192">
        <v>80111600</v>
      </c>
      <c r="F298" s="191" t="s">
        <v>318</v>
      </c>
      <c r="G298" s="193">
        <v>44942</v>
      </c>
      <c r="H298" s="193">
        <v>44942</v>
      </c>
      <c r="I298" s="191">
        <v>3</v>
      </c>
      <c r="J298" s="191" t="s">
        <v>20</v>
      </c>
      <c r="K298" s="197" t="s">
        <v>21</v>
      </c>
      <c r="L298" s="191" t="s">
        <v>27</v>
      </c>
      <c r="M298" s="188">
        <f>55000000-27000000-7000000</f>
        <v>21000000</v>
      </c>
      <c r="N298" s="192" t="s">
        <v>286</v>
      </c>
      <c r="O298" s="192" t="s">
        <v>287</v>
      </c>
      <c r="P298" s="192" t="s">
        <v>24</v>
      </c>
    </row>
    <row r="299" spans="1:16" s="196" customFormat="1" ht="75" x14ac:dyDescent="0.2">
      <c r="A299" s="2">
        <v>2023316</v>
      </c>
      <c r="B299" s="2">
        <v>7658</v>
      </c>
      <c r="C299" s="3" t="s">
        <v>143</v>
      </c>
      <c r="D299" s="191" t="s">
        <v>282</v>
      </c>
      <c r="E299" s="192">
        <v>80111600</v>
      </c>
      <c r="F299" s="191" t="s">
        <v>318</v>
      </c>
      <c r="G299" s="193">
        <v>44942</v>
      </c>
      <c r="H299" s="193">
        <v>44942</v>
      </c>
      <c r="I299" s="191">
        <v>4</v>
      </c>
      <c r="J299" s="191" t="s">
        <v>20</v>
      </c>
      <c r="K299" s="197" t="s">
        <v>21</v>
      </c>
      <c r="L299" s="191" t="s">
        <v>27</v>
      </c>
      <c r="M299" s="188">
        <f>18000000+10000000-7000000</f>
        <v>21000000</v>
      </c>
      <c r="N299" s="192" t="s">
        <v>286</v>
      </c>
      <c r="O299" s="192" t="s">
        <v>287</v>
      </c>
      <c r="P299" s="192" t="s">
        <v>24</v>
      </c>
    </row>
    <row r="300" spans="1:16" s="196" customFormat="1" ht="75" x14ac:dyDescent="0.2">
      <c r="A300" s="2">
        <v>2023317</v>
      </c>
      <c r="B300" s="2">
        <v>7658</v>
      </c>
      <c r="C300" s="3" t="s">
        <v>143</v>
      </c>
      <c r="D300" s="191" t="s">
        <v>282</v>
      </c>
      <c r="E300" s="192">
        <v>80111600</v>
      </c>
      <c r="F300" s="191" t="s">
        <v>318</v>
      </c>
      <c r="G300" s="193">
        <v>44942</v>
      </c>
      <c r="H300" s="193">
        <v>44942</v>
      </c>
      <c r="I300" s="191">
        <v>4</v>
      </c>
      <c r="J300" s="191" t="s">
        <v>20</v>
      </c>
      <c r="K300" s="197" t="s">
        <v>21</v>
      </c>
      <c r="L300" s="191" t="s">
        <v>27</v>
      </c>
      <c r="M300" s="188">
        <f>18000000-18000000</f>
        <v>0</v>
      </c>
      <c r="N300" s="192" t="s">
        <v>286</v>
      </c>
      <c r="O300" s="192" t="s">
        <v>287</v>
      </c>
      <c r="P300" s="192" t="s">
        <v>24</v>
      </c>
    </row>
    <row r="301" spans="1:16" s="196" customFormat="1" ht="75" x14ac:dyDescent="0.2">
      <c r="A301" s="2">
        <v>2023318</v>
      </c>
      <c r="B301" s="2">
        <v>7658</v>
      </c>
      <c r="C301" s="3" t="s">
        <v>143</v>
      </c>
      <c r="D301" s="191" t="s">
        <v>282</v>
      </c>
      <c r="E301" s="192">
        <v>80111600</v>
      </c>
      <c r="F301" s="191" t="s">
        <v>319</v>
      </c>
      <c r="G301" s="193">
        <v>45063</v>
      </c>
      <c r="H301" s="193">
        <v>45063</v>
      </c>
      <c r="I301" s="191">
        <v>2</v>
      </c>
      <c r="J301" s="191" t="s">
        <v>20</v>
      </c>
      <c r="K301" s="197" t="s">
        <v>21</v>
      </c>
      <c r="L301" s="191" t="s">
        <v>27</v>
      </c>
      <c r="M301" s="188">
        <f>42000000-18000000-575000-9425000</f>
        <v>14000000</v>
      </c>
      <c r="N301" s="192" t="s">
        <v>286</v>
      </c>
      <c r="O301" s="192" t="s">
        <v>287</v>
      </c>
      <c r="P301" s="192" t="s">
        <v>24</v>
      </c>
    </row>
    <row r="302" spans="1:16" s="196" customFormat="1" ht="75" x14ac:dyDescent="0.2">
      <c r="A302" s="2">
        <v>2023319</v>
      </c>
      <c r="B302" s="2">
        <v>7658</v>
      </c>
      <c r="C302" s="3" t="s">
        <v>143</v>
      </c>
      <c r="D302" s="191" t="s">
        <v>282</v>
      </c>
      <c r="E302" s="192">
        <v>80111600</v>
      </c>
      <c r="F302" s="191" t="s">
        <v>302</v>
      </c>
      <c r="G302" s="193">
        <v>45063</v>
      </c>
      <c r="H302" s="193">
        <v>45063</v>
      </c>
      <c r="I302" s="191">
        <v>7</v>
      </c>
      <c r="J302" s="191" t="s">
        <v>20</v>
      </c>
      <c r="K302" s="197" t="s">
        <v>21</v>
      </c>
      <c r="L302" s="191" t="s">
        <v>27</v>
      </c>
      <c r="M302" s="188">
        <f>25200000+4200000</f>
        <v>29400000</v>
      </c>
      <c r="N302" s="192" t="s">
        <v>286</v>
      </c>
      <c r="O302" s="192" t="s">
        <v>287</v>
      </c>
      <c r="P302" s="192" t="s">
        <v>24</v>
      </c>
    </row>
    <row r="303" spans="1:16" s="196" customFormat="1" ht="75" x14ac:dyDescent="0.2">
      <c r="A303" s="2">
        <v>2023320</v>
      </c>
      <c r="B303" s="2">
        <v>7658</v>
      </c>
      <c r="C303" s="3" t="s">
        <v>143</v>
      </c>
      <c r="D303" s="191" t="s">
        <v>282</v>
      </c>
      <c r="E303" s="192">
        <v>80111600</v>
      </c>
      <c r="F303" s="191" t="s">
        <v>303</v>
      </c>
      <c r="G303" s="193">
        <v>45063</v>
      </c>
      <c r="H303" s="193">
        <v>45063</v>
      </c>
      <c r="I303" s="191">
        <v>7</v>
      </c>
      <c r="J303" s="191" t="s">
        <v>20</v>
      </c>
      <c r="K303" s="197" t="s">
        <v>21</v>
      </c>
      <c r="L303" s="191" t="s">
        <v>27</v>
      </c>
      <c r="M303" s="188">
        <f>17100000+2850000</f>
        <v>19950000</v>
      </c>
      <c r="N303" s="192" t="s">
        <v>286</v>
      </c>
      <c r="O303" s="192" t="s">
        <v>287</v>
      </c>
      <c r="P303" s="192" t="s">
        <v>24</v>
      </c>
    </row>
    <row r="304" spans="1:16" s="196" customFormat="1" ht="75" x14ac:dyDescent="0.2">
      <c r="A304" s="2">
        <v>2023321</v>
      </c>
      <c r="B304" s="2">
        <v>7658</v>
      </c>
      <c r="C304" s="3" t="s">
        <v>143</v>
      </c>
      <c r="D304" s="191" t="s">
        <v>282</v>
      </c>
      <c r="E304" s="192">
        <v>80111600</v>
      </c>
      <c r="F304" s="191" t="s">
        <v>305</v>
      </c>
      <c r="G304" s="193">
        <v>45063</v>
      </c>
      <c r="H304" s="193">
        <v>45063</v>
      </c>
      <c r="I304" s="191">
        <v>7</v>
      </c>
      <c r="J304" s="191" t="s">
        <v>20</v>
      </c>
      <c r="K304" s="197" t="s">
        <v>21</v>
      </c>
      <c r="L304" s="191" t="s">
        <v>27</v>
      </c>
      <c r="M304" s="188">
        <f>16800000+2800000</f>
        <v>19600000</v>
      </c>
      <c r="N304" s="192" t="s">
        <v>286</v>
      </c>
      <c r="O304" s="192" t="s">
        <v>287</v>
      </c>
      <c r="P304" s="192" t="s">
        <v>24</v>
      </c>
    </row>
    <row r="305" spans="1:16" s="196" customFormat="1" ht="75" x14ac:dyDescent="0.2">
      <c r="A305" s="2">
        <v>2023322</v>
      </c>
      <c r="B305" s="2">
        <v>7658</v>
      </c>
      <c r="C305" s="3" t="s">
        <v>143</v>
      </c>
      <c r="D305" s="191" t="s">
        <v>282</v>
      </c>
      <c r="E305" s="192">
        <v>80111600</v>
      </c>
      <c r="F305" s="191" t="s">
        <v>305</v>
      </c>
      <c r="G305" s="193">
        <v>45063</v>
      </c>
      <c r="H305" s="193">
        <v>45063</v>
      </c>
      <c r="I305" s="191">
        <v>7</v>
      </c>
      <c r="J305" s="191" t="s">
        <v>20</v>
      </c>
      <c r="K305" s="197" t="s">
        <v>21</v>
      </c>
      <c r="L305" s="191" t="s">
        <v>27</v>
      </c>
      <c r="M305" s="188">
        <f>16800000+2800000</f>
        <v>19600000</v>
      </c>
      <c r="N305" s="192" t="s">
        <v>286</v>
      </c>
      <c r="O305" s="192" t="s">
        <v>287</v>
      </c>
      <c r="P305" s="192" t="s">
        <v>24</v>
      </c>
    </row>
    <row r="306" spans="1:16" s="196" customFormat="1" ht="75" x14ac:dyDescent="0.2">
      <c r="A306" s="2">
        <v>2023323</v>
      </c>
      <c r="B306" s="2">
        <v>7658</v>
      </c>
      <c r="C306" s="3" t="s">
        <v>143</v>
      </c>
      <c r="D306" s="191" t="s">
        <v>282</v>
      </c>
      <c r="E306" s="192">
        <v>80111600</v>
      </c>
      <c r="F306" s="191" t="s">
        <v>305</v>
      </c>
      <c r="G306" s="193">
        <v>45063</v>
      </c>
      <c r="H306" s="193">
        <v>45063</v>
      </c>
      <c r="I306" s="191">
        <v>7</v>
      </c>
      <c r="J306" s="191" t="s">
        <v>20</v>
      </c>
      <c r="K306" s="197" t="s">
        <v>21</v>
      </c>
      <c r="L306" s="191" t="s">
        <v>27</v>
      </c>
      <c r="M306" s="188">
        <f>16800000+2800000</f>
        <v>19600000</v>
      </c>
      <c r="N306" s="192" t="s">
        <v>286</v>
      </c>
      <c r="O306" s="192" t="s">
        <v>287</v>
      </c>
      <c r="P306" s="192" t="s">
        <v>24</v>
      </c>
    </row>
    <row r="307" spans="1:16" s="196" customFormat="1" ht="75" x14ac:dyDescent="0.2">
      <c r="A307" s="2">
        <v>2023324</v>
      </c>
      <c r="B307" s="2">
        <v>7658</v>
      </c>
      <c r="C307" s="3" t="s">
        <v>143</v>
      </c>
      <c r="D307" s="191" t="s">
        <v>282</v>
      </c>
      <c r="E307" s="192">
        <v>80111600</v>
      </c>
      <c r="F307" s="191" t="s">
        <v>305</v>
      </c>
      <c r="G307" s="193">
        <v>45063</v>
      </c>
      <c r="H307" s="193">
        <v>45063</v>
      </c>
      <c r="I307" s="191">
        <v>7</v>
      </c>
      <c r="J307" s="191" t="s">
        <v>20</v>
      </c>
      <c r="K307" s="197" t="s">
        <v>21</v>
      </c>
      <c r="L307" s="191" t="s">
        <v>27</v>
      </c>
      <c r="M307" s="188">
        <f>16800000+2800000</f>
        <v>19600000</v>
      </c>
      <c r="N307" s="192" t="s">
        <v>286</v>
      </c>
      <c r="O307" s="192" t="s">
        <v>287</v>
      </c>
      <c r="P307" s="192" t="s">
        <v>24</v>
      </c>
    </row>
    <row r="308" spans="1:16" s="196" customFormat="1" ht="75" x14ac:dyDescent="0.2">
      <c r="A308" s="2">
        <v>2023325</v>
      </c>
      <c r="B308" s="2">
        <v>7658</v>
      </c>
      <c r="C308" s="3" t="s">
        <v>143</v>
      </c>
      <c r="D308" s="191" t="s">
        <v>282</v>
      </c>
      <c r="E308" s="192">
        <v>80111600</v>
      </c>
      <c r="F308" s="191" t="s">
        <v>305</v>
      </c>
      <c r="G308" s="193">
        <v>45063</v>
      </c>
      <c r="H308" s="193">
        <v>45063</v>
      </c>
      <c r="I308" s="191">
        <v>6.5</v>
      </c>
      <c r="J308" s="191" t="s">
        <v>20</v>
      </c>
      <c r="K308" s="197" t="s">
        <v>21</v>
      </c>
      <c r="L308" s="191" t="s">
        <v>27</v>
      </c>
      <c r="M308" s="188">
        <f>16800000+1400000</f>
        <v>18200000</v>
      </c>
      <c r="N308" s="192" t="s">
        <v>286</v>
      </c>
      <c r="O308" s="192" t="s">
        <v>287</v>
      </c>
      <c r="P308" s="192" t="s">
        <v>24</v>
      </c>
    </row>
    <row r="309" spans="1:16" s="196" customFormat="1" ht="75" x14ac:dyDescent="0.2">
      <c r="A309" s="2">
        <v>2023326</v>
      </c>
      <c r="B309" s="2">
        <v>7658</v>
      </c>
      <c r="C309" s="3" t="s">
        <v>143</v>
      </c>
      <c r="D309" s="191" t="s">
        <v>282</v>
      </c>
      <c r="E309" s="192">
        <v>80111600</v>
      </c>
      <c r="F309" s="191" t="s">
        <v>305</v>
      </c>
      <c r="G309" s="193">
        <v>45063</v>
      </c>
      <c r="H309" s="193">
        <v>45063</v>
      </c>
      <c r="I309" s="191">
        <v>2</v>
      </c>
      <c r="J309" s="191" t="s">
        <v>20</v>
      </c>
      <c r="K309" s="197" t="s">
        <v>21</v>
      </c>
      <c r="L309" s="191" t="s">
        <v>27</v>
      </c>
      <c r="M309" s="188">
        <f>16800000-10200000-2709654+9000000+1075000+485715+700000+58080+750000</f>
        <v>15959141</v>
      </c>
      <c r="N309" s="192" t="s">
        <v>286</v>
      </c>
      <c r="O309" s="192" t="s">
        <v>287</v>
      </c>
      <c r="P309" s="192" t="s">
        <v>24</v>
      </c>
    </row>
    <row r="310" spans="1:16" s="196" customFormat="1" ht="75" x14ac:dyDescent="0.2">
      <c r="A310" s="2">
        <v>2023327</v>
      </c>
      <c r="B310" s="2">
        <v>7658</v>
      </c>
      <c r="C310" s="3" t="s">
        <v>143</v>
      </c>
      <c r="D310" s="191" t="s">
        <v>282</v>
      </c>
      <c r="E310" s="192">
        <v>80111600</v>
      </c>
      <c r="F310" s="191" t="s">
        <v>305</v>
      </c>
      <c r="G310" s="193">
        <v>45063</v>
      </c>
      <c r="H310" s="193">
        <v>45063</v>
      </c>
      <c r="I310" s="191">
        <v>6</v>
      </c>
      <c r="J310" s="191" t="s">
        <v>20</v>
      </c>
      <c r="K310" s="197" t="s">
        <v>21</v>
      </c>
      <c r="L310" s="191" t="s">
        <v>27</v>
      </c>
      <c r="M310" s="188">
        <f>16800000-400000</f>
        <v>16400000</v>
      </c>
      <c r="N310" s="192" t="s">
        <v>286</v>
      </c>
      <c r="O310" s="192" t="s">
        <v>287</v>
      </c>
      <c r="P310" s="192" t="s">
        <v>24</v>
      </c>
    </row>
    <row r="311" spans="1:16" s="196" customFormat="1" ht="75" x14ac:dyDescent="0.2">
      <c r="A311" s="2">
        <v>2023328</v>
      </c>
      <c r="B311" s="2">
        <v>7658</v>
      </c>
      <c r="C311" s="3" t="s">
        <v>143</v>
      </c>
      <c r="D311" s="191" t="s">
        <v>282</v>
      </c>
      <c r="E311" s="192">
        <v>80111600</v>
      </c>
      <c r="F311" s="191" t="s">
        <v>306</v>
      </c>
      <c r="G311" s="193">
        <v>45063</v>
      </c>
      <c r="H311" s="193">
        <v>45063</v>
      </c>
      <c r="I311" s="191">
        <v>6</v>
      </c>
      <c r="J311" s="191" t="s">
        <v>20</v>
      </c>
      <c r="K311" s="197" t="s">
        <v>21</v>
      </c>
      <c r="L311" s="191" t="s">
        <v>27</v>
      </c>
      <c r="M311" s="188">
        <f>16800000-16800000</f>
        <v>0</v>
      </c>
      <c r="N311" s="192" t="s">
        <v>286</v>
      </c>
      <c r="O311" s="192" t="s">
        <v>287</v>
      </c>
      <c r="P311" s="192" t="s">
        <v>24</v>
      </c>
    </row>
    <row r="312" spans="1:16" s="196" customFormat="1" ht="75" x14ac:dyDescent="0.2">
      <c r="A312" s="2">
        <v>2023329</v>
      </c>
      <c r="B312" s="2">
        <v>7658</v>
      </c>
      <c r="C312" s="3" t="s">
        <v>143</v>
      </c>
      <c r="D312" s="191" t="s">
        <v>282</v>
      </c>
      <c r="E312" s="192">
        <v>80111600</v>
      </c>
      <c r="F312" s="191" t="s">
        <v>307</v>
      </c>
      <c r="G312" s="193">
        <v>45063</v>
      </c>
      <c r="H312" s="193">
        <v>45063</v>
      </c>
      <c r="I312" s="191">
        <v>7</v>
      </c>
      <c r="J312" s="191" t="s">
        <v>20</v>
      </c>
      <c r="K312" s="197" t="s">
        <v>21</v>
      </c>
      <c r="L312" s="191" t="s">
        <v>27</v>
      </c>
      <c r="M312" s="188">
        <f>18000000+3000000</f>
        <v>21000000</v>
      </c>
      <c r="N312" s="192" t="s">
        <v>286</v>
      </c>
      <c r="O312" s="192" t="s">
        <v>287</v>
      </c>
      <c r="P312" s="192" t="s">
        <v>24</v>
      </c>
    </row>
    <row r="313" spans="1:16" s="196" customFormat="1" ht="75" x14ac:dyDescent="0.2">
      <c r="A313" s="2">
        <v>2023330</v>
      </c>
      <c r="B313" s="2">
        <v>7658</v>
      </c>
      <c r="C313" s="3" t="s">
        <v>143</v>
      </c>
      <c r="D313" s="191" t="s">
        <v>282</v>
      </c>
      <c r="E313" s="192">
        <v>80111600</v>
      </c>
      <c r="F313" s="191" t="s">
        <v>307</v>
      </c>
      <c r="G313" s="193">
        <v>45063</v>
      </c>
      <c r="H313" s="193">
        <v>45063</v>
      </c>
      <c r="I313" s="191">
        <v>1</v>
      </c>
      <c r="J313" s="191" t="s">
        <v>20</v>
      </c>
      <c r="K313" s="197" t="s">
        <v>21</v>
      </c>
      <c r="L313" s="191" t="s">
        <v>27</v>
      </c>
      <c r="M313" s="188">
        <f>18000000-3000000-15000000+10000000-2500000</f>
        <v>7500000</v>
      </c>
      <c r="N313" s="192" t="s">
        <v>286</v>
      </c>
      <c r="O313" s="192" t="s">
        <v>287</v>
      </c>
      <c r="P313" s="192" t="s">
        <v>24</v>
      </c>
    </row>
    <row r="314" spans="1:16" s="196" customFormat="1" ht="75" x14ac:dyDescent="0.2">
      <c r="A314" s="2">
        <v>2023331</v>
      </c>
      <c r="B314" s="2">
        <v>7658</v>
      </c>
      <c r="C314" s="3" t="s">
        <v>143</v>
      </c>
      <c r="D314" s="191" t="s">
        <v>282</v>
      </c>
      <c r="E314" s="192">
        <v>80111600</v>
      </c>
      <c r="F314" s="191" t="s">
        <v>308</v>
      </c>
      <c r="G314" s="193">
        <v>45063</v>
      </c>
      <c r="H314" s="193">
        <v>45063</v>
      </c>
      <c r="I314" s="191">
        <v>7</v>
      </c>
      <c r="J314" s="191" t="s">
        <v>20</v>
      </c>
      <c r="K314" s="197" t="s">
        <v>21</v>
      </c>
      <c r="L314" s="191" t="s">
        <v>27</v>
      </c>
      <c r="M314" s="188">
        <f>15000000+2500000</f>
        <v>17500000</v>
      </c>
      <c r="N314" s="192" t="s">
        <v>286</v>
      </c>
      <c r="O314" s="192" t="s">
        <v>287</v>
      </c>
      <c r="P314" s="192" t="s">
        <v>24</v>
      </c>
    </row>
    <row r="315" spans="1:16" s="196" customFormat="1" ht="75" x14ac:dyDescent="0.2">
      <c r="A315" s="2">
        <v>2023332</v>
      </c>
      <c r="B315" s="2">
        <v>7658</v>
      </c>
      <c r="C315" s="3" t="s">
        <v>143</v>
      </c>
      <c r="D315" s="191" t="s">
        <v>282</v>
      </c>
      <c r="E315" s="192">
        <v>80111600</v>
      </c>
      <c r="F315" s="191" t="s">
        <v>308</v>
      </c>
      <c r="G315" s="193">
        <v>45063</v>
      </c>
      <c r="H315" s="193">
        <v>45063</v>
      </c>
      <c r="I315" s="191">
        <v>7</v>
      </c>
      <c r="J315" s="191" t="s">
        <v>20</v>
      </c>
      <c r="K315" s="197" t="s">
        <v>21</v>
      </c>
      <c r="L315" s="191" t="s">
        <v>27</v>
      </c>
      <c r="M315" s="188">
        <f>15000000+2500000</f>
        <v>17500000</v>
      </c>
      <c r="N315" s="192" t="s">
        <v>286</v>
      </c>
      <c r="O315" s="192" t="s">
        <v>287</v>
      </c>
      <c r="P315" s="192" t="s">
        <v>24</v>
      </c>
    </row>
    <row r="316" spans="1:16" s="196" customFormat="1" ht="75" x14ac:dyDescent="0.2">
      <c r="A316" s="2">
        <v>2023333</v>
      </c>
      <c r="B316" s="2">
        <v>7658</v>
      </c>
      <c r="C316" s="3" t="s">
        <v>143</v>
      </c>
      <c r="D316" s="191" t="s">
        <v>282</v>
      </c>
      <c r="E316" s="192">
        <v>80111600</v>
      </c>
      <c r="F316" s="191" t="s">
        <v>308</v>
      </c>
      <c r="G316" s="193">
        <v>45063</v>
      </c>
      <c r="H316" s="193">
        <v>45063</v>
      </c>
      <c r="I316" s="191">
        <v>7</v>
      </c>
      <c r="J316" s="191" t="s">
        <v>20</v>
      </c>
      <c r="K316" s="197" t="s">
        <v>21</v>
      </c>
      <c r="L316" s="191" t="s">
        <v>27</v>
      </c>
      <c r="M316" s="188">
        <f>15000000+2500000-2100000-5000000</f>
        <v>10400000</v>
      </c>
      <c r="N316" s="192" t="s">
        <v>286</v>
      </c>
      <c r="O316" s="192" t="s">
        <v>287</v>
      </c>
      <c r="P316" s="192" t="s">
        <v>24</v>
      </c>
    </row>
    <row r="317" spans="1:16" s="196" customFormat="1" ht="75" x14ac:dyDescent="0.2">
      <c r="A317" s="2">
        <v>2023334</v>
      </c>
      <c r="B317" s="2">
        <v>7658</v>
      </c>
      <c r="C317" s="3" t="s">
        <v>143</v>
      </c>
      <c r="D317" s="191" t="s">
        <v>282</v>
      </c>
      <c r="E317" s="192">
        <v>80111600</v>
      </c>
      <c r="F317" s="191" t="s">
        <v>308</v>
      </c>
      <c r="G317" s="193">
        <v>45063</v>
      </c>
      <c r="H317" s="193">
        <v>45063</v>
      </c>
      <c r="I317" s="191">
        <v>7</v>
      </c>
      <c r="J317" s="191" t="s">
        <v>20</v>
      </c>
      <c r="K317" s="197" t="s">
        <v>21</v>
      </c>
      <c r="L317" s="191" t="s">
        <v>27</v>
      </c>
      <c r="M317" s="188">
        <f>15000000+2500000</f>
        <v>17500000</v>
      </c>
      <c r="N317" s="192" t="s">
        <v>286</v>
      </c>
      <c r="O317" s="192" t="s">
        <v>287</v>
      </c>
      <c r="P317" s="192" t="s">
        <v>24</v>
      </c>
    </row>
    <row r="318" spans="1:16" s="196" customFormat="1" ht="75" x14ac:dyDescent="0.2">
      <c r="A318" s="2">
        <v>2023335</v>
      </c>
      <c r="B318" s="2">
        <v>7658</v>
      </c>
      <c r="C318" s="3" t="s">
        <v>143</v>
      </c>
      <c r="D318" s="191" t="s">
        <v>282</v>
      </c>
      <c r="E318" s="192">
        <v>80111600</v>
      </c>
      <c r="F318" s="191" t="s">
        <v>308</v>
      </c>
      <c r="G318" s="193">
        <v>45063</v>
      </c>
      <c r="H318" s="193">
        <v>45063</v>
      </c>
      <c r="I318" s="191">
        <v>6</v>
      </c>
      <c r="J318" s="191" t="s">
        <v>20</v>
      </c>
      <c r="K318" s="197" t="s">
        <v>21</v>
      </c>
      <c r="L318" s="191" t="s">
        <v>27</v>
      </c>
      <c r="M318" s="188">
        <f>15000000-2500000</f>
        <v>12500000</v>
      </c>
      <c r="N318" s="192" t="s">
        <v>286</v>
      </c>
      <c r="O318" s="192" t="s">
        <v>287</v>
      </c>
      <c r="P318" s="192" t="s">
        <v>24</v>
      </c>
    </row>
    <row r="319" spans="1:16" s="196" customFormat="1" ht="75" x14ac:dyDescent="0.2">
      <c r="A319" s="2">
        <v>2023336</v>
      </c>
      <c r="B319" s="2">
        <v>7658</v>
      </c>
      <c r="C319" s="3" t="s">
        <v>143</v>
      </c>
      <c r="D319" s="191" t="s">
        <v>282</v>
      </c>
      <c r="E319" s="192">
        <v>80111600</v>
      </c>
      <c r="F319" s="191" t="s">
        <v>308</v>
      </c>
      <c r="G319" s="193">
        <v>45063</v>
      </c>
      <c r="H319" s="193">
        <v>45063</v>
      </c>
      <c r="I319" s="191">
        <v>5</v>
      </c>
      <c r="J319" s="191" t="s">
        <v>20</v>
      </c>
      <c r="K319" s="197" t="s">
        <v>21</v>
      </c>
      <c r="L319" s="191" t="s">
        <v>27</v>
      </c>
      <c r="M319" s="188">
        <f>15000000-2500000</f>
        <v>12500000</v>
      </c>
      <c r="N319" s="192" t="s">
        <v>286</v>
      </c>
      <c r="O319" s="192" t="s">
        <v>287</v>
      </c>
      <c r="P319" s="192" t="s">
        <v>24</v>
      </c>
    </row>
    <row r="320" spans="1:16" s="196" customFormat="1" ht="75" x14ac:dyDescent="0.2">
      <c r="A320" s="2">
        <v>2023337</v>
      </c>
      <c r="B320" s="2">
        <v>7658</v>
      </c>
      <c r="C320" s="3" t="s">
        <v>143</v>
      </c>
      <c r="D320" s="191" t="s">
        <v>282</v>
      </c>
      <c r="E320" s="192">
        <v>80111600</v>
      </c>
      <c r="F320" s="191" t="s">
        <v>309</v>
      </c>
      <c r="G320" s="193">
        <v>45063</v>
      </c>
      <c r="H320" s="193">
        <v>45063</v>
      </c>
      <c r="I320" s="191">
        <v>6</v>
      </c>
      <c r="J320" s="191" t="s">
        <v>20</v>
      </c>
      <c r="K320" s="197" t="s">
        <v>21</v>
      </c>
      <c r="L320" s="191" t="s">
        <v>27</v>
      </c>
      <c r="M320" s="188">
        <v>27000000</v>
      </c>
      <c r="N320" s="192" t="s">
        <v>286</v>
      </c>
      <c r="O320" s="192" t="s">
        <v>287</v>
      </c>
      <c r="P320" s="192" t="s">
        <v>24</v>
      </c>
    </row>
    <row r="321" spans="1:16" s="196" customFormat="1" ht="75" x14ac:dyDescent="0.2">
      <c r="A321" s="2">
        <v>2023338</v>
      </c>
      <c r="B321" s="2">
        <v>7658</v>
      </c>
      <c r="C321" s="3" t="s">
        <v>143</v>
      </c>
      <c r="D321" s="191" t="s">
        <v>282</v>
      </c>
      <c r="E321" s="192">
        <v>80111600</v>
      </c>
      <c r="F321" s="191" t="s">
        <v>310</v>
      </c>
      <c r="G321" s="193">
        <v>45063</v>
      </c>
      <c r="H321" s="193">
        <v>45063</v>
      </c>
      <c r="I321" s="191">
        <v>6</v>
      </c>
      <c r="J321" s="191" t="s">
        <v>20</v>
      </c>
      <c r="K321" s="197" t="s">
        <v>21</v>
      </c>
      <c r="L321" s="191" t="s">
        <v>27</v>
      </c>
      <c r="M321" s="188">
        <v>27000000</v>
      </c>
      <c r="N321" s="192" t="s">
        <v>286</v>
      </c>
      <c r="O321" s="192" t="s">
        <v>287</v>
      </c>
      <c r="P321" s="192" t="s">
        <v>24</v>
      </c>
    </row>
    <row r="322" spans="1:16" s="196" customFormat="1" ht="75" x14ac:dyDescent="0.2">
      <c r="A322" s="2">
        <v>2023339</v>
      </c>
      <c r="B322" s="2">
        <v>7658</v>
      </c>
      <c r="C322" s="3" t="s">
        <v>143</v>
      </c>
      <c r="D322" s="191" t="s">
        <v>282</v>
      </c>
      <c r="E322" s="192">
        <v>80111600</v>
      </c>
      <c r="F322" s="191" t="s">
        <v>311</v>
      </c>
      <c r="G322" s="193">
        <v>45063</v>
      </c>
      <c r="H322" s="193">
        <v>45063</v>
      </c>
      <c r="I322" s="191">
        <v>7</v>
      </c>
      <c r="J322" s="191" t="s">
        <v>20</v>
      </c>
      <c r="K322" s="197" t="s">
        <v>21</v>
      </c>
      <c r="L322" s="191" t="s">
        <v>27</v>
      </c>
      <c r="M322" s="188">
        <f>29100000+4850000</f>
        <v>33950000</v>
      </c>
      <c r="N322" s="192" t="s">
        <v>286</v>
      </c>
      <c r="O322" s="192" t="s">
        <v>287</v>
      </c>
      <c r="P322" s="192" t="s">
        <v>24</v>
      </c>
    </row>
    <row r="323" spans="1:16" s="196" customFormat="1" ht="75" x14ac:dyDescent="0.2">
      <c r="A323" s="2">
        <v>2023340</v>
      </c>
      <c r="B323" s="2">
        <v>7658</v>
      </c>
      <c r="C323" s="3" t="s">
        <v>143</v>
      </c>
      <c r="D323" s="191" t="s">
        <v>282</v>
      </c>
      <c r="E323" s="192">
        <v>80111600</v>
      </c>
      <c r="F323" s="191" t="s">
        <v>311</v>
      </c>
      <c r="G323" s="193">
        <v>45063</v>
      </c>
      <c r="H323" s="193">
        <v>45063</v>
      </c>
      <c r="I323" s="191">
        <v>7</v>
      </c>
      <c r="J323" s="191" t="s">
        <v>20</v>
      </c>
      <c r="K323" s="197" t="s">
        <v>21</v>
      </c>
      <c r="L323" s="191" t="s">
        <v>27</v>
      </c>
      <c r="M323" s="188">
        <f>29100000+4850000</f>
        <v>33950000</v>
      </c>
      <c r="N323" s="192" t="s">
        <v>286</v>
      </c>
      <c r="O323" s="192" t="s">
        <v>287</v>
      </c>
      <c r="P323" s="192" t="s">
        <v>24</v>
      </c>
    </row>
    <row r="324" spans="1:16" s="196" customFormat="1" ht="75" x14ac:dyDescent="0.2">
      <c r="A324" s="2">
        <v>2023341</v>
      </c>
      <c r="B324" s="2">
        <v>7658</v>
      </c>
      <c r="C324" s="3" t="s">
        <v>143</v>
      </c>
      <c r="D324" s="191" t="s">
        <v>282</v>
      </c>
      <c r="E324" s="192">
        <v>80111600</v>
      </c>
      <c r="F324" s="191" t="s">
        <v>311</v>
      </c>
      <c r="G324" s="193">
        <v>45063</v>
      </c>
      <c r="H324" s="193">
        <v>45063</v>
      </c>
      <c r="I324" s="191">
        <v>7</v>
      </c>
      <c r="J324" s="191" t="s">
        <v>20</v>
      </c>
      <c r="K324" s="197" t="s">
        <v>21</v>
      </c>
      <c r="L324" s="191" t="s">
        <v>27</v>
      </c>
      <c r="M324" s="188">
        <f>29100000+4850000</f>
        <v>33950000</v>
      </c>
      <c r="N324" s="192" t="s">
        <v>286</v>
      </c>
      <c r="O324" s="192" t="s">
        <v>287</v>
      </c>
      <c r="P324" s="192" t="s">
        <v>24</v>
      </c>
    </row>
    <row r="325" spans="1:16" s="196" customFormat="1" ht="75" x14ac:dyDescent="0.2">
      <c r="A325" s="2">
        <v>2023342</v>
      </c>
      <c r="B325" s="2">
        <v>7658</v>
      </c>
      <c r="C325" s="3" t="s">
        <v>143</v>
      </c>
      <c r="D325" s="191" t="s">
        <v>282</v>
      </c>
      <c r="E325" s="192">
        <v>80111600</v>
      </c>
      <c r="F325" s="191" t="s">
        <v>312</v>
      </c>
      <c r="G325" s="193">
        <v>45063</v>
      </c>
      <c r="H325" s="193">
        <v>45063</v>
      </c>
      <c r="I325" s="191">
        <v>6.5</v>
      </c>
      <c r="J325" s="191" t="s">
        <v>20</v>
      </c>
      <c r="K325" s="197" t="s">
        <v>21</v>
      </c>
      <c r="L325" s="191" t="s">
        <v>27</v>
      </c>
      <c r="M325" s="188">
        <f>33000000+2750000</f>
        <v>35750000</v>
      </c>
      <c r="N325" s="192" t="s">
        <v>286</v>
      </c>
      <c r="O325" s="192" t="s">
        <v>287</v>
      </c>
      <c r="P325" s="192" t="s">
        <v>24</v>
      </c>
    </row>
    <row r="326" spans="1:16" s="196" customFormat="1" ht="75" x14ac:dyDescent="0.2">
      <c r="A326" s="2">
        <v>2023343</v>
      </c>
      <c r="B326" s="2">
        <v>7658</v>
      </c>
      <c r="C326" s="3" t="s">
        <v>143</v>
      </c>
      <c r="D326" s="191" t="s">
        <v>282</v>
      </c>
      <c r="E326" s="192">
        <v>80111600</v>
      </c>
      <c r="F326" s="191" t="s">
        <v>312</v>
      </c>
      <c r="G326" s="193">
        <v>45063</v>
      </c>
      <c r="H326" s="193">
        <v>45063</v>
      </c>
      <c r="I326" s="191">
        <v>7</v>
      </c>
      <c r="J326" s="191" t="s">
        <v>20</v>
      </c>
      <c r="K326" s="197" t="s">
        <v>21</v>
      </c>
      <c r="L326" s="191" t="s">
        <v>27</v>
      </c>
      <c r="M326" s="188">
        <f>33000000+5500000</f>
        <v>38500000</v>
      </c>
      <c r="N326" s="192" t="s">
        <v>286</v>
      </c>
      <c r="O326" s="192" t="s">
        <v>287</v>
      </c>
      <c r="P326" s="192" t="s">
        <v>24</v>
      </c>
    </row>
    <row r="327" spans="1:16" s="196" customFormat="1" ht="75" x14ac:dyDescent="0.2">
      <c r="A327" s="2">
        <v>2023344</v>
      </c>
      <c r="B327" s="2">
        <v>7658</v>
      </c>
      <c r="C327" s="3" t="s">
        <v>143</v>
      </c>
      <c r="D327" s="191" t="s">
        <v>282</v>
      </c>
      <c r="E327" s="192">
        <v>80111600</v>
      </c>
      <c r="F327" s="191" t="s">
        <v>305</v>
      </c>
      <c r="G327" s="193">
        <v>45063</v>
      </c>
      <c r="H327" s="193">
        <v>45063</v>
      </c>
      <c r="I327" s="191">
        <v>6</v>
      </c>
      <c r="J327" s="191" t="s">
        <v>20</v>
      </c>
      <c r="K327" s="197" t="s">
        <v>21</v>
      </c>
      <c r="L327" s="191" t="s">
        <v>27</v>
      </c>
      <c r="M327" s="188">
        <f>14700000-14700000</f>
        <v>0</v>
      </c>
      <c r="N327" s="192" t="s">
        <v>286</v>
      </c>
      <c r="O327" s="192" t="s">
        <v>287</v>
      </c>
      <c r="P327" s="192" t="s">
        <v>24</v>
      </c>
    </row>
    <row r="328" spans="1:16" s="196" customFormat="1" ht="75" x14ac:dyDescent="0.2">
      <c r="A328" s="2">
        <v>2023345</v>
      </c>
      <c r="B328" s="2">
        <v>7658</v>
      </c>
      <c r="C328" s="3" t="s">
        <v>143</v>
      </c>
      <c r="D328" s="191" t="s">
        <v>282</v>
      </c>
      <c r="E328" s="192">
        <v>80111600</v>
      </c>
      <c r="F328" s="191" t="s">
        <v>313</v>
      </c>
      <c r="G328" s="193">
        <v>45063</v>
      </c>
      <c r="H328" s="193">
        <v>45063</v>
      </c>
      <c r="I328" s="191">
        <v>6</v>
      </c>
      <c r="J328" s="191" t="s">
        <v>20</v>
      </c>
      <c r="K328" s="197" t="s">
        <v>21</v>
      </c>
      <c r="L328" s="191" t="s">
        <v>27</v>
      </c>
      <c r="M328" s="188">
        <f t="shared" ref="M328:M333" si="1">14700000+2100000</f>
        <v>16800000</v>
      </c>
      <c r="N328" s="192" t="s">
        <v>286</v>
      </c>
      <c r="O328" s="192" t="s">
        <v>287</v>
      </c>
      <c r="P328" s="192" t="s">
        <v>24</v>
      </c>
    </row>
    <row r="329" spans="1:16" s="196" customFormat="1" ht="75" x14ac:dyDescent="0.2">
      <c r="A329" s="2">
        <v>2023346</v>
      </c>
      <c r="B329" s="2">
        <v>7658</v>
      </c>
      <c r="C329" s="3" t="s">
        <v>143</v>
      </c>
      <c r="D329" s="191" t="s">
        <v>282</v>
      </c>
      <c r="E329" s="192">
        <v>80111600</v>
      </c>
      <c r="F329" s="191" t="s">
        <v>313</v>
      </c>
      <c r="G329" s="193">
        <v>45063</v>
      </c>
      <c r="H329" s="193">
        <v>45063</v>
      </c>
      <c r="I329" s="191">
        <v>6</v>
      </c>
      <c r="J329" s="191" t="s">
        <v>20</v>
      </c>
      <c r="K329" s="197" t="s">
        <v>21</v>
      </c>
      <c r="L329" s="191" t="s">
        <v>27</v>
      </c>
      <c r="M329" s="188">
        <f t="shared" si="1"/>
        <v>16800000</v>
      </c>
      <c r="N329" s="192" t="s">
        <v>286</v>
      </c>
      <c r="O329" s="192" t="s">
        <v>287</v>
      </c>
      <c r="P329" s="192" t="s">
        <v>24</v>
      </c>
    </row>
    <row r="330" spans="1:16" s="196" customFormat="1" ht="75" x14ac:dyDescent="0.2">
      <c r="A330" s="2">
        <v>2023347</v>
      </c>
      <c r="B330" s="2">
        <v>7658</v>
      </c>
      <c r="C330" s="3" t="s">
        <v>143</v>
      </c>
      <c r="D330" s="191" t="s">
        <v>282</v>
      </c>
      <c r="E330" s="192">
        <v>80111600</v>
      </c>
      <c r="F330" s="191" t="s">
        <v>313</v>
      </c>
      <c r="G330" s="193">
        <v>45063</v>
      </c>
      <c r="H330" s="193">
        <v>45063</v>
      </c>
      <c r="I330" s="191">
        <v>6</v>
      </c>
      <c r="J330" s="191" t="s">
        <v>20</v>
      </c>
      <c r="K330" s="197" t="s">
        <v>21</v>
      </c>
      <c r="L330" s="191" t="s">
        <v>27</v>
      </c>
      <c r="M330" s="188">
        <f t="shared" si="1"/>
        <v>16800000</v>
      </c>
      <c r="N330" s="192" t="s">
        <v>286</v>
      </c>
      <c r="O330" s="192" t="s">
        <v>287</v>
      </c>
      <c r="P330" s="192" t="s">
        <v>24</v>
      </c>
    </row>
    <row r="331" spans="1:16" s="196" customFormat="1" ht="75" x14ac:dyDescent="0.2">
      <c r="A331" s="2">
        <v>2023348</v>
      </c>
      <c r="B331" s="2">
        <v>7658</v>
      </c>
      <c r="C331" s="3" t="s">
        <v>143</v>
      </c>
      <c r="D331" s="191" t="s">
        <v>282</v>
      </c>
      <c r="E331" s="192">
        <v>80111600</v>
      </c>
      <c r="F331" s="191" t="s">
        <v>313</v>
      </c>
      <c r="G331" s="193">
        <v>45063</v>
      </c>
      <c r="H331" s="193">
        <v>45063</v>
      </c>
      <c r="I331" s="191">
        <v>6</v>
      </c>
      <c r="J331" s="191" t="s">
        <v>20</v>
      </c>
      <c r="K331" s="197" t="s">
        <v>21</v>
      </c>
      <c r="L331" s="191" t="s">
        <v>27</v>
      </c>
      <c r="M331" s="188">
        <f t="shared" si="1"/>
        <v>16800000</v>
      </c>
      <c r="N331" s="192" t="s">
        <v>286</v>
      </c>
      <c r="O331" s="192" t="s">
        <v>287</v>
      </c>
      <c r="P331" s="192" t="s">
        <v>24</v>
      </c>
    </row>
    <row r="332" spans="1:16" s="196" customFormat="1" ht="75" x14ac:dyDescent="0.2">
      <c r="A332" s="2">
        <v>2023349</v>
      </c>
      <c r="B332" s="2">
        <v>7658</v>
      </c>
      <c r="C332" s="3" t="s">
        <v>143</v>
      </c>
      <c r="D332" s="191" t="s">
        <v>282</v>
      </c>
      <c r="E332" s="192">
        <v>80111600</v>
      </c>
      <c r="F332" s="191" t="s">
        <v>313</v>
      </c>
      <c r="G332" s="193">
        <v>45063</v>
      </c>
      <c r="H332" s="193">
        <v>45063</v>
      </c>
      <c r="I332" s="191">
        <v>6</v>
      </c>
      <c r="J332" s="191" t="s">
        <v>20</v>
      </c>
      <c r="K332" s="197" t="s">
        <v>21</v>
      </c>
      <c r="L332" s="191" t="s">
        <v>27</v>
      </c>
      <c r="M332" s="188">
        <f t="shared" si="1"/>
        <v>16800000</v>
      </c>
      <c r="N332" s="192" t="s">
        <v>286</v>
      </c>
      <c r="O332" s="192" t="s">
        <v>287</v>
      </c>
      <c r="P332" s="192" t="s">
        <v>24</v>
      </c>
    </row>
    <row r="333" spans="1:16" s="210" customFormat="1" ht="75" x14ac:dyDescent="0.2">
      <c r="A333" s="2">
        <v>2023350</v>
      </c>
      <c r="B333" s="2">
        <v>7658</v>
      </c>
      <c r="C333" s="3" t="s">
        <v>143</v>
      </c>
      <c r="D333" s="191" t="s">
        <v>282</v>
      </c>
      <c r="E333" s="192">
        <v>80111600</v>
      </c>
      <c r="F333" s="191" t="s">
        <v>313</v>
      </c>
      <c r="G333" s="193">
        <v>45063</v>
      </c>
      <c r="H333" s="193">
        <v>45063</v>
      </c>
      <c r="I333" s="191">
        <v>6</v>
      </c>
      <c r="J333" s="191" t="s">
        <v>20</v>
      </c>
      <c r="K333" s="197" t="s">
        <v>21</v>
      </c>
      <c r="L333" s="191" t="s">
        <v>27</v>
      </c>
      <c r="M333" s="188">
        <f t="shared" si="1"/>
        <v>16800000</v>
      </c>
      <c r="N333" s="192" t="s">
        <v>286</v>
      </c>
      <c r="O333" s="192" t="s">
        <v>287</v>
      </c>
      <c r="P333" s="192" t="s">
        <v>24</v>
      </c>
    </row>
    <row r="334" spans="1:16" s="196" customFormat="1" ht="75" x14ac:dyDescent="0.2">
      <c r="A334" s="2">
        <v>2023351</v>
      </c>
      <c r="B334" s="2">
        <v>7658</v>
      </c>
      <c r="C334" s="3" t="s">
        <v>143</v>
      </c>
      <c r="D334" s="191" t="s">
        <v>282</v>
      </c>
      <c r="E334" s="192">
        <v>80111600</v>
      </c>
      <c r="F334" s="191" t="s">
        <v>313</v>
      </c>
      <c r="G334" s="193">
        <v>45063</v>
      </c>
      <c r="H334" s="193">
        <v>45063</v>
      </c>
      <c r="I334" s="191">
        <v>6</v>
      </c>
      <c r="J334" s="191" t="s">
        <v>20</v>
      </c>
      <c r="K334" s="197" t="s">
        <v>21</v>
      </c>
      <c r="L334" s="191" t="s">
        <v>27</v>
      </c>
      <c r="M334" s="188">
        <f>14700000+2100000-2920000-8400000-1000000</f>
        <v>4480000</v>
      </c>
      <c r="N334" s="192" t="s">
        <v>286</v>
      </c>
      <c r="O334" s="192" t="s">
        <v>287</v>
      </c>
      <c r="P334" s="192" t="s">
        <v>24</v>
      </c>
    </row>
    <row r="335" spans="1:16" s="196" customFormat="1" ht="75" x14ac:dyDescent="0.2">
      <c r="A335" s="2">
        <v>2023352</v>
      </c>
      <c r="B335" s="2">
        <v>7658</v>
      </c>
      <c r="C335" s="3" t="s">
        <v>143</v>
      </c>
      <c r="D335" s="191" t="s">
        <v>282</v>
      </c>
      <c r="E335" s="192">
        <v>80111600</v>
      </c>
      <c r="F335" s="191" t="s">
        <v>313</v>
      </c>
      <c r="G335" s="193">
        <v>45063</v>
      </c>
      <c r="H335" s="193">
        <v>45063</v>
      </c>
      <c r="I335" s="191">
        <v>1</v>
      </c>
      <c r="J335" s="191" t="s">
        <v>20</v>
      </c>
      <c r="K335" s="197" t="s">
        <v>21</v>
      </c>
      <c r="L335" s="191" t="s">
        <v>27</v>
      </c>
      <c r="M335" s="188">
        <f>14700000-2100000-2100000-2100000-2100000-2100000-2100000-2100000</f>
        <v>0</v>
      </c>
      <c r="N335" s="192" t="s">
        <v>286</v>
      </c>
      <c r="O335" s="192" t="s">
        <v>287</v>
      </c>
      <c r="P335" s="192" t="s">
        <v>24</v>
      </c>
    </row>
    <row r="336" spans="1:16" s="196" customFormat="1" ht="75" x14ac:dyDescent="0.2">
      <c r="A336" s="2">
        <v>2023353</v>
      </c>
      <c r="B336" s="2">
        <v>7658</v>
      </c>
      <c r="C336" s="3" t="s">
        <v>143</v>
      </c>
      <c r="D336" s="191" t="s">
        <v>282</v>
      </c>
      <c r="E336" s="192">
        <v>80111600</v>
      </c>
      <c r="F336" s="191" t="s">
        <v>313</v>
      </c>
      <c r="G336" s="193">
        <v>45063</v>
      </c>
      <c r="H336" s="193">
        <v>45063</v>
      </c>
      <c r="I336" s="191">
        <v>1</v>
      </c>
      <c r="J336" s="191" t="s">
        <v>20</v>
      </c>
      <c r="K336" s="197" t="s">
        <v>21</v>
      </c>
      <c r="L336" s="191" t="s">
        <v>27</v>
      </c>
      <c r="M336" s="188">
        <f>14700000-14700000</f>
        <v>0</v>
      </c>
      <c r="N336" s="192" t="s">
        <v>286</v>
      </c>
      <c r="O336" s="192" t="s">
        <v>287</v>
      </c>
      <c r="P336" s="192" t="s">
        <v>24</v>
      </c>
    </row>
    <row r="337" spans="1:16" s="196" customFormat="1" ht="75" x14ac:dyDescent="0.2">
      <c r="A337" s="2">
        <v>2023354</v>
      </c>
      <c r="B337" s="2">
        <v>7658</v>
      </c>
      <c r="C337" s="3" t="s">
        <v>143</v>
      </c>
      <c r="D337" s="191" t="s">
        <v>282</v>
      </c>
      <c r="E337" s="192">
        <v>80111600</v>
      </c>
      <c r="F337" s="191" t="s">
        <v>313</v>
      </c>
      <c r="G337" s="193">
        <v>45063</v>
      </c>
      <c r="H337" s="193">
        <v>45063</v>
      </c>
      <c r="I337" s="191">
        <v>6</v>
      </c>
      <c r="J337" s="191" t="s">
        <v>20</v>
      </c>
      <c r="K337" s="197" t="s">
        <v>21</v>
      </c>
      <c r="L337" s="191" t="s">
        <v>27</v>
      </c>
      <c r="M337" s="188">
        <f>14700000-700000</f>
        <v>14000000</v>
      </c>
      <c r="N337" s="192" t="s">
        <v>286</v>
      </c>
      <c r="O337" s="192" t="s">
        <v>287</v>
      </c>
      <c r="P337" s="192" t="s">
        <v>24</v>
      </c>
    </row>
    <row r="338" spans="1:16" s="196" customFormat="1" ht="75" x14ac:dyDescent="0.2">
      <c r="A338" s="2">
        <v>2023355</v>
      </c>
      <c r="B338" s="2">
        <v>7658</v>
      </c>
      <c r="C338" s="3" t="s">
        <v>143</v>
      </c>
      <c r="D338" s="191" t="s">
        <v>282</v>
      </c>
      <c r="E338" s="192">
        <v>80111600</v>
      </c>
      <c r="F338" s="191" t="s">
        <v>313</v>
      </c>
      <c r="G338" s="193">
        <v>45063</v>
      </c>
      <c r="H338" s="193">
        <v>45063</v>
      </c>
      <c r="I338" s="191">
        <v>1</v>
      </c>
      <c r="J338" s="191" t="s">
        <v>20</v>
      </c>
      <c r="K338" s="197" t="s">
        <v>21</v>
      </c>
      <c r="L338" s="191" t="s">
        <v>27</v>
      </c>
      <c r="M338" s="188">
        <f>14700000-14000000-700000</f>
        <v>0</v>
      </c>
      <c r="N338" s="192" t="s">
        <v>286</v>
      </c>
      <c r="O338" s="192" t="s">
        <v>287</v>
      </c>
      <c r="P338" s="192" t="s">
        <v>24</v>
      </c>
    </row>
    <row r="339" spans="1:16" s="210" customFormat="1" ht="75" x14ac:dyDescent="0.2">
      <c r="A339" s="2">
        <v>2023356</v>
      </c>
      <c r="B339" s="2">
        <v>7658</v>
      </c>
      <c r="C339" s="3" t="s">
        <v>143</v>
      </c>
      <c r="D339" s="191" t="s">
        <v>282</v>
      </c>
      <c r="E339" s="192">
        <v>80111600</v>
      </c>
      <c r="F339" s="191" t="s">
        <v>313</v>
      </c>
      <c r="G339" s="193">
        <v>45063</v>
      </c>
      <c r="H339" s="193">
        <v>45063</v>
      </c>
      <c r="I339" s="191">
        <v>1</v>
      </c>
      <c r="J339" s="191" t="s">
        <v>20</v>
      </c>
      <c r="K339" s="197" t="s">
        <v>21</v>
      </c>
      <c r="L339" s="191" t="s">
        <v>27</v>
      </c>
      <c r="M339" s="188">
        <f>14700000-14000000-700000</f>
        <v>0</v>
      </c>
      <c r="N339" s="192" t="s">
        <v>286</v>
      </c>
      <c r="O339" s="192" t="s">
        <v>287</v>
      </c>
      <c r="P339" s="192" t="s">
        <v>24</v>
      </c>
    </row>
    <row r="340" spans="1:16" s="210" customFormat="1" ht="75" x14ac:dyDescent="0.2">
      <c r="A340" s="2">
        <v>2023357</v>
      </c>
      <c r="B340" s="2">
        <v>7658</v>
      </c>
      <c r="C340" s="3" t="s">
        <v>143</v>
      </c>
      <c r="D340" s="191" t="s">
        <v>282</v>
      </c>
      <c r="E340" s="192">
        <v>80111600</v>
      </c>
      <c r="F340" s="191" t="s">
        <v>316</v>
      </c>
      <c r="G340" s="193">
        <v>45063</v>
      </c>
      <c r="H340" s="193">
        <v>45063</v>
      </c>
      <c r="I340" s="191">
        <v>6</v>
      </c>
      <c r="J340" s="191" t="s">
        <v>20</v>
      </c>
      <c r="K340" s="197" t="s">
        <v>21</v>
      </c>
      <c r="L340" s="191" t="s">
        <v>27</v>
      </c>
      <c r="M340" s="188">
        <v>27000000</v>
      </c>
      <c r="N340" s="192" t="s">
        <v>286</v>
      </c>
      <c r="O340" s="192" t="s">
        <v>287</v>
      </c>
      <c r="P340" s="192" t="s">
        <v>24</v>
      </c>
    </row>
    <row r="341" spans="1:16" s="210" customFormat="1" ht="75" x14ac:dyDescent="0.2">
      <c r="A341" s="2">
        <v>2023358</v>
      </c>
      <c r="B341" s="2">
        <v>7658</v>
      </c>
      <c r="C341" s="3" t="s">
        <v>143</v>
      </c>
      <c r="D341" s="191" t="s">
        <v>282</v>
      </c>
      <c r="E341" s="192">
        <v>80111600</v>
      </c>
      <c r="F341" s="191" t="s">
        <v>316</v>
      </c>
      <c r="G341" s="193">
        <v>45063</v>
      </c>
      <c r="H341" s="193">
        <v>45063</v>
      </c>
      <c r="I341" s="191">
        <v>6</v>
      </c>
      <c r="J341" s="191" t="s">
        <v>20</v>
      </c>
      <c r="K341" s="197" t="s">
        <v>21</v>
      </c>
      <c r="L341" s="191" t="s">
        <v>27</v>
      </c>
      <c r="M341" s="188">
        <f>33000000-6000000</f>
        <v>27000000</v>
      </c>
      <c r="N341" s="192" t="s">
        <v>286</v>
      </c>
      <c r="O341" s="192" t="s">
        <v>287</v>
      </c>
      <c r="P341" s="192" t="s">
        <v>24</v>
      </c>
    </row>
    <row r="342" spans="1:16" s="210" customFormat="1" ht="75" x14ac:dyDescent="0.2">
      <c r="A342" s="2">
        <v>2023359</v>
      </c>
      <c r="B342" s="2">
        <v>7658</v>
      </c>
      <c r="C342" s="3" t="s">
        <v>143</v>
      </c>
      <c r="D342" s="191" t="s">
        <v>282</v>
      </c>
      <c r="E342" s="192">
        <v>80111600</v>
      </c>
      <c r="F342" s="191" t="s">
        <v>316</v>
      </c>
      <c r="G342" s="193">
        <v>45063</v>
      </c>
      <c r="H342" s="193">
        <v>45063</v>
      </c>
      <c r="I342" s="191">
        <v>1</v>
      </c>
      <c r="J342" s="191" t="s">
        <v>20</v>
      </c>
      <c r="K342" s="197" t="s">
        <v>21</v>
      </c>
      <c r="L342" s="191" t="s">
        <v>27</v>
      </c>
      <c r="M342" s="188">
        <f>29100000+4850000</f>
        <v>33950000</v>
      </c>
      <c r="N342" s="192" t="s">
        <v>286</v>
      </c>
      <c r="O342" s="192" t="s">
        <v>287</v>
      </c>
      <c r="P342" s="192" t="s">
        <v>24</v>
      </c>
    </row>
    <row r="343" spans="1:16" s="210" customFormat="1" ht="75" x14ac:dyDescent="0.2">
      <c r="A343" s="2">
        <v>2023360</v>
      </c>
      <c r="B343" s="2">
        <v>7658</v>
      </c>
      <c r="C343" s="3" t="s">
        <v>143</v>
      </c>
      <c r="D343" s="191" t="s">
        <v>282</v>
      </c>
      <c r="E343" s="192">
        <v>80111600</v>
      </c>
      <c r="F343" s="191" t="s">
        <v>318</v>
      </c>
      <c r="G343" s="193">
        <v>45063</v>
      </c>
      <c r="H343" s="193">
        <v>45063</v>
      </c>
      <c r="I343" s="191">
        <v>6</v>
      </c>
      <c r="J343" s="191" t="s">
        <v>20</v>
      </c>
      <c r="K343" s="197" t="s">
        <v>21</v>
      </c>
      <c r="L343" s="191" t="s">
        <v>27</v>
      </c>
      <c r="M343" s="188">
        <f>27000000+15000000-10000000-10000000-11200000-10800000</f>
        <v>0</v>
      </c>
      <c r="N343" s="192" t="s">
        <v>286</v>
      </c>
      <c r="O343" s="192" t="s">
        <v>287</v>
      </c>
      <c r="P343" s="192" t="s">
        <v>24</v>
      </c>
    </row>
    <row r="344" spans="1:16" s="196" customFormat="1" ht="75" x14ac:dyDescent="0.2">
      <c r="A344" s="2">
        <v>2023361</v>
      </c>
      <c r="B344" s="2">
        <v>7658</v>
      </c>
      <c r="C344" s="3" t="s">
        <v>143</v>
      </c>
      <c r="D344" s="191" t="s">
        <v>282</v>
      </c>
      <c r="E344" s="192">
        <v>80111600</v>
      </c>
      <c r="F344" s="191" t="s">
        <v>318</v>
      </c>
      <c r="G344" s="193">
        <v>45063</v>
      </c>
      <c r="H344" s="193">
        <v>45063</v>
      </c>
      <c r="I344" s="191">
        <v>6</v>
      </c>
      <c r="J344" s="191" t="s">
        <v>20</v>
      </c>
      <c r="K344" s="197" t="s">
        <v>21</v>
      </c>
      <c r="L344" s="191" t="s">
        <v>27</v>
      </c>
      <c r="M344" s="188">
        <f>27000000+15000000-8700000</f>
        <v>33300000</v>
      </c>
      <c r="N344" s="192" t="s">
        <v>286</v>
      </c>
      <c r="O344" s="192" t="s">
        <v>287</v>
      </c>
      <c r="P344" s="192" t="s">
        <v>24</v>
      </c>
    </row>
    <row r="345" spans="1:16" s="196" customFormat="1" ht="60" x14ac:dyDescent="0.2">
      <c r="A345" s="2">
        <v>2023362</v>
      </c>
      <c r="B345" s="2">
        <v>7655</v>
      </c>
      <c r="C345" s="3" t="s">
        <v>25</v>
      </c>
      <c r="D345" s="191" t="s">
        <v>320</v>
      </c>
      <c r="E345" s="192">
        <v>80111600</v>
      </c>
      <c r="F345" s="191" t="s">
        <v>321</v>
      </c>
      <c r="G345" s="193">
        <v>44927</v>
      </c>
      <c r="H345" s="193">
        <v>44941</v>
      </c>
      <c r="I345" s="191">
        <v>9</v>
      </c>
      <c r="J345" s="191" t="s">
        <v>20</v>
      </c>
      <c r="K345" s="197" t="s">
        <v>21</v>
      </c>
      <c r="L345" s="191" t="s">
        <v>27</v>
      </c>
      <c r="M345" s="230">
        <f>36850000-6700000</f>
        <v>30150000</v>
      </c>
      <c r="N345" s="192" t="s">
        <v>28</v>
      </c>
      <c r="O345" s="192" t="s">
        <v>29</v>
      </c>
      <c r="P345" s="192" t="s">
        <v>24</v>
      </c>
    </row>
    <row r="346" spans="1:16" s="196" customFormat="1" ht="60" x14ac:dyDescent="0.2">
      <c r="A346" s="2">
        <v>2023363</v>
      </c>
      <c r="B346" s="2">
        <v>7655</v>
      </c>
      <c r="C346" s="3" t="s">
        <v>25</v>
      </c>
      <c r="D346" s="191" t="s">
        <v>320</v>
      </c>
      <c r="E346" s="192">
        <v>80111600</v>
      </c>
      <c r="F346" s="191" t="s">
        <v>322</v>
      </c>
      <c r="G346" s="193">
        <v>44927</v>
      </c>
      <c r="H346" s="193">
        <v>44941</v>
      </c>
      <c r="I346" s="191">
        <v>8</v>
      </c>
      <c r="J346" s="191" t="s">
        <v>20</v>
      </c>
      <c r="K346" s="197" t="s">
        <v>21</v>
      </c>
      <c r="L346" s="191" t="s">
        <v>27</v>
      </c>
      <c r="M346" s="230">
        <f>30800000-2293760-3167360</f>
        <v>25338880</v>
      </c>
      <c r="N346" s="192" t="s">
        <v>28</v>
      </c>
      <c r="O346" s="192" t="s">
        <v>29</v>
      </c>
      <c r="P346" s="192" t="s">
        <v>24</v>
      </c>
    </row>
    <row r="347" spans="1:16" s="196" customFormat="1" ht="90" x14ac:dyDescent="0.2">
      <c r="A347" s="2">
        <v>2023364</v>
      </c>
      <c r="B347" s="2">
        <v>7655</v>
      </c>
      <c r="C347" s="3" t="s">
        <v>25</v>
      </c>
      <c r="D347" s="191" t="s">
        <v>320</v>
      </c>
      <c r="E347" s="192">
        <v>80111600</v>
      </c>
      <c r="F347" s="191" t="s">
        <v>323</v>
      </c>
      <c r="G347" s="193">
        <v>44927</v>
      </c>
      <c r="H347" s="193">
        <v>44941</v>
      </c>
      <c r="I347" s="191">
        <v>7</v>
      </c>
      <c r="J347" s="191" t="s">
        <v>20</v>
      </c>
      <c r="K347" s="197" t="s">
        <v>21</v>
      </c>
      <c r="L347" s="191" t="s">
        <v>27</v>
      </c>
      <c r="M347" s="230">
        <f>68000000-24209440-12400000+45000000-59700000+28460000+10740000+14700000-29790560-200000</f>
        <v>40600000</v>
      </c>
      <c r="N347" s="192" t="s">
        <v>28</v>
      </c>
      <c r="O347" s="192" t="s">
        <v>29</v>
      </c>
      <c r="P347" s="192" t="s">
        <v>24</v>
      </c>
    </row>
    <row r="348" spans="1:16" s="196" customFormat="1" ht="60" x14ac:dyDescent="0.2">
      <c r="A348" s="2">
        <v>2023365</v>
      </c>
      <c r="B348" s="2">
        <v>7655</v>
      </c>
      <c r="C348" s="3" t="s">
        <v>25</v>
      </c>
      <c r="D348" s="191" t="s">
        <v>320</v>
      </c>
      <c r="E348" s="192">
        <v>80111600</v>
      </c>
      <c r="F348" s="191" t="s">
        <v>324</v>
      </c>
      <c r="G348" s="193">
        <v>44927</v>
      </c>
      <c r="H348" s="193">
        <v>44941</v>
      </c>
      <c r="I348" s="191">
        <v>10</v>
      </c>
      <c r="J348" s="191" t="s">
        <v>20</v>
      </c>
      <c r="K348" s="197" t="s">
        <v>21</v>
      </c>
      <c r="L348" s="191" t="s">
        <v>27</v>
      </c>
      <c r="M348" s="230">
        <v>18000000</v>
      </c>
      <c r="N348" s="192" t="s">
        <v>28</v>
      </c>
      <c r="O348" s="192" t="s">
        <v>29</v>
      </c>
      <c r="P348" s="192" t="s">
        <v>24</v>
      </c>
    </row>
    <row r="349" spans="1:16" s="196" customFormat="1" ht="90" x14ac:dyDescent="0.2">
      <c r="A349" s="2">
        <v>2023366</v>
      </c>
      <c r="B349" s="2">
        <v>7655</v>
      </c>
      <c r="C349" s="3" t="s">
        <v>25</v>
      </c>
      <c r="D349" s="191" t="s">
        <v>320</v>
      </c>
      <c r="E349" s="192">
        <v>80111600</v>
      </c>
      <c r="F349" s="191" t="s">
        <v>325</v>
      </c>
      <c r="G349" s="193">
        <v>44927</v>
      </c>
      <c r="H349" s="193">
        <v>44941</v>
      </c>
      <c r="I349" s="191">
        <v>9</v>
      </c>
      <c r="J349" s="191" t="s">
        <v>20</v>
      </c>
      <c r="K349" s="197" t="s">
        <v>21</v>
      </c>
      <c r="L349" s="191" t="s">
        <v>51</v>
      </c>
      <c r="M349" s="230">
        <f>80000000-8000000</f>
        <v>72000000</v>
      </c>
      <c r="N349" s="192" t="s">
        <v>28</v>
      </c>
      <c r="O349" s="192" t="s">
        <v>29</v>
      </c>
      <c r="P349" s="192" t="s">
        <v>24</v>
      </c>
    </row>
    <row r="350" spans="1:16" s="196" customFormat="1" ht="60" x14ac:dyDescent="0.2">
      <c r="A350" s="2">
        <v>2023368</v>
      </c>
      <c r="B350" s="2">
        <v>7655</v>
      </c>
      <c r="C350" s="3" t="s">
        <v>25</v>
      </c>
      <c r="D350" s="191" t="s">
        <v>320</v>
      </c>
      <c r="E350" s="192">
        <v>80111600</v>
      </c>
      <c r="F350" s="191" t="s">
        <v>326</v>
      </c>
      <c r="G350" s="193">
        <v>44927</v>
      </c>
      <c r="H350" s="193">
        <v>44941</v>
      </c>
      <c r="I350" s="191">
        <v>8</v>
      </c>
      <c r="J350" s="191" t="s">
        <v>20</v>
      </c>
      <c r="K350" s="197" t="s">
        <v>21</v>
      </c>
      <c r="L350" s="191" t="s">
        <v>27</v>
      </c>
      <c r="M350" s="230">
        <f>38500000+5021200+7382800-10180800-5882240</f>
        <v>34840960</v>
      </c>
      <c r="N350" s="192" t="s">
        <v>28</v>
      </c>
      <c r="O350" s="192" t="s">
        <v>29</v>
      </c>
      <c r="P350" s="192" t="s">
        <v>24</v>
      </c>
    </row>
    <row r="351" spans="1:16" s="196" customFormat="1" ht="60" x14ac:dyDescent="0.2">
      <c r="A351" s="2">
        <v>2023369</v>
      </c>
      <c r="B351" s="2">
        <v>7655</v>
      </c>
      <c r="C351" s="3" t="s">
        <v>25</v>
      </c>
      <c r="D351" s="191" t="s">
        <v>320</v>
      </c>
      <c r="E351" s="192">
        <v>80111600</v>
      </c>
      <c r="F351" s="191" t="s">
        <v>327</v>
      </c>
      <c r="G351" s="193">
        <v>44927</v>
      </c>
      <c r="H351" s="193">
        <v>44941</v>
      </c>
      <c r="I351" s="191">
        <v>9</v>
      </c>
      <c r="J351" s="191" t="s">
        <v>20</v>
      </c>
      <c r="K351" s="197" t="s">
        <v>21</v>
      </c>
      <c r="L351" s="191" t="s">
        <v>27</v>
      </c>
      <c r="M351" s="230">
        <f>49500000-9000000</f>
        <v>40500000</v>
      </c>
      <c r="N351" s="192" t="s">
        <v>28</v>
      </c>
      <c r="O351" s="192" t="s">
        <v>29</v>
      </c>
      <c r="P351" s="192" t="s">
        <v>24</v>
      </c>
    </row>
    <row r="352" spans="1:16" s="196" customFormat="1" ht="90" x14ac:dyDescent="0.2">
      <c r="A352" s="2">
        <v>2023370</v>
      </c>
      <c r="B352" s="2">
        <v>7655</v>
      </c>
      <c r="C352" s="3" t="s">
        <v>25</v>
      </c>
      <c r="D352" s="191" t="s">
        <v>320</v>
      </c>
      <c r="E352" s="192">
        <v>80111600</v>
      </c>
      <c r="F352" s="191" t="s">
        <v>328</v>
      </c>
      <c r="G352" s="193">
        <v>44927</v>
      </c>
      <c r="H352" s="193">
        <v>44941</v>
      </c>
      <c r="I352" s="191">
        <v>11</v>
      </c>
      <c r="J352" s="191" t="s">
        <v>20</v>
      </c>
      <c r="K352" s="197" t="s">
        <v>21</v>
      </c>
      <c r="L352" s="191" t="s">
        <v>27</v>
      </c>
      <c r="M352" s="230">
        <v>99000000</v>
      </c>
      <c r="N352" s="192" t="s">
        <v>28</v>
      </c>
      <c r="O352" s="192" t="s">
        <v>29</v>
      </c>
      <c r="P352" s="192" t="s">
        <v>24</v>
      </c>
    </row>
    <row r="353" spans="1:16" s="196" customFormat="1" ht="60" x14ac:dyDescent="0.2">
      <c r="A353" s="2">
        <v>2023371</v>
      </c>
      <c r="B353" s="2">
        <v>7655</v>
      </c>
      <c r="C353" s="3" t="s">
        <v>25</v>
      </c>
      <c r="D353" s="191" t="s">
        <v>320</v>
      </c>
      <c r="E353" s="192">
        <v>80111600</v>
      </c>
      <c r="F353" s="191" t="s">
        <v>329</v>
      </c>
      <c r="G353" s="193">
        <v>44927</v>
      </c>
      <c r="H353" s="193">
        <v>44941</v>
      </c>
      <c r="I353" s="191">
        <v>9</v>
      </c>
      <c r="J353" s="191" t="s">
        <v>20</v>
      </c>
      <c r="K353" s="197" t="s">
        <v>21</v>
      </c>
      <c r="L353" s="191" t="s">
        <v>27</v>
      </c>
      <c r="M353" s="230">
        <f>42350000-7700000</f>
        <v>34650000</v>
      </c>
      <c r="N353" s="192" t="s">
        <v>28</v>
      </c>
      <c r="O353" s="192" t="s">
        <v>29</v>
      </c>
      <c r="P353" s="192" t="s">
        <v>24</v>
      </c>
    </row>
    <row r="354" spans="1:16" s="196" customFormat="1" ht="60" x14ac:dyDescent="0.2">
      <c r="A354" s="2">
        <v>2023374</v>
      </c>
      <c r="B354" s="2">
        <v>7655</v>
      </c>
      <c r="C354" s="3" t="s">
        <v>25</v>
      </c>
      <c r="D354" s="191" t="s">
        <v>320</v>
      </c>
      <c r="E354" s="192">
        <v>80111600</v>
      </c>
      <c r="F354" s="191" t="s">
        <v>330</v>
      </c>
      <c r="G354" s="193">
        <v>44927</v>
      </c>
      <c r="H354" s="193">
        <v>44941</v>
      </c>
      <c r="I354" s="191">
        <v>9</v>
      </c>
      <c r="J354" s="191" t="s">
        <v>20</v>
      </c>
      <c r="K354" s="197" t="s">
        <v>21</v>
      </c>
      <c r="L354" s="191" t="s">
        <v>27</v>
      </c>
      <c r="M354" s="230">
        <f>60000000-7382800-7617200</f>
        <v>45000000</v>
      </c>
      <c r="N354" s="192" t="s">
        <v>28</v>
      </c>
      <c r="O354" s="192" t="s">
        <v>29</v>
      </c>
      <c r="P354" s="192" t="s">
        <v>24</v>
      </c>
    </row>
    <row r="355" spans="1:16" s="196" customFormat="1" ht="105" x14ac:dyDescent="0.2">
      <c r="A355" s="2">
        <v>2023375</v>
      </c>
      <c r="B355" s="2">
        <v>7655</v>
      </c>
      <c r="C355" s="3" t="s">
        <v>25</v>
      </c>
      <c r="D355" s="191" t="s">
        <v>320</v>
      </c>
      <c r="E355" s="192">
        <v>80111600</v>
      </c>
      <c r="F355" s="191" t="s">
        <v>331</v>
      </c>
      <c r="G355" s="193">
        <v>44927</v>
      </c>
      <c r="H355" s="193">
        <v>44941</v>
      </c>
      <c r="I355" s="191">
        <v>9</v>
      </c>
      <c r="J355" s="191" t="s">
        <v>20</v>
      </c>
      <c r="K355" s="197" t="s">
        <v>21</v>
      </c>
      <c r="L355" s="191" t="s">
        <v>51</v>
      </c>
      <c r="M355" s="230">
        <v>49500000</v>
      </c>
      <c r="N355" s="192" t="s">
        <v>28</v>
      </c>
      <c r="O355" s="192" t="s">
        <v>29</v>
      </c>
      <c r="P355" s="192" t="s">
        <v>24</v>
      </c>
    </row>
    <row r="356" spans="1:16" s="196" customFormat="1" ht="75" x14ac:dyDescent="0.2">
      <c r="A356" s="2">
        <v>2023376</v>
      </c>
      <c r="B356" s="2">
        <v>7655</v>
      </c>
      <c r="C356" s="3" t="s">
        <v>25</v>
      </c>
      <c r="D356" s="191" t="s">
        <v>320</v>
      </c>
      <c r="E356" s="192">
        <v>80111600</v>
      </c>
      <c r="F356" s="191" t="s">
        <v>332</v>
      </c>
      <c r="G356" s="193">
        <v>44941</v>
      </c>
      <c r="H356" s="193">
        <v>44941</v>
      </c>
      <c r="I356" s="191">
        <v>10</v>
      </c>
      <c r="J356" s="191" t="s">
        <v>20</v>
      </c>
      <c r="K356" s="197" t="s">
        <v>21</v>
      </c>
      <c r="L356" s="191" t="s">
        <v>27</v>
      </c>
      <c r="M356" s="230">
        <v>65000000</v>
      </c>
      <c r="N356" s="192" t="s">
        <v>28</v>
      </c>
      <c r="O356" s="192" t="s">
        <v>29</v>
      </c>
      <c r="P356" s="192" t="s">
        <v>24</v>
      </c>
    </row>
    <row r="357" spans="1:16" s="196" customFormat="1" ht="60" x14ac:dyDescent="0.2">
      <c r="A357" s="2">
        <v>2023377</v>
      </c>
      <c r="B357" s="2">
        <v>7655</v>
      </c>
      <c r="C357" s="3" t="s">
        <v>25</v>
      </c>
      <c r="D357" s="191" t="s">
        <v>320</v>
      </c>
      <c r="E357" s="192">
        <v>80111600</v>
      </c>
      <c r="F357" s="191" t="s">
        <v>333</v>
      </c>
      <c r="G357" s="193">
        <v>44941</v>
      </c>
      <c r="H357" s="193">
        <v>44941</v>
      </c>
      <c r="I357" s="191">
        <v>4</v>
      </c>
      <c r="J357" s="191" t="s">
        <v>20</v>
      </c>
      <c r="K357" s="197" t="s">
        <v>21</v>
      </c>
      <c r="L357" s="191" t="s">
        <v>27</v>
      </c>
      <c r="M357" s="230">
        <f>24500000-14700000</f>
        <v>9800000</v>
      </c>
      <c r="N357" s="192" t="s">
        <v>28</v>
      </c>
      <c r="O357" s="192" t="s">
        <v>29</v>
      </c>
      <c r="P357" s="192" t="s">
        <v>24</v>
      </c>
    </row>
    <row r="358" spans="1:16" s="196" customFormat="1" ht="60" x14ac:dyDescent="0.2">
      <c r="A358" s="2">
        <v>2023379</v>
      </c>
      <c r="B358" s="2">
        <v>7655</v>
      </c>
      <c r="C358" s="3" t="s">
        <v>25</v>
      </c>
      <c r="D358" s="191" t="s">
        <v>320</v>
      </c>
      <c r="E358" s="192">
        <v>80111600</v>
      </c>
      <c r="F358" s="191" t="s">
        <v>334</v>
      </c>
      <c r="G358" s="193">
        <v>44927</v>
      </c>
      <c r="H358" s="193">
        <v>44941</v>
      </c>
      <c r="I358" s="191">
        <v>9</v>
      </c>
      <c r="J358" s="191" t="s">
        <v>20</v>
      </c>
      <c r="K358" s="197" t="s">
        <v>21</v>
      </c>
      <c r="L358" s="191" t="s">
        <v>27</v>
      </c>
      <c r="M358" s="230">
        <f>26950000-4900000</f>
        <v>22050000</v>
      </c>
      <c r="N358" s="192" t="s">
        <v>28</v>
      </c>
      <c r="O358" s="192" t="s">
        <v>29</v>
      </c>
      <c r="P358" s="192" t="s">
        <v>24</v>
      </c>
    </row>
    <row r="359" spans="1:16" s="196" customFormat="1" ht="60" x14ac:dyDescent="0.2">
      <c r="A359" s="2">
        <v>2023380</v>
      </c>
      <c r="B359" s="2">
        <v>7655</v>
      </c>
      <c r="C359" s="3" t="s">
        <v>25</v>
      </c>
      <c r="D359" s="191" t="s">
        <v>320</v>
      </c>
      <c r="E359" s="192">
        <v>80111600</v>
      </c>
      <c r="F359" s="191" t="s">
        <v>334</v>
      </c>
      <c r="G359" s="193">
        <v>44927</v>
      </c>
      <c r="H359" s="193">
        <v>44941</v>
      </c>
      <c r="I359" s="191">
        <v>9</v>
      </c>
      <c r="J359" s="191" t="s">
        <v>20</v>
      </c>
      <c r="K359" s="197" t="s">
        <v>21</v>
      </c>
      <c r="L359" s="191" t="s">
        <v>27</v>
      </c>
      <c r="M359" s="230">
        <f>26950000-4900000</f>
        <v>22050000</v>
      </c>
      <c r="N359" s="192" t="s">
        <v>28</v>
      </c>
      <c r="O359" s="192" t="s">
        <v>29</v>
      </c>
      <c r="P359" s="192" t="s">
        <v>24</v>
      </c>
    </row>
    <row r="360" spans="1:16" s="196" customFormat="1" ht="60" x14ac:dyDescent="0.2">
      <c r="A360" s="2">
        <v>2023381</v>
      </c>
      <c r="B360" s="2">
        <v>7655</v>
      </c>
      <c r="C360" s="3" t="s">
        <v>25</v>
      </c>
      <c r="D360" s="191" t="s">
        <v>320</v>
      </c>
      <c r="E360" s="192">
        <v>80111600</v>
      </c>
      <c r="F360" s="191" t="s">
        <v>334</v>
      </c>
      <c r="G360" s="193">
        <v>44927</v>
      </c>
      <c r="H360" s="193">
        <v>44941</v>
      </c>
      <c r="I360" s="191">
        <v>9</v>
      </c>
      <c r="J360" s="191" t="s">
        <v>20</v>
      </c>
      <c r="K360" s="197" t="s">
        <v>21</v>
      </c>
      <c r="L360" s="191" t="s">
        <v>27</v>
      </c>
      <c r="M360" s="230">
        <f>26950000-4900000</f>
        <v>22050000</v>
      </c>
      <c r="N360" s="192" t="s">
        <v>28</v>
      </c>
      <c r="O360" s="192" t="s">
        <v>29</v>
      </c>
      <c r="P360" s="192" t="s">
        <v>24</v>
      </c>
    </row>
    <row r="361" spans="1:16" s="196" customFormat="1" ht="60" x14ac:dyDescent="0.2">
      <c r="A361" s="2">
        <v>2023382</v>
      </c>
      <c r="B361" s="2">
        <v>7655</v>
      </c>
      <c r="C361" s="3" t="s">
        <v>25</v>
      </c>
      <c r="D361" s="191" t="s">
        <v>320</v>
      </c>
      <c r="E361" s="192">
        <v>80111600</v>
      </c>
      <c r="F361" s="191" t="s">
        <v>335</v>
      </c>
      <c r="G361" s="193">
        <v>44927</v>
      </c>
      <c r="H361" s="193">
        <v>44941</v>
      </c>
      <c r="I361" s="191">
        <v>9</v>
      </c>
      <c r="J361" s="191" t="s">
        <v>20</v>
      </c>
      <c r="K361" s="197" t="s">
        <v>21</v>
      </c>
      <c r="L361" s="191" t="s">
        <v>27</v>
      </c>
      <c r="M361" s="230">
        <f>26950000-4900000</f>
        <v>22050000</v>
      </c>
      <c r="N361" s="192" t="s">
        <v>28</v>
      </c>
      <c r="O361" s="192" t="s">
        <v>29</v>
      </c>
      <c r="P361" s="192" t="s">
        <v>24</v>
      </c>
    </row>
    <row r="362" spans="1:16" s="196" customFormat="1" ht="60" x14ac:dyDescent="0.2">
      <c r="A362" s="2">
        <v>2023383</v>
      </c>
      <c r="B362" s="2">
        <v>7655</v>
      </c>
      <c r="C362" s="3" t="s">
        <v>25</v>
      </c>
      <c r="D362" s="191" t="s">
        <v>320</v>
      </c>
      <c r="E362" s="192">
        <v>80111600</v>
      </c>
      <c r="F362" s="191" t="s">
        <v>335</v>
      </c>
      <c r="G362" s="193">
        <v>44927</v>
      </c>
      <c r="H362" s="193">
        <v>44941</v>
      </c>
      <c r="I362" s="191">
        <v>9</v>
      </c>
      <c r="J362" s="191" t="s">
        <v>20</v>
      </c>
      <c r="K362" s="197" t="s">
        <v>21</v>
      </c>
      <c r="L362" s="191" t="s">
        <v>27</v>
      </c>
      <c r="M362" s="230">
        <f>26950000-4900000</f>
        <v>22050000</v>
      </c>
      <c r="N362" s="192" t="s">
        <v>28</v>
      </c>
      <c r="O362" s="192" t="s">
        <v>29</v>
      </c>
      <c r="P362" s="192" t="s">
        <v>24</v>
      </c>
    </row>
    <row r="363" spans="1:16" s="196" customFormat="1" ht="60" x14ac:dyDescent="0.2">
      <c r="A363" s="2">
        <v>2023384</v>
      </c>
      <c r="B363" s="2">
        <v>7655</v>
      </c>
      <c r="C363" s="3" t="s">
        <v>25</v>
      </c>
      <c r="D363" s="191" t="s">
        <v>320</v>
      </c>
      <c r="E363" s="192">
        <v>80111600</v>
      </c>
      <c r="F363" s="191" t="s">
        <v>335</v>
      </c>
      <c r="G363" s="193">
        <v>44927</v>
      </c>
      <c r="H363" s="193">
        <v>44941</v>
      </c>
      <c r="I363" s="191">
        <v>8</v>
      </c>
      <c r="J363" s="191" t="s">
        <v>20</v>
      </c>
      <c r="K363" s="197" t="s">
        <v>21</v>
      </c>
      <c r="L363" s="191" t="s">
        <v>27</v>
      </c>
      <c r="M363" s="230">
        <f>26950000-7350000</f>
        <v>19600000</v>
      </c>
      <c r="N363" s="192" t="s">
        <v>28</v>
      </c>
      <c r="O363" s="192" t="s">
        <v>29</v>
      </c>
      <c r="P363" s="192" t="s">
        <v>24</v>
      </c>
    </row>
    <row r="364" spans="1:16" s="196" customFormat="1" ht="60" x14ac:dyDescent="0.2">
      <c r="A364" s="2">
        <v>2023385</v>
      </c>
      <c r="B364" s="2">
        <v>7655</v>
      </c>
      <c r="C364" s="3" t="s">
        <v>25</v>
      </c>
      <c r="D364" s="191" t="s">
        <v>320</v>
      </c>
      <c r="E364" s="192">
        <v>80111600</v>
      </c>
      <c r="F364" s="191" t="s">
        <v>335</v>
      </c>
      <c r="G364" s="193">
        <v>44927</v>
      </c>
      <c r="H364" s="193">
        <v>44941</v>
      </c>
      <c r="I364" s="191">
        <v>5</v>
      </c>
      <c r="J364" s="191" t="s">
        <v>20</v>
      </c>
      <c r="K364" s="197" t="s">
        <v>21</v>
      </c>
      <c r="L364" s="191" t="s">
        <v>27</v>
      </c>
      <c r="M364" s="230">
        <f>14700000-2450000</f>
        <v>12250000</v>
      </c>
      <c r="N364" s="192" t="s">
        <v>28</v>
      </c>
      <c r="O364" s="192" t="s">
        <v>29</v>
      </c>
      <c r="P364" s="192" t="s">
        <v>24</v>
      </c>
    </row>
    <row r="365" spans="1:16" s="196" customFormat="1" ht="60" x14ac:dyDescent="0.2">
      <c r="A365" s="2">
        <v>2023386</v>
      </c>
      <c r="B365" s="2">
        <v>7655</v>
      </c>
      <c r="C365" s="3" t="s">
        <v>25</v>
      </c>
      <c r="D365" s="191" t="s">
        <v>320</v>
      </c>
      <c r="E365" s="192">
        <v>80111600</v>
      </c>
      <c r="F365" s="191" t="s">
        <v>336</v>
      </c>
      <c r="G365" s="193">
        <v>44927</v>
      </c>
      <c r="H365" s="193">
        <v>44941</v>
      </c>
      <c r="I365" s="191">
        <v>9</v>
      </c>
      <c r="J365" s="191" t="s">
        <v>20</v>
      </c>
      <c r="K365" s="197" t="s">
        <v>21</v>
      </c>
      <c r="L365" s="191" t="s">
        <v>27</v>
      </c>
      <c r="M365" s="230">
        <f>36850000-14800000</f>
        <v>22050000</v>
      </c>
      <c r="N365" s="192" t="s">
        <v>28</v>
      </c>
      <c r="O365" s="192" t="s">
        <v>29</v>
      </c>
      <c r="P365" s="192" t="s">
        <v>24</v>
      </c>
    </row>
    <row r="366" spans="1:16" s="196" customFormat="1" ht="60" x14ac:dyDescent="0.2">
      <c r="A366" s="2">
        <v>2023387</v>
      </c>
      <c r="B366" s="2">
        <v>7655</v>
      </c>
      <c r="C366" s="3" t="s">
        <v>25</v>
      </c>
      <c r="D366" s="191" t="s">
        <v>320</v>
      </c>
      <c r="E366" s="192">
        <v>80111600</v>
      </c>
      <c r="F366" s="191" t="s">
        <v>335</v>
      </c>
      <c r="G366" s="193">
        <v>44927</v>
      </c>
      <c r="H366" s="193">
        <v>44941</v>
      </c>
      <c r="I366" s="191">
        <v>9</v>
      </c>
      <c r="J366" s="191" t="s">
        <v>20</v>
      </c>
      <c r="K366" s="197" t="s">
        <v>21</v>
      </c>
      <c r="L366" s="191" t="s">
        <v>27</v>
      </c>
      <c r="M366" s="230">
        <f>26950000-4900000</f>
        <v>22050000</v>
      </c>
      <c r="N366" s="192" t="s">
        <v>28</v>
      </c>
      <c r="O366" s="192" t="s">
        <v>29</v>
      </c>
      <c r="P366" s="192" t="s">
        <v>24</v>
      </c>
    </row>
    <row r="367" spans="1:16" s="196" customFormat="1" ht="60" x14ac:dyDescent="0.2">
      <c r="A367" s="2">
        <v>2023388</v>
      </c>
      <c r="B367" s="2">
        <v>7655</v>
      </c>
      <c r="C367" s="3" t="s">
        <v>25</v>
      </c>
      <c r="D367" s="191" t="s">
        <v>320</v>
      </c>
      <c r="E367" s="192">
        <v>80111600</v>
      </c>
      <c r="F367" s="191" t="s">
        <v>334</v>
      </c>
      <c r="G367" s="193">
        <v>44927</v>
      </c>
      <c r="H367" s="193">
        <v>44941</v>
      </c>
      <c r="I367" s="191">
        <v>9</v>
      </c>
      <c r="J367" s="191" t="s">
        <v>20</v>
      </c>
      <c r="K367" s="197" t="s">
        <v>21</v>
      </c>
      <c r="L367" s="191" t="s">
        <v>27</v>
      </c>
      <c r="M367" s="230">
        <f>26950000-4900000</f>
        <v>22050000</v>
      </c>
      <c r="N367" s="192" t="s">
        <v>28</v>
      </c>
      <c r="O367" s="192" t="s">
        <v>29</v>
      </c>
      <c r="P367" s="192" t="s">
        <v>24</v>
      </c>
    </row>
    <row r="368" spans="1:16" s="196" customFormat="1" ht="60" x14ac:dyDescent="0.2">
      <c r="A368" s="2">
        <v>2023389</v>
      </c>
      <c r="B368" s="2">
        <v>7655</v>
      </c>
      <c r="C368" s="3" t="s">
        <v>25</v>
      </c>
      <c r="D368" s="191" t="s">
        <v>320</v>
      </c>
      <c r="E368" s="192">
        <v>80111600</v>
      </c>
      <c r="F368" s="191" t="s">
        <v>335</v>
      </c>
      <c r="G368" s="193">
        <v>44927</v>
      </c>
      <c r="H368" s="193">
        <v>44941</v>
      </c>
      <c r="I368" s="191">
        <v>9</v>
      </c>
      <c r="J368" s="191" t="s">
        <v>20</v>
      </c>
      <c r="K368" s="197" t="s">
        <v>21</v>
      </c>
      <c r="L368" s="191" t="s">
        <v>27</v>
      </c>
      <c r="M368" s="230">
        <f>26950000-4900000-21560000</f>
        <v>490000</v>
      </c>
      <c r="N368" s="192" t="s">
        <v>28</v>
      </c>
      <c r="O368" s="192" t="s">
        <v>29</v>
      </c>
      <c r="P368" s="192" t="s">
        <v>24</v>
      </c>
    </row>
    <row r="369" spans="1:16" s="196" customFormat="1" ht="60" x14ac:dyDescent="0.2">
      <c r="A369" s="2">
        <v>2023390</v>
      </c>
      <c r="B369" s="2">
        <v>7655</v>
      </c>
      <c r="C369" s="3" t="s">
        <v>25</v>
      </c>
      <c r="D369" s="191" t="s">
        <v>320</v>
      </c>
      <c r="E369" s="192">
        <v>80111600</v>
      </c>
      <c r="F369" s="191" t="s">
        <v>335</v>
      </c>
      <c r="G369" s="193">
        <v>44927</v>
      </c>
      <c r="H369" s="193">
        <v>44941</v>
      </c>
      <c r="I369" s="191">
        <v>9</v>
      </c>
      <c r="J369" s="191" t="s">
        <v>20</v>
      </c>
      <c r="K369" s="197" t="s">
        <v>21</v>
      </c>
      <c r="L369" s="191" t="s">
        <v>27</v>
      </c>
      <c r="M369" s="230">
        <f>26950000-4900000</f>
        <v>22050000</v>
      </c>
      <c r="N369" s="192" t="s">
        <v>28</v>
      </c>
      <c r="O369" s="192" t="s">
        <v>29</v>
      </c>
      <c r="P369" s="192" t="s">
        <v>24</v>
      </c>
    </row>
    <row r="370" spans="1:16" s="196" customFormat="1" ht="60" x14ac:dyDescent="0.2">
      <c r="A370" s="2">
        <v>2023391</v>
      </c>
      <c r="B370" s="2">
        <v>7655</v>
      </c>
      <c r="C370" s="3" t="s">
        <v>25</v>
      </c>
      <c r="D370" s="191" t="s">
        <v>320</v>
      </c>
      <c r="E370" s="192">
        <v>80111600</v>
      </c>
      <c r="F370" s="191" t="s">
        <v>334</v>
      </c>
      <c r="G370" s="193">
        <v>44927</v>
      </c>
      <c r="H370" s="193">
        <v>44941</v>
      </c>
      <c r="I370" s="191">
        <v>9</v>
      </c>
      <c r="J370" s="191" t="s">
        <v>20</v>
      </c>
      <c r="K370" s="197" t="s">
        <v>21</v>
      </c>
      <c r="L370" s="191" t="s">
        <v>27</v>
      </c>
      <c r="M370" s="230">
        <f>26950000-4900000</f>
        <v>22050000</v>
      </c>
      <c r="N370" s="192" t="s">
        <v>28</v>
      </c>
      <c r="O370" s="192" t="s">
        <v>29</v>
      </c>
      <c r="P370" s="192" t="s">
        <v>24</v>
      </c>
    </row>
    <row r="371" spans="1:16" s="196" customFormat="1" ht="60" x14ac:dyDescent="0.2">
      <c r="A371" s="2">
        <v>2023392</v>
      </c>
      <c r="B371" s="2">
        <v>7655</v>
      </c>
      <c r="C371" s="3" t="s">
        <v>25</v>
      </c>
      <c r="D371" s="191" t="s">
        <v>320</v>
      </c>
      <c r="E371" s="192">
        <v>80111600</v>
      </c>
      <c r="F371" s="191" t="s">
        <v>337</v>
      </c>
      <c r="G371" s="193">
        <v>44927</v>
      </c>
      <c r="H371" s="193">
        <v>44941</v>
      </c>
      <c r="I371" s="191">
        <v>9</v>
      </c>
      <c r="J371" s="191" t="s">
        <v>20</v>
      </c>
      <c r="K371" s="197" t="s">
        <v>21</v>
      </c>
      <c r="L371" s="191" t="s">
        <v>27</v>
      </c>
      <c r="M371" s="230">
        <f>80300000-14600000</f>
        <v>65700000</v>
      </c>
      <c r="N371" s="192" t="s">
        <v>28</v>
      </c>
      <c r="O371" s="192" t="s">
        <v>29</v>
      </c>
      <c r="P371" s="192" t="s">
        <v>24</v>
      </c>
    </row>
    <row r="372" spans="1:16" s="196" customFormat="1" ht="60" x14ac:dyDescent="0.2">
      <c r="A372" s="2">
        <v>2023393</v>
      </c>
      <c r="B372" s="2">
        <v>7655</v>
      </c>
      <c r="C372" s="3" t="s">
        <v>25</v>
      </c>
      <c r="D372" s="191" t="s">
        <v>320</v>
      </c>
      <c r="E372" s="192">
        <v>80111600</v>
      </c>
      <c r="F372" s="191" t="s">
        <v>335</v>
      </c>
      <c r="G372" s="193">
        <v>44927</v>
      </c>
      <c r="H372" s="193">
        <v>44941</v>
      </c>
      <c r="I372" s="191">
        <v>9</v>
      </c>
      <c r="J372" s="191" t="s">
        <v>20</v>
      </c>
      <c r="K372" s="197" t="s">
        <v>21</v>
      </c>
      <c r="L372" s="191" t="s">
        <v>27</v>
      </c>
      <c r="M372" s="230">
        <f>26950000-4900000</f>
        <v>22050000</v>
      </c>
      <c r="N372" s="192" t="s">
        <v>28</v>
      </c>
      <c r="O372" s="192" t="s">
        <v>29</v>
      </c>
      <c r="P372" s="192" t="s">
        <v>24</v>
      </c>
    </row>
    <row r="373" spans="1:16" s="196" customFormat="1" ht="60" x14ac:dyDescent="0.2">
      <c r="A373" s="2">
        <v>2023394</v>
      </c>
      <c r="B373" s="2">
        <v>7655</v>
      </c>
      <c r="C373" s="3" t="s">
        <v>25</v>
      </c>
      <c r="D373" s="191" t="s">
        <v>320</v>
      </c>
      <c r="E373" s="192">
        <v>80111600</v>
      </c>
      <c r="F373" s="191" t="s">
        <v>335</v>
      </c>
      <c r="G373" s="193">
        <v>44927</v>
      </c>
      <c r="H373" s="193">
        <v>44941</v>
      </c>
      <c r="I373" s="191">
        <v>10</v>
      </c>
      <c r="J373" s="191" t="s">
        <v>20</v>
      </c>
      <c r="K373" s="197" t="s">
        <v>21</v>
      </c>
      <c r="L373" s="191" t="s">
        <v>27</v>
      </c>
      <c r="M373" s="230">
        <f>26950000-2450000</f>
        <v>24500000</v>
      </c>
      <c r="N373" s="192" t="s">
        <v>28</v>
      </c>
      <c r="O373" s="192" t="s">
        <v>29</v>
      </c>
      <c r="P373" s="192" t="s">
        <v>24</v>
      </c>
    </row>
    <row r="374" spans="1:16" s="196" customFormat="1" ht="60" x14ac:dyDescent="0.2">
      <c r="A374" s="2">
        <v>2023396</v>
      </c>
      <c r="B374" s="2">
        <v>7655</v>
      </c>
      <c r="C374" s="3" t="s">
        <v>25</v>
      </c>
      <c r="D374" s="191" t="s">
        <v>320</v>
      </c>
      <c r="E374" s="192">
        <v>80111600</v>
      </c>
      <c r="F374" s="191" t="s">
        <v>335</v>
      </c>
      <c r="G374" s="193">
        <v>44927</v>
      </c>
      <c r="H374" s="193">
        <v>44941</v>
      </c>
      <c r="I374" s="191">
        <v>5</v>
      </c>
      <c r="J374" s="191" t="s">
        <v>20</v>
      </c>
      <c r="K374" s="197" t="s">
        <v>21</v>
      </c>
      <c r="L374" s="191" t="s">
        <v>27</v>
      </c>
      <c r="M374" s="230">
        <f>26950000-2294080-5246427-7159493</f>
        <v>12250000</v>
      </c>
      <c r="N374" s="192" t="s">
        <v>28</v>
      </c>
      <c r="O374" s="192" t="s">
        <v>29</v>
      </c>
      <c r="P374" s="192" t="s">
        <v>24</v>
      </c>
    </row>
    <row r="375" spans="1:16" s="196" customFormat="1" ht="60" x14ac:dyDescent="0.2">
      <c r="A375" s="2">
        <v>2023397</v>
      </c>
      <c r="B375" s="2">
        <v>7655</v>
      </c>
      <c r="C375" s="3" t="s">
        <v>25</v>
      </c>
      <c r="D375" s="191" t="s">
        <v>320</v>
      </c>
      <c r="E375" s="192">
        <v>80111600</v>
      </c>
      <c r="F375" s="191" t="s">
        <v>338</v>
      </c>
      <c r="G375" s="193">
        <v>44927</v>
      </c>
      <c r="H375" s="193">
        <v>44941</v>
      </c>
      <c r="I375" s="191">
        <v>9</v>
      </c>
      <c r="J375" s="191" t="s">
        <v>20</v>
      </c>
      <c r="K375" s="197" t="s">
        <v>21</v>
      </c>
      <c r="L375" s="191" t="s">
        <v>27</v>
      </c>
      <c r="M375" s="230">
        <f>56350000-5635000</f>
        <v>50715000</v>
      </c>
      <c r="N375" s="192" t="s">
        <v>28</v>
      </c>
      <c r="O375" s="192" t="s">
        <v>29</v>
      </c>
      <c r="P375" s="192" t="s">
        <v>24</v>
      </c>
    </row>
    <row r="376" spans="1:16" s="196" customFormat="1" ht="90" x14ac:dyDescent="0.2">
      <c r="A376" s="2">
        <v>2023399</v>
      </c>
      <c r="B376" s="2">
        <v>7658</v>
      </c>
      <c r="C376" s="3" t="s">
        <v>143</v>
      </c>
      <c r="D376" s="191" t="s">
        <v>320</v>
      </c>
      <c r="E376" s="192" t="s">
        <v>339</v>
      </c>
      <c r="F376" s="191" t="s">
        <v>340</v>
      </c>
      <c r="G376" s="193">
        <v>45015</v>
      </c>
      <c r="H376" s="193">
        <v>45031</v>
      </c>
      <c r="I376" s="191">
        <v>8</v>
      </c>
      <c r="J376" s="191" t="s">
        <v>119</v>
      </c>
      <c r="K376" s="197" t="s">
        <v>21</v>
      </c>
      <c r="L376" s="191" t="s">
        <v>235</v>
      </c>
      <c r="M376" s="188">
        <f>40000000-8000000-12000000</f>
        <v>20000000</v>
      </c>
      <c r="N376" s="192" t="s">
        <v>341</v>
      </c>
      <c r="O376" s="192" t="s">
        <v>164</v>
      </c>
      <c r="P376" s="192" t="s">
        <v>24</v>
      </c>
    </row>
    <row r="377" spans="1:16" s="196" customFormat="1" ht="90" x14ac:dyDescent="0.2">
      <c r="A377" s="2">
        <v>2023400</v>
      </c>
      <c r="B377" s="2">
        <v>7658</v>
      </c>
      <c r="C377" s="3" t="s">
        <v>143</v>
      </c>
      <c r="D377" s="191" t="s">
        <v>320</v>
      </c>
      <c r="E377" s="192" t="s">
        <v>342</v>
      </c>
      <c r="F377" s="191" t="s">
        <v>343</v>
      </c>
      <c r="G377" s="193">
        <v>44985</v>
      </c>
      <c r="H377" s="193">
        <v>45000</v>
      </c>
      <c r="I377" s="191">
        <v>12</v>
      </c>
      <c r="J377" s="191" t="s">
        <v>119</v>
      </c>
      <c r="K377" s="197" t="s">
        <v>21</v>
      </c>
      <c r="L377" s="191" t="s">
        <v>235</v>
      </c>
      <c r="M377" s="188">
        <f>40000000-8000000</f>
        <v>32000000</v>
      </c>
      <c r="N377" s="192" t="s">
        <v>341</v>
      </c>
      <c r="O377" s="192" t="s">
        <v>164</v>
      </c>
      <c r="P377" s="192" t="s">
        <v>24</v>
      </c>
    </row>
    <row r="378" spans="1:16" s="196" customFormat="1" ht="90" x14ac:dyDescent="0.2">
      <c r="A378" s="2">
        <v>2023401</v>
      </c>
      <c r="B378" s="2">
        <v>7658</v>
      </c>
      <c r="C378" s="3" t="s">
        <v>143</v>
      </c>
      <c r="D378" s="191" t="s">
        <v>320</v>
      </c>
      <c r="E378" s="192" t="s">
        <v>344</v>
      </c>
      <c r="F378" s="191" t="s">
        <v>345</v>
      </c>
      <c r="G378" s="193">
        <v>45015</v>
      </c>
      <c r="H378" s="193">
        <v>45031</v>
      </c>
      <c r="I378" s="191">
        <v>12</v>
      </c>
      <c r="J378" s="191" t="s">
        <v>155</v>
      </c>
      <c r="K378" s="197" t="s">
        <v>21</v>
      </c>
      <c r="L378" s="191" t="s">
        <v>235</v>
      </c>
      <c r="M378" s="188">
        <v>50000000</v>
      </c>
      <c r="N378" s="192" t="s">
        <v>341</v>
      </c>
      <c r="O378" s="192" t="s">
        <v>164</v>
      </c>
      <c r="P378" s="192" t="s">
        <v>24</v>
      </c>
    </row>
    <row r="379" spans="1:16" s="196" customFormat="1" ht="90" x14ac:dyDescent="0.2">
      <c r="A379" s="2">
        <v>2023402</v>
      </c>
      <c r="B379" s="2">
        <v>7658</v>
      </c>
      <c r="C379" s="3" t="s">
        <v>143</v>
      </c>
      <c r="D379" s="191" t="s">
        <v>320</v>
      </c>
      <c r="E379" s="192" t="s">
        <v>346</v>
      </c>
      <c r="F379" s="191" t="s">
        <v>347</v>
      </c>
      <c r="G379" s="193">
        <v>45046</v>
      </c>
      <c r="H379" s="193">
        <v>45031</v>
      </c>
      <c r="I379" s="191">
        <v>12</v>
      </c>
      <c r="J379" s="191" t="s">
        <v>119</v>
      </c>
      <c r="K379" s="197" t="s">
        <v>21</v>
      </c>
      <c r="L379" s="191" t="s">
        <v>235</v>
      </c>
      <c r="M379" s="188">
        <v>20000000</v>
      </c>
      <c r="N379" s="192" t="s">
        <v>341</v>
      </c>
      <c r="O379" s="192" t="s">
        <v>164</v>
      </c>
      <c r="P379" s="192" t="s">
        <v>24</v>
      </c>
    </row>
    <row r="380" spans="1:16" s="196" customFormat="1" ht="105" x14ac:dyDescent="0.2">
      <c r="A380" s="2">
        <v>2023403</v>
      </c>
      <c r="B380" s="2">
        <v>7658</v>
      </c>
      <c r="C380" s="3" t="s">
        <v>143</v>
      </c>
      <c r="D380" s="191" t="s">
        <v>320</v>
      </c>
      <c r="E380" s="192" t="s">
        <v>826</v>
      </c>
      <c r="F380" s="191" t="s">
        <v>349</v>
      </c>
      <c r="G380" s="193">
        <v>44985</v>
      </c>
      <c r="H380" s="193">
        <v>45031</v>
      </c>
      <c r="I380" s="191">
        <v>12</v>
      </c>
      <c r="J380" s="191" t="s">
        <v>119</v>
      </c>
      <c r="K380" s="197" t="s">
        <v>21</v>
      </c>
      <c r="L380" s="191" t="s">
        <v>235</v>
      </c>
      <c r="M380" s="188">
        <f>50000000-20000000</f>
        <v>30000000</v>
      </c>
      <c r="N380" s="192" t="s">
        <v>341</v>
      </c>
      <c r="O380" s="192" t="s">
        <v>164</v>
      </c>
      <c r="P380" s="192" t="s">
        <v>24</v>
      </c>
    </row>
    <row r="381" spans="1:16" s="196" customFormat="1" ht="90" x14ac:dyDescent="0.2">
      <c r="A381" s="2">
        <v>2023404</v>
      </c>
      <c r="B381" s="2">
        <v>7658</v>
      </c>
      <c r="C381" s="3" t="s">
        <v>143</v>
      </c>
      <c r="D381" s="191" t="s">
        <v>320</v>
      </c>
      <c r="E381" s="192" t="s">
        <v>350</v>
      </c>
      <c r="F381" s="191" t="s">
        <v>686</v>
      </c>
      <c r="G381" s="193">
        <v>45015</v>
      </c>
      <c r="H381" s="193">
        <v>45031</v>
      </c>
      <c r="I381" s="191">
        <v>6</v>
      </c>
      <c r="J381" s="191" t="s">
        <v>155</v>
      </c>
      <c r="K381" s="197" t="s">
        <v>21</v>
      </c>
      <c r="L381" s="191" t="s">
        <v>235</v>
      </c>
      <c r="M381" s="188">
        <f>80000000+8000000+8000000+12000000+20000000-8000000-27050000</f>
        <v>92950000</v>
      </c>
      <c r="N381" s="192" t="s">
        <v>341</v>
      </c>
      <c r="O381" s="192" t="s">
        <v>164</v>
      </c>
      <c r="P381" s="192" t="s">
        <v>24</v>
      </c>
    </row>
    <row r="382" spans="1:16" s="196" customFormat="1" ht="90" x14ac:dyDescent="0.2">
      <c r="A382" s="2">
        <v>2023405</v>
      </c>
      <c r="B382" s="2">
        <v>7658</v>
      </c>
      <c r="C382" s="3" t="s">
        <v>143</v>
      </c>
      <c r="D382" s="191" t="s">
        <v>320</v>
      </c>
      <c r="E382" s="192">
        <v>73152100</v>
      </c>
      <c r="F382" s="191" t="s">
        <v>351</v>
      </c>
      <c r="G382" s="193">
        <v>45015</v>
      </c>
      <c r="H382" s="193">
        <v>45031</v>
      </c>
      <c r="I382" s="191">
        <v>11</v>
      </c>
      <c r="J382" s="191" t="s">
        <v>119</v>
      </c>
      <c r="K382" s="197" t="s">
        <v>21</v>
      </c>
      <c r="L382" s="191" t="s">
        <v>235</v>
      </c>
      <c r="M382" s="188">
        <v>5000000</v>
      </c>
      <c r="N382" s="192" t="s">
        <v>341</v>
      </c>
      <c r="O382" s="192" t="s">
        <v>164</v>
      </c>
      <c r="P382" s="192" t="s">
        <v>24</v>
      </c>
    </row>
    <row r="383" spans="1:16" s="196" customFormat="1" ht="90" x14ac:dyDescent="0.2">
      <c r="A383" s="2">
        <v>2023406</v>
      </c>
      <c r="B383" s="2">
        <v>7658</v>
      </c>
      <c r="C383" s="3" t="s">
        <v>143</v>
      </c>
      <c r="D383" s="191" t="s">
        <v>320</v>
      </c>
      <c r="E383" s="192" t="s">
        <v>352</v>
      </c>
      <c r="F383" s="191" t="s">
        <v>353</v>
      </c>
      <c r="G383" s="193">
        <v>44985</v>
      </c>
      <c r="H383" s="193">
        <v>45031</v>
      </c>
      <c r="I383" s="191">
        <v>10</v>
      </c>
      <c r="J383" s="191" t="s">
        <v>155</v>
      </c>
      <c r="K383" s="197" t="s">
        <v>21</v>
      </c>
      <c r="L383" s="191" t="s">
        <v>235</v>
      </c>
      <c r="M383" s="188">
        <f>40000000+8000000+52000000</f>
        <v>100000000</v>
      </c>
      <c r="N383" s="192" t="s">
        <v>341</v>
      </c>
      <c r="O383" s="192" t="s">
        <v>164</v>
      </c>
      <c r="P383" s="192" t="s">
        <v>24</v>
      </c>
    </row>
    <row r="384" spans="1:16" s="196" customFormat="1" ht="165" x14ac:dyDescent="0.2">
      <c r="A384" s="2">
        <v>2023407</v>
      </c>
      <c r="B384" s="2">
        <v>7658</v>
      </c>
      <c r="C384" s="3" t="s">
        <v>143</v>
      </c>
      <c r="D384" s="191" t="s">
        <v>320</v>
      </c>
      <c r="E384" s="192" t="s">
        <v>354</v>
      </c>
      <c r="F384" s="191" t="s">
        <v>355</v>
      </c>
      <c r="G384" s="193">
        <v>44985</v>
      </c>
      <c r="H384" s="193">
        <v>45000</v>
      </c>
      <c r="I384" s="191">
        <v>12</v>
      </c>
      <c r="J384" s="191" t="s">
        <v>67</v>
      </c>
      <c r="K384" s="197" t="s">
        <v>21</v>
      </c>
      <c r="L384" s="191" t="s">
        <v>162</v>
      </c>
      <c r="M384" s="188">
        <v>105000000</v>
      </c>
      <c r="N384" s="192" t="s">
        <v>341</v>
      </c>
      <c r="O384" s="192" t="s">
        <v>164</v>
      </c>
      <c r="P384" s="192" t="s">
        <v>24</v>
      </c>
    </row>
    <row r="385" spans="1:16" s="196" customFormat="1" ht="90" x14ac:dyDescent="0.2">
      <c r="A385" s="2">
        <v>2023408</v>
      </c>
      <c r="B385" s="2">
        <v>7658</v>
      </c>
      <c r="C385" s="3" t="s">
        <v>143</v>
      </c>
      <c r="D385" s="191" t="s">
        <v>320</v>
      </c>
      <c r="E385" s="192" t="s">
        <v>356</v>
      </c>
      <c r="F385" s="191" t="s">
        <v>752</v>
      </c>
      <c r="G385" s="193">
        <v>45046</v>
      </c>
      <c r="H385" s="193">
        <v>45095</v>
      </c>
      <c r="I385" s="191">
        <v>8</v>
      </c>
      <c r="J385" s="191" t="s">
        <v>155</v>
      </c>
      <c r="K385" s="197" t="s">
        <v>21</v>
      </c>
      <c r="L385" s="191" t="s">
        <v>684</v>
      </c>
      <c r="M385" s="188">
        <f>450000000-52500000-29400000-52000000-15000000+40000000+306016+18277520-59683536</f>
        <v>300000000</v>
      </c>
      <c r="N385" s="192" t="s">
        <v>341</v>
      </c>
      <c r="O385" s="192" t="s">
        <v>164</v>
      </c>
      <c r="P385" s="192" t="s">
        <v>24</v>
      </c>
    </row>
    <row r="386" spans="1:16" s="196" customFormat="1" ht="105" x14ac:dyDescent="0.2">
      <c r="A386" s="2">
        <v>2023410</v>
      </c>
      <c r="B386" s="2">
        <v>7658</v>
      </c>
      <c r="C386" s="3" t="s">
        <v>143</v>
      </c>
      <c r="D386" s="191" t="s">
        <v>320</v>
      </c>
      <c r="E386" s="192" t="s">
        <v>359</v>
      </c>
      <c r="F386" s="191" t="s">
        <v>360</v>
      </c>
      <c r="G386" s="193">
        <v>44927</v>
      </c>
      <c r="H386" s="193">
        <v>44941</v>
      </c>
      <c r="I386" s="191">
        <v>12</v>
      </c>
      <c r="J386" s="191" t="s">
        <v>160</v>
      </c>
      <c r="K386" s="197" t="s">
        <v>21</v>
      </c>
      <c r="L386" s="191" t="s">
        <v>361</v>
      </c>
      <c r="M386" s="188">
        <v>132000000</v>
      </c>
      <c r="N386" s="192" t="s">
        <v>341</v>
      </c>
      <c r="O386" s="192" t="s">
        <v>164</v>
      </c>
      <c r="P386" s="192" t="s">
        <v>24</v>
      </c>
    </row>
    <row r="387" spans="1:16" s="196" customFormat="1" ht="90" x14ac:dyDescent="0.2">
      <c r="A387" s="2">
        <v>2023411</v>
      </c>
      <c r="B387" s="2">
        <v>7658</v>
      </c>
      <c r="C387" s="3" t="s">
        <v>143</v>
      </c>
      <c r="D387" s="191" t="s">
        <v>320</v>
      </c>
      <c r="E387" s="192" t="s">
        <v>362</v>
      </c>
      <c r="F387" s="191" t="s">
        <v>363</v>
      </c>
      <c r="G387" s="193">
        <v>44928</v>
      </c>
      <c r="H387" s="193">
        <v>44935</v>
      </c>
      <c r="I387" s="191">
        <v>2</v>
      </c>
      <c r="J387" s="191" t="s">
        <v>160</v>
      </c>
      <c r="K387" s="197" t="s">
        <v>21</v>
      </c>
      <c r="L387" s="191" t="s">
        <v>364</v>
      </c>
      <c r="M387" s="188">
        <f>64000000-37237450+166401525</f>
        <v>193164075</v>
      </c>
      <c r="N387" s="192" t="s">
        <v>341</v>
      </c>
      <c r="O387" s="192" t="s">
        <v>164</v>
      </c>
      <c r="P387" s="192" t="s">
        <v>365</v>
      </c>
    </row>
    <row r="388" spans="1:16" s="196" customFormat="1" ht="90" x14ac:dyDescent="0.2">
      <c r="A388" s="2">
        <v>2023412</v>
      </c>
      <c r="B388" s="2">
        <v>7658</v>
      </c>
      <c r="C388" s="3" t="s">
        <v>143</v>
      </c>
      <c r="D388" s="191" t="s">
        <v>320</v>
      </c>
      <c r="E388" s="192" t="s">
        <v>362</v>
      </c>
      <c r="F388" s="191" t="s">
        <v>366</v>
      </c>
      <c r="G388" s="193">
        <v>44927</v>
      </c>
      <c r="H388" s="193">
        <v>45000</v>
      </c>
      <c r="I388" s="191">
        <v>12</v>
      </c>
      <c r="J388" s="191" t="s">
        <v>160</v>
      </c>
      <c r="K388" s="197" t="s">
        <v>21</v>
      </c>
      <c r="L388" s="191" t="s">
        <v>364</v>
      </c>
      <c r="M388" s="188">
        <f>316000000+37237450+24500000+22050000+30800000+26150000+66524635+39000000+137737915</f>
        <v>700000000</v>
      </c>
      <c r="N388" s="192" t="s">
        <v>341</v>
      </c>
      <c r="O388" s="192" t="s">
        <v>164</v>
      </c>
      <c r="P388" s="192" t="s">
        <v>24</v>
      </c>
    </row>
    <row r="389" spans="1:16" s="196" customFormat="1" ht="90" x14ac:dyDescent="0.2">
      <c r="A389" s="2">
        <v>2023413</v>
      </c>
      <c r="B389" s="2">
        <v>7658</v>
      </c>
      <c r="C389" s="3" t="s">
        <v>143</v>
      </c>
      <c r="D389" s="191" t="s">
        <v>320</v>
      </c>
      <c r="E389" s="192">
        <v>80111600</v>
      </c>
      <c r="F389" s="191" t="s">
        <v>367</v>
      </c>
      <c r="G389" s="193">
        <v>44927</v>
      </c>
      <c r="H389" s="193">
        <v>44941</v>
      </c>
      <c r="I389" s="191">
        <v>7</v>
      </c>
      <c r="J389" s="191" t="s">
        <v>20</v>
      </c>
      <c r="K389" s="197" t="s">
        <v>21</v>
      </c>
      <c r="L389" s="191" t="s">
        <v>51</v>
      </c>
      <c r="M389" s="188">
        <f>90000000-27000000</f>
        <v>63000000</v>
      </c>
      <c r="N389" s="192" t="s">
        <v>341</v>
      </c>
      <c r="O389" s="192" t="s">
        <v>164</v>
      </c>
      <c r="P389" s="192" t="s">
        <v>24</v>
      </c>
    </row>
    <row r="390" spans="1:16" s="196" customFormat="1" ht="90" x14ac:dyDescent="0.2">
      <c r="A390" s="2">
        <v>2023414</v>
      </c>
      <c r="B390" s="2">
        <v>7658</v>
      </c>
      <c r="C390" s="3" t="s">
        <v>143</v>
      </c>
      <c r="D390" s="191" t="s">
        <v>320</v>
      </c>
      <c r="E390" s="192">
        <v>80111600</v>
      </c>
      <c r="F390" s="191" t="s">
        <v>368</v>
      </c>
      <c r="G390" s="193">
        <v>44927</v>
      </c>
      <c r="H390" s="193">
        <v>44941</v>
      </c>
      <c r="I390" s="191">
        <v>10</v>
      </c>
      <c r="J390" s="191" t="s">
        <v>20</v>
      </c>
      <c r="K390" s="197" t="s">
        <v>21</v>
      </c>
      <c r="L390" s="191" t="s">
        <v>27</v>
      </c>
      <c r="M390" s="188">
        <f>28500000+3173000-3166760</f>
        <v>28506240</v>
      </c>
      <c r="N390" s="192" t="s">
        <v>341</v>
      </c>
      <c r="O390" s="192" t="s">
        <v>164</v>
      </c>
      <c r="P390" s="192" t="s">
        <v>24</v>
      </c>
    </row>
    <row r="391" spans="1:16" s="196" customFormat="1" ht="90" x14ac:dyDescent="0.2">
      <c r="A391" s="2">
        <v>2023415</v>
      </c>
      <c r="B391" s="2">
        <v>7658</v>
      </c>
      <c r="C391" s="3" t="s">
        <v>143</v>
      </c>
      <c r="D391" s="191" t="s">
        <v>320</v>
      </c>
      <c r="E391" s="192">
        <v>80111600</v>
      </c>
      <c r="F391" s="191" t="s">
        <v>369</v>
      </c>
      <c r="G391" s="193">
        <v>44927</v>
      </c>
      <c r="H391" s="193">
        <v>44941</v>
      </c>
      <c r="I391" s="191">
        <v>10</v>
      </c>
      <c r="J391" s="191" t="s">
        <v>20</v>
      </c>
      <c r="K391" s="197" t="s">
        <v>21</v>
      </c>
      <c r="L391" s="191" t="s">
        <v>27</v>
      </c>
      <c r="M391" s="188">
        <v>73000000</v>
      </c>
      <c r="N391" s="192" t="s">
        <v>341</v>
      </c>
      <c r="O391" s="192" t="s">
        <v>164</v>
      </c>
      <c r="P391" s="192" t="s">
        <v>24</v>
      </c>
    </row>
    <row r="392" spans="1:16" s="196" customFormat="1" ht="90" x14ac:dyDescent="0.2">
      <c r="A392" s="2">
        <v>2023416</v>
      </c>
      <c r="B392" s="2">
        <v>7658</v>
      </c>
      <c r="C392" s="3" t="s">
        <v>143</v>
      </c>
      <c r="D392" s="191" t="s">
        <v>320</v>
      </c>
      <c r="E392" s="192">
        <v>80111600</v>
      </c>
      <c r="F392" s="191" t="s">
        <v>369</v>
      </c>
      <c r="G392" s="193">
        <v>44927</v>
      </c>
      <c r="H392" s="193">
        <v>44941</v>
      </c>
      <c r="I392" s="191">
        <v>10</v>
      </c>
      <c r="J392" s="191" t="s">
        <v>20</v>
      </c>
      <c r="K392" s="197" t="s">
        <v>21</v>
      </c>
      <c r="L392" s="191" t="s">
        <v>27</v>
      </c>
      <c r="M392" s="188">
        <f>73000000-43800000</f>
        <v>29200000</v>
      </c>
      <c r="N392" s="192" t="s">
        <v>341</v>
      </c>
      <c r="O392" s="192" t="s">
        <v>164</v>
      </c>
      <c r="P392" s="192" t="s">
        <v>24</v>
      </c>
    </row>
    <row r="393" spans="1:16" s="196" customFormat="1" ht="90" x14ac:dyDescent="0.2">
      <c r="A393" s="2">
        <v>2023417</v>
      </c>
      <c r="B393" s="2">
        <v>7658</v>
      </c>
      <c r="C393" s="3" t="s">
        <v>143</v>
      </c>
      <c r="D393" s="191" t="s">
        <v>320</v>
      </c>
      <c r="E393" s="192">
        <v>80111600</v>
      </c>
      <c r="F393" s="191" t="s">
        <v>369</v>
      </c>
      <c r="G393" s="193">
        <v>44927</v>
      </c>
      <c r="H393" s="193">
        <v>44941</v>
      </c>
      <c r="I393" s="191">
        <v>10</v>
      </c>
      <c r="J393" s="191" t="s">
        <v>20</v>
      </c>
      <c r="K393" s="197" t="s">
        <v>21</v>
      </c>
      <c r="L393" s="191" t="s">
        <v>27</v>
      </c>
      <c r="M393" s="188">
        <v>73000000</v>
      </c>
      <c r="N393" s="192" t="s">
        <v>341</v>
      </c>
      <c r="O393" s="192" t="s">
        <v>164</v>
      </c>
      <c r="P393" s="192" t="s">
        <v>24</v>
      </c>
    </row>
    <row r="394" spans="1:16" s="196" customFormat="1" ht="90" x14ac:dyDescent="0.2">
      <c r="A394" s="2">
        <v>2023418</v>
      </c>
      <c r="B394" s="2">
        <v>7658</v>
      </c>
      <c r="C394" s="3" t="s">
        <v>143</v>
      </c>
      <c r="D394" s="191" t="s">
        <v>320</v>
      </c>
      <c r="E394" s="192">
        <v>80111600</v>
      </c>
      <c r="F394" s="191" t="s">
        <v>369</v>
      </c>
      <c r="G394" s="193">
        <v>45000</v>
      </c>
      <c r="H394" s="193">
        <v>45015</v>
      </c>
      <c r="I394" s="191">
        <v>9</v>
      </c>
      <c r="J394" s="191" t="s">
        <v>20</v>
      </c>
      <c r="K394" s="197" t="s">
        <v>21</v>
      </c>
      <c r="L394" s="191" t="s">
        <v>27</v>
      </c>
      <c r="M394" s="188">
        <f>73000000-21917635+21917635-7300000</f>
        <v>65700000</v>
      </c>
      <c r="N394" s="192" t="s">
        <v>341</v>
      </c>
      <c r="O394" s="192" t="s">
        <v>164</v>
      </c>
      <c r="P394" s="192" t="s">
        <v>24</v>
      </c>
    </row>
    <row r="395" spans="1:16" s="196" customFormat="1" ht="90" x14ac:dyDescent="0.2">
      <c r="A395" s="2">
        <v>2023419</v>
      </c>
      <c r="B395" s="2">
        <v>7658</v>
      </c>
      <c r="C395" s="3" t="s">
        <v>143</v>
      </c>
      <c r="D395" s="191" t="s">
        <v>320</v>
      </c>
      <c r="E395" s="192">
        <v>80111600</v>
      </c>
      <c r="F395" s="191" t="s">
        <v>370</v>
      </c>
      <c r="G395" s="193">
        <v>45000</v>
      </c>
      <c r="H395" s="193">
        <v>45015</v>
      </c>
      <c r="I395" s="191">
        <v>10</v>
      </c>
      <c r="J395" s="191" t="s">
        <v>20</v>
      </c>
      <c r="K395" s="197" t="s">
        <v>21</v>
      </c>
      <c r="L395" s="191" t="s">
        <v>27</v>
      </c>
      <c r="M395" s="188">
        <f>82000000+10758400-10758400</f>
        <v>82000000</v>
      </c>
      <c r="N395" s="192" t="s">
        <v>341</v>
      </c>
      <c r="O395" s="192" t="s">
        <v>164</v>
      </c>
      <c r="P395" s="192" t="s">
        <v>24</v>
      </c>
    </row>
    <row r="396" spans="1:16" s="196" customFormat="1" ht="90" x14ac:dyDescent="0.2">
      <c r="A396" s="2">
        <v>2023420</v>
      </c>
      <c r="B396" s="2">
        <v>7658</v>
      </c>
      <c r="C396" s="3" t="s">
        <v>143</v>
      </c>
      <c r="D396" s="191" t="s">
        <v>320</v>
      </c>
      <c r="E396" s="192">
        <v>80111600</v>
      </c>
      <c r="F396" s="191" t="s">
        <v>371</v>
      </c>
      <c r="G396" s="193">
        <v>44927</v>
      </c>
      <c r="H396" s="193">
        <v>44941</v>
      </c>
      <c r="I396" s="191">
        <v>7</v>
      </c>
      <c r="J396" s="191" t="s">
        <v>20</v>
      </c>
      <c r="K396" s="197" t="s">
        <v>21</v>
      </c>
      <c r="L396" s="191" t="s">
        <v>27</v>
      </c>
      <c r="M396" s="188">
        <f>38500000-3850000</f>
        <v>34650000</v>
      </c>
      <c r="N396" s="192" t="s">
        <v>341</v>
      </c>
      <c r="O396" s="192" t="s">
        <v>164</v>
      </c>
      <c r="P396" s="192" t="s">
        <v>24</v>
      </c>
    </row>
    <row r="397" spans="1:16" s="196" customFormat="1" ht="90" x14ac:dyDescent="0.2">
      <c r="A397" s="2">
        <v>2023421</v>
      </c>
      <c r="B397" s="2">
        <v>7658</v>
      </c>
      <c r="C397" s="3" t="s">
        <v>143</v>
      </c>
      <c r="D397" s="191" t="s">
        <v>320</v>
      </c>
      <c r="E397" s="192">
        <v>80111600</v>
      </c>
      <c r="F397" s="191" t="s">
        <v>372</v>
      </c>
      <c r="G397" s="193">
        <v>44927</v>
      </c>
      <c r="H397" s="193">
        <v>44941</v>
      </c>
      <c r="I397" s="191">
        <v>10</v>
      </c>
      <c r="J397" s="191" t="s">
        <v>20</v>
      </c>
      <c r="K397" s="197" t="s">
        <v>21</v>
      </c>
      <c r="L397" s="191" t="s">
        <v>27</v>
      </c>
      <c r="M397" s="188">
        <v>55000000</v>
      </c>
      <c r="N397" s="192" t="s">
        <v>341</v>
      </c>
      <c r="O397" s="192" t="s">
        <v>164</v>
      </c>
      <c r="P397" s="192" t="s">
        <v>24</v>
      </c>
    </row>
    <row r="398" spans="1:16" s="196" customFormat="1" ht="90" x14ac:dyDescent="0.2">
      <c r="A398" s="2">
        <v>2023422</v>
      </c>
      <c r="B398" s="2">
        <v>7658</v>
      </c>
      <c r="C398" s="3" t="s">
        <v>143</v>
      </c>
      <c r="D398" s="191" t="s">
        <v>320</v>
      </c>
      <c r="E398" s="192">
        <v>80111600</v>
      </c>
      <c r="F398" s="191" t="s">
        <v>373</v>
      </c>
      <c r="G398" s="193">
        <v>44927</v>
      </c>
      <c r="H398" s="193">
        <v>44941</v>
      </c>
      <c r="I398" s="191">
        <v>9</v>
      </c>
      <c r="J398" s="191" t="s">
        <v>20</v>
      </c>
      <c r="K398" s="197" t="s">
        <v>21</v>
      </c>
      <c r="L398" s="191" t="s">
        <v>27</v>
      </c>
      <c r="M398" s="188">
        <f>73000000+6475365+3744635-8900160</f>
        <v>74319840</v>
      </c>
      <c r="N398" s="192" t="s">
        <v>341</v>
      </c>
      <c r="O398" s="192" t="s">
        <v>164</v>
      </c>
      <c r="P398" s="192" t="s">
        <v>24</v>
      </c>
    </row>
    <row r="399" spans="1:16" s="196" customFormat="1" ht="90" x14ac:dyDescent="0.2">
      <c r="A399" s="2">
        <v>2023423</v>
      </c>
      <c r="B399" s="2">
        <v>7658</v>
      </c>
      <c r="C399" s="3" t="s">
        <v>143</v>
      </c>
      <c r="D399" s="191" t="s">
        <v>320</v>
      </c>
      <c r="E399" s="192">
        <v>80111600</v>
      </c>
      <c r="F399" s="191" t="s">
        <v>369</v>
      </c>
      <c r="G399" s="193">
        <v>45000</v>
      </c>
      <c r="H399" s="193">
        <v>45015</v>
      </c>
      <c r="I399" s="191">
        <v>8</v>
      </c>
      <c r="J399" s="191" t="s">
        <v>20</v>
      </c>
      <c r="K399" s="197" t="s">
        <v>21</v>
      </c>
      <c r="L399" s="191" t="s">
        <v>27</v>
      </c>
      <c r="M399" s="188">
        <f>73000000-66524635-6475365+73000000-14600000</f>
        <v>58400000</v>
      </c>
      <c r="N399" s="192" t="s">
        <v>341</v>
      </c>
      <c r="O399" s="192" t="s">
        <v>164</v>
      </c>
      <c r="P399" s="192" t="s">
        <v>24</v>
      </c>
    </row>
    <row r="400" spans="1:16" s="196" customFormat="1" ht="90" x14ac:dyDescent="0.2">
      <c r="A400" s="2">
        <v>2023424</v>
      </c>
      <c r="B400" s="2">
        <v>7658</v>
      </c>
      <c r="C400" s="3" t="s">
        <v>143</v>
      </c>
      <c r="D400" s="191" t="s">
        <v>320</v>
      </c>
      <c r="E400" s="192">
        <v>80111600</v>
      </c>
      <c r="F400" s="191" t="s">
        <v>374</v>
      </c>
      <c r="G400" s="193">
        <v>44927</v>
      </c>
      <c r="H400" s="193">
        <v>44941</v>
      </c>
      <c r="I400" s="191">
        <v>10</v>
      </c>
      <c r="J400" s="191" t="s">
        <v>20</v>
      </c>
      <c r="K400" s="197" t="s">
        <v>21</v>
      </c>
      <c r="L400" s="191" t="s">
        <v>27</v>
      </c>
      <c r="M400" s="188">
        <v>24500000</v>
      </c>
      <c r="N400" s="192" t="s">
        <v>341</v>
      </c>
      <c r="O400" s="192" t="s">
        <v>164</v>
      </c>
      <c r="P400" s="192" t="s">
        <v>24</v>
      </c>
    </row>
    <row r="401" spans="1:16" s="196" customFormat="1" ht="90" x14ac:dyDescent="0.2">
      <c r="A401" s="2">
        <v>2023425</v>
      </c>
      <c r="B401" s="2">
        <v>7658</v>
      </c>
      <c r="C401" s="3" t="s">
        <v>143</v>
      </c>
      <c r="D401" s="191" t="s">
        <v>320</v>
      </c>
      <c r="E401" s="192">
        <v>80111600</v>
      </c>
      <c r="F401" s="191" t="s">
        <v>374</v>
      </c>
      <c r="G401" s="193">
        <v>44927</v>
      </c>
      <c r="H401" s="193">
        <v>44941</v>
      </c>
      <c r="I401" s="191">
        <v>10</v>
      </c>
      <c r="J401" s="191" t="s">
        <v>20</v>
      </c>
      <c r="K401" s="197" t="s">
        <v>21</v>
      </c>
      <c r="L401" s="191" t="s">
        <v>27</v>
      </c>
      <c r="M401" s="188">
        <v>24500000</v>
      </c>
      <c r="N401" s="192" t="s">
        <v>341</v>
      </c>
      <c r="O401" s="192" t="s">
        <v>164</v>
      </c>
      <c r="P401" s="192" t="s">
        <v>24</v>
      </c>
    </row>
    <row r="402" spans="1:16" s="196" customFormat="1" ht="90" x14ac:dyDescent="0.2">
      <c r="A402" s="2">
        <v>2023426</v>
      </c>
      <c r="B402" s="2">
        <v>7658</v>
      </c>
      <c r="C402" s="3" t="s">
        <v>143</v>
      </c>
      <c r="D402" s="191" t="s">
        <v>320</v>
      </c>
      <c r="E402" s="192">
        <v>80111600</v>
      </c>
      <c r="F402" s="191" t="s">
        <v>374</v>
      </c>
      <c r="G402" s="193">
        <v>44927</v>
      </c>
      <c r="H402" s="193">
        <v>44941</v>
      </c>
      <c r="I402" s="191">
        <v>10</v>
      </c>
      <c r="J402" s="191" t="s">
        <v>20</v>
      </c>
      <c r="K402" s="197" t="s">
        <v>21</v>
      </c>
      <c r="L402" s="191" t="s">
        <v>27</v>
      </c>
      <c r="M402" s="188">
        <v>24500000</v>
      </c>
      <c r="N402" s="192" t="s">
        <v>341</v>
      </c>
      <c r="O402" s="192" t="s">
        <v>164</v>
      </c>
      <c r="P402" s="192" t="s">
        <v>24</v>
      </c>
    </row>
    <row r="403" spans="1:16" s="196" customFormat="1" ht="90" x14ac:dyDescent="0.2">
      <c r="A403" s="2">
        <v>2023427</v>
      </c>
      <c r="B403" s="2">
        <v>7658</v>
      </c>
      <c r="C403" s="3" t="s">
        <v>143</v>
      </c>
      <c r="D403" s="191" t="s">
        <v>320</v>
      </c>
      <c r="E403" s="192">
        <v>80111600</v>
      </c>
      <c r="F403" s="191" t="s">
        <v>374</v>
      </c>
      <c r="G403" s="193">
        <v>44927</v>
      </c>
      <c r="H403" s="193">
        <v>44941</v>
      </c>
      <c r="I403" s="191">
        <v>10</v>
      </c>
      <c r="J403" s="191" t="s">
        <v>20</v>
      </c>
      <c r="K403" s="197" t="s">
        <v>21</v>
      </c>
      <c r="L403" s="191" t="s">
        <v>27</v>
      </c>
      <c r="M403" s="188">
        <v>24500000</v>
      </c>
      <c r="N403" s="192" t="s">
        <v>341</v>
      </c>
      <c r="O403" s="192" t="s">
        <v>164</v>
      </c>
      <c r="P403" s="192" t="s">
        <v>24</v>
      </c>
    </row>
    <row r="404" spans="1:16" s="196" customFormat="1" ht="90" x14ac:dyDescent="0.2">
      <c r="A404" s="2">
        <v>2023428</v>
      </c>
      <c r="B404" s="2">
        <v>7658</v>
      </c>
      <c r="C404" s="3" t="s">
        <v>143</v>
      </c>
      <c r="D404" s="191" t="s">
        <v>320</v>
      </c>
      <c r="E404" s="192">
        <v>80111600</v>
      </c>
      <c r="F404" s="191" t="s">
        <v>374</v>
      </c>
      <c r="G404" s="193">
        <v>44927</v>
      </c>
      <c r="H404" s="193">
        <v>44941</v>
      </c>
      <c r="I404" s="191">
        <v>10</v>
      </c>
      <c r="J404" s="191" t="s">
        <v>20</v>
      </c>
      <c r="K404" s="197" t="s">
        <v>21</v>
      </c>
      <c r="L404" s="191" t="s">
        <v>27</v>
      </c>
      <c r="M404" s="188">
        <v>24500000</v>
      </c>
      <c r="N404" s="192" t="s">
        <v>341</v>
      </c>
      <c r="O404" s="192" t="s">
        <v>164</v>
      </c>
      <c r="P404" s="192" t="s">
        <v>24</v>
      </c>
    </row>
    <row r="405" spans="1:16" s="196" customFormat="1" ht="90" x14ac:dyDescent="0.2">
      <c r="A405" s="2">
        <v>2023429</v>
      </c>
      <c r="B405" s="2">
        <v>7658</v>
      </c>
      <c r="C405" s="3" t="s">
        <v>143</v>
      </c>
      <c r="D405" s="191" t="s">
        <v>320</v>
      </c>
      <c r="E405" s="192">
        <v>80111600</v>
      </c>
      <c r="F405" s="191" t="s">
        <v>374</v>
      </c>
      <c r="G405" s="193">
        <v>44927</v>
      </c>
      <c r="H405" s="193">
        <v>44941</v>
      </c>
      <c r="I405" s="191">
        <v>10</v>
      </c>
      <c r="J405" s="191" t="s">
        <v>20</v>
      </c>
      <c r="K405" s="197" t="s">
        <v>21</v>
      </c>
      <c r="L405" s="191" t="s">
        <v>27</v>
      </c>
      <c r="M405" s="188">
        <v>24500000</v>
      </c>
      <c r="N405" s="192" t="s">
        <v>341</v>
      </c>
      <c r="O405" s="192" t="s">
        <v>164</v>
      </c>
      <c r="P405" s="192" t="s">
        <v>24</v>
      </c>
    </row>
    <row r="406" spans="1:16" s="196" customFormat="1" ht="90" x14ac:dyDescent="0.2">
      <c r="A406" s="2">
        <v>2023430</v>
      </c>
      <c r="B406" s="2">
        <v>7658</v>
      </c>
      <c r="C406" s="3" t="s">
        <v>143</v>
      </c>
      <c r="D406" s="191" t="s">
        <v>320</v>
      </c>
      <c r="E406" s="192">
        <v>80111600</v>
      </c>
      <c r="F406" s="191" t="s">
        <v>374</v>
      </c>
      <c r="G406" s="193">
        <v>44927</v>
      </c>
      <c r="H406" s="193">
        <v>44941</v>
      </c>
      <c r="I406" s="191">
        <v>10</v>
      </c>
      <c r="J406" s="191" t="s">
        <v>20</v>
      </c>
      <c r="K406" s="197" t="s">
        <v>21</v>
      </c>
      <c r="L406" s="191" t="s">
        <v>27</v>
      </c>
      <c r="M406" s="188">
        <v>24500000</v>
      </c>
      <c r="N406" s="192" t="s">
        <v>341</v>
      </c>
      <c r="O406" s="192" t="s">
        <v>164</v>
      </c>
      <c r="P406" s="192" t="s">
        <v>24</v>
      </c>
    </row>
    <row r="407" spans="1:16" s="196" customFormat="1" ht="90" x14ac:dyDescent="0.2">
      <c r="A407" s="2">
        <v>2023431</v>
      </c>
      <c r="B407" s="2">
        <v>7658</v>
      </c>
      <c r="C407" s="3" t="s">
        <v>143</v>
      </c>
      <c r="D407" s="191" t="s">
        <v>320</v>
      </c>
      <c r="E407" s="192">
        <v>80111600</v>
      </c>
      <c r="F407" s="191" t="s">
        <v>375</v>
      </c>
      <c r="G407" s="193">
        <v>44986</v>
      </c>
      <c r="H407" s="193">
        <v>45000</v>
      </c>
      <c r="I407" s="191">
        <v>8</v>
      </c>
      <c r="J407" s="191" t="s">
        <v>20</v>
      </c>
      <c r="K407" s="197" t="s">
        <v>21</v>
      </c>
      <c r="L407" s="191" t="s">
        <v>27</v>
      </c>
      <c r="M407" s="188">
        <v>54400000</v>
      </c>
      <c r="N407" s="192" t="s">
        <v>341</v>
      </c>
      <c r="O407" s="192" t="s">
        <v>164</v>
      </c>
      <c r="P407" s="192" t="s">
        <v>24</v>
      </c>
    </row>
    <row r="408" spans="1:16" s="196" customFormat="1" ht="90" x14ac:dyDescent="0.2">
      <c r="A408" s="2">
        <v>2023432</v>
      </c>
      <c r="B408" s="2">
        <v>7658</v>
      </c>
      <c r="C408" s="3" t="s">
        <v>143</v>
      </c>
      <c r="D408" s="191" t="s">
        <v>320</v>
      </c>
      <c r="E408" s="192">
        <v>80111600</v>
      </c>
      <c r="F408" s="191" t="s">
        <v>376</v>
      </c>
      <c r="G408" s="193">
        <v>44986</v>
      </c>
      <c r="H408" s="193">
        <v>45000</v>
      </c>
      <c r="I408" s="191">
        <v>8</v>
      </c>
      <c r="J408" s="191" t="s">
        <v>20</v>
      </c>
      <c r="K408" s="197" t="s">
        <v>21</v>
      </c>
      <c r="L408" s="191" t="s">
        <v>27</v>
      </c>
      <c r="M408" s="188">
        <v>40000000</v>
      </c>
      <c r="N408" s="192" t="s">
        <v>341</v>
      </c>
      <c r="O408" s="192" t="s">
        <v>164</v>
      </c>
      <c r="P408" s="192" t="s">
        <v>24</v>
      </c>
    </row>
    <row r="409" spans="1:16" s="196" customFormat="1" ht="90" x14ac:dyDescent="0.2">
      <c r="A409" s="2">
        <v>2023433</v>
      </c>
      <c r="B409" s="2">
        <v>7658</v>
      </c>
      <c r="C409" s="3" t="s">
        <v>143</v>
      </c>
      <c r="D409" s="191" t="s">
        <v>320</v>
      </c>
      <c r="E409" s="192" t="s">
        <v>377</v>
      </c>
      <c r="F409" s="191" t="s">
        <v>378</v>
      </c>
      <c r="G409" s="193">
        <v>44928</v>
      </c>
      <c r="H409" s="193">
        <v>44972</v>
      </c>
      <c r="I409" s="191">
        <v>2</v>
      </c>
      <c r="J409" s="191" t="s">
        <v>67</v>
      </c>
      <c r="K409" s="197" t="s">
        <v>21</v>
      </c>
      <c r="L409" s="191" t="s">
        <v>361</v>
      </c>
      <c r="M409" s="188">
        <f>18000000+5970304</f>
        <v>23970304</v>
      </c>
      <c r="N409" s="192" t="s">
        <v>341</v>
      </c>
      <c r="O409" s="192" t="s">
        <v>164</v>
      </c>
      <c r="P409" s="192" t="s">
        <v>365</v>
      </c>
    </row>
    <row r="410" spans="1:16" s="196" customFormat="1" ht="45" x14ac:dyDescent="0.2">
      <c r="A410" s="2">
        <v>2023434</v>
      </c>
      <c r="B410" s="2">
        <v>7658</v>
      </c>
      <c r="C410" s="3" t="s">
        <v>143</v>
      </c>
      <c r="D410" s="191" t="s">
        <v>320</v>
      </c>
      <c r="E410" s="192" t="s">
        <v>379</v>
      </c>
      <c r="F410" s="191" t="s">
        <v>380</v>
      </c>
      <c r="G410" s="193">
        <v>44972</v>
      </c>
      <c r="H410" s="193">
        <v>45033</v>
      </c>
      <c r="I410" s="191">
        <v>6</v>
      </c>
      <c r="J410" s="191" t="s">
        <v>381</v>
      </c>
      <c r="K410" s="197" t="s">
        <v>21</v>
      </c>
      <c r="L410" s="191" t="s">
        <v>684</v>
      </c>
      <c r="M410" s="188">
        <v>350000000</v>
      </c>
      <c r="N410" s="192" t="s">
        <v>382</v>
      </c>
      <c r="O410" s="192" t="s">
        <v>383</v>
      </c>
      <c r="P410" s="192" t="s">
        <v>24</v>
      </c>
    </row>
    <row r="411" spans="1:16" s="196" customFormat="1" ht="90" x14ac:dyDescent="0.2">
      <c r="A411" s="2">
        <v>2023435</v>
      </c>
      <c r="B411" s="2">
        <v>7658</v>
      </c>
      <c r="C411" s="3" t="s">
        <v>143</v>
      </c>
      <c r="D411" s="191" t="s">
        <v>320</v>
      </c>
      <c r="E411" s="192" t="s">
        <v>384</v>
      </c>
      <c r="F411" s="191" t="s">
        <v>385</v>
      </c>
      <c r="G411" s="193">
        <v>44956</v>
      </c>
      <c r="H411" s="193">
        <v>45000</v>
      </c>
      <c r="I411" s="191">
        <v>6</v>
      </c>
      <c r="J411" s="191" t="s">
        <v>358</v>
      </c>
      <c r="K411" s="197" t="s">
        <v>21</v>
      </c>
      <c r="L411" s="191" t="s">
        <v>684</v>
      </c>
      <c r="M411" s="188">
        <f>70000000-2123255</f>
        <v>67876745</v>
      </c>
      <c r="N411" s="192" t="s">
        <v>382</v>
      </c>
      <c r="O411" s="192" t="s">
        <v>383</v>
      </c>
      <c r="P411" s="192" t="s">
        <v>24</v>
      </c>
    </row>
    <row r="412" spans="1:16" s="196" customFormat="1" ht="75" x14ac:dyDescent="0.2">
      <c r="A412" s="2">
        <v>2023437</v>
      </c>
      <c r="B412" s="2">
        <v>7658</v>
      </c>
      <c r="C412" s="3" t="s">
        <v>143</v>
      </c>
      <c r="D412" s="198" t="s">
        <v>320</v>
      </c>
      <c r="E412" s="192">
        <v>80111600</v>
      </c>
      <c r="F412" s="192" t="s">
        <v>388</v>
      </c>
      <c r="G412" s="193">
        <v>45017</v>
      </c>
      <c r="H412" s="193">
        <v>45047</v>
      </c>
      <c r="I412" s="191">
        <v>6</v>
      </c>
      <c r="J412" s="191" t="s">
        <v>20</v>
      </c>
      <c r="K412" s="197" t="s">
        <v>21</v>
      </c>
      <c r="L412" s="191" t="s">
        <v>389</v>
      </c>
      <c r="M412" s="188">
        <f>25000000+15000000+9000000+2000000-29100000</f>
        <v>21900000</v>
      </c>
      <c r="N412" s="192" t="s">
        <v>390</v>
      </c>
      <c r="O412" s="192" t="s">
        <v>391</v>
      </c>
      <c r="P412" s="192" t="s">
        <v>24</v>
      </c>
    </row>
    <row r="413" spans="1:16" s="196" customFormat="1" ht="135" x14ac:dyDescent="0.2">
      <c r="A413" s="2">
        <v>2023438</v>
      </c>
      <c r="B413" s="2" t="s">
        <v>17</v>
      </c>
      <c r="C413" s="2" t="s">
        <v>17</v>
      </c>
      <c r="D413" s="191" t="s">
        <v>320</v>
      </c>
      <c r="E413" s="192" t="s">
        <v>392</v>
      </c>
      <c r="F413" s="191" t="s">
        <v>393</v>
      </c>
      <c r="G413" s="193">
        <v>44928</v>
      </c>
      <c r="H413" s="193">
        <v>44972</v>
      </c>
      <c r="I413" s="191">
        <v>12</v>
      </c>
      <c r="J413" s="191" t="s">
        <v>102</v>
      </c>
      <c r="K413" s="197" t="s">
        <v>21</v>
      </c>
      <c r="L413" s="191" t="s">
        <v>23</v>
      </c>
      <c r="M413" s="188">
        <v>100000000</v>
      </c>
      <c r="N413" s="192" t="s">
        <v>23</v>
      </c>
      <c r="O413" s="192" t="s">
        <v>23</v>
      </c>
      <c r="P413" s="192" t="s">
        <v>24</v>
      </c>
    </row>
    <row r="414" spans="1:16" s="196" customFormat="1" ht="105" x14ac:dyDescent="0.2">
      <c r="A414" s="2">
        <v>2023439</v>
      </c>
      <c r="B414" s="2" t="s">
        <v>17</v>
      </c>
      <c r="C414" s="2" t="s">
        <v>17</v>
      </c>
      <c r="D414" s="191" t="s">
        <v>320</v>
      </c>
      <c r="E414" s="192" t="s">
        <v>359</v>
      </c>
      <c r="F414" s="191" t="s">
        <v>394</v>
      </c>
      <c r="G414" s="193">
        <v>44927</v>
      </c>
      <c r="H414" s="193">
        <v>44941</v>
      </c>
      <c r="I414" s="191">
        <v>12</v>
      </c>
      <c r="J414" s="191" t="s">
        <v>160</v>
      </c>
      <c r="K414" s="197" t="s">
        <v>21</v>
      </c>
      <c r="L414" s="191" t="s">
        <v>23</v>
      </c>
      <c r="M414" s="188">
        <f>219797000-39797000</f>
        <v>180000000</v>
      </c>
      <c r="N414" s="192" t="s">
        <v>23</v>
      </c>
      <c r="O414" s="192" t="s">
        <v>23</v>
      </c>
      <c r="P414" s="192" t="s">
        <v>24</v>
      </c>
    </row>
    <row r="415" spans="1:16" s="196" customFormat="1" ht="105" x14ac:dyDescent="0.2">
      <c r="A415" s="2">
        <v>2023440</v>
      </c>
      <c r="B415" s="2" t="s">
        <v>17</v>
      </c>
      <c r="C415" s="2" t="s">
        <v>17</v>
      </c>
      <c r="D415" s="191" t="s">
        <v>320</v>
      </c>
      <c r="E415" s="192" t="s">
        <v>359</v>
      </c>
      <c r="F415" s="191" t="s">
        <v>394</v>
      </c>
      <c r="G415" s="193">
        <v>44927</v>
      </c>
      <c r="H415" s="193">
        <v>44941</v>
      </c>
      <c r="I415" s="191">
        <v>12</v>
      </c>
      <c r="J415" s="191" t="s">
        <v>160</v>
      </c>
      <c r="K415" s="197" t="s">
        <v>21</v>
      </c>
      <c r="L415" s="191" t="s">
        <v>23</v>
      </c>
      <c r="M415" s="188">
        <f>487000000-7995696</f>
        <v>479004304</v>
      </c>
      <c r="N415" s="192" t="s">
        <v>23</v>
      </c>
      <c r="O415" s="192" t="s">
        <v>23</v>
      </c>
      <c r="P415" s="192" t="s">
        <v>24</v>
      </c>
    </row>
    <row r="416" spans="1:16" s="196" customFormat="1" ht="120" x14ac:dyDescent="0.2">
      <c r="A416" s="2">
        <v>2023441</v>
      </c>
      <c r="B416" s="2" t="s">
        <v>17</v>
      </c>
      <c r="C416" s="2" t="s">
        <v>17</v>
      </c>
      <c r="D416" s="191" t="s">
        <v>320</v>
      </c>
      <c r="E416" s="192" t="s">
        <v>395</v>
      </c>
      <c r="F416" s="191" t="s">
        <v>396</v>
      </c>
      <c r="G416" s="193">
        <v>44928</v>
      </c>
      <c r="H416" s="193">
        <v>44941</v>
      </c>
      <c r="I416" s="191">
        <v>8</v>
      </c>
      <c r="J416" s="191" t="s">
        <v>67</v>
      </c>
      <c r="K416" s="197" t="s">
        <v>21</v>
      </c>
      <c r="L416" s="191" t="s">
        <v>23</v>
      </c>
      <c r="M416" s="188">
        <f>110000000+8000000-36301077-8128036</f>
        <v>73570887</v>
      </c>
      <c r="N416" s="192" t="s">
        <v>23</v>
      </c>
      <c r="O416" s="192" t="s">
        <v>23</v>
      </c>
      <c r="P416" s="192" t="s">
        <v>24</v>
      </c>
    </row>
    <row r="417" spans="1:16" s="196" customFormat="1" ht="45" x14ac:dyDescent="0.2">
      <c r="A417" s="2">
        <v>2023442</v>
      </c>
      <c r="B417" s="2" t="s">
        <v>17</v>
      </c>
      <c r="C417" s="2" t="s">
        <v>17</v>
      </c>
      <c r="D417" s="191" t="s">
        <v>320</v>
      </c>
      <c r="E417" s="192" t="s">
        <v>397</v>
      </c>
      <c r="F417" s="191" t="s">
        <v>398</v>
      </c>
      <c r="G417" s="193">
        <v>44928</v>
      </c>
      <c r="H417" s="193">
        <v>44941</v>
      </c>
      <c r="I417" s="191">
        <v>8</v>
      </c>
      <c r="J417" s="191" t="s">
        <v>119</v>
      </c>
      <c r="K417" s="197" t="s">
        <v>21</v>
      </c>
      <c r="L417" s="191" t="s">
        <v>23</v>
      </c>
      <c r="M417" s="188">
        <f>40000000-8000000</f>
        <v>32000000</v>
      </c>
      <c r="N417" s="192" t="s">
        <v>23</v>
      </c>
      <c r="O417" s="192" t="s">
        <v>23</v>
      </c>
      <c r="P417" s="192" t="s">
        <v>24</v>
      </c>
    </row>
    <row r="418" spans="1:16" s="196" customFormat="1" ht="75" x14ac:dyDescent="0.2">
      <c r="A418" s="2">
        <v>2023443</v>
      </c>
      <c r="B418" s="2" t="s">
        <v>17</v>
      </c>
      <c r="C418" s="2" t="s">
        <v>17</v>
      </c>
      <c r="D418" s="191" t="s">
        <v>320</v>
      </c>
      <c r="E418" s="192" t="s">
        <v>399</v>
      </c>
      <c r="F418" s="191" t="s">
        <v>400</v>
      </c>
      <c r="G418" s="193">
        <v>45030</v>
      </c>
      <c r="H418" s="193">
        <v>45043</v>
      </c>
      <c r="I418" s="191">
        <v>8</v>
      </c>
      <c r="J418" s="191" t="s">
        <v>160</v>
      </c>
      <c r="K418" s="197" t="s">
        <v>21</v>
      </c>
      <c r="L418" s="191" t="s">
        <v>23</v>
      </c>
      <c r="M418" s="188">
        <f>40000000+5139234-16260000</f>
        <v>28879234</v>
      </c>
      <c r="N418" s="192" t="s">
        <v>23</v>
      </c>
      <c r="O418" s="192" t="s">
        <v>23</v>
      </c>
      <c r="P418" s="192" t="s">
        <v>24</v>
      </c>
    </row>
    <row r="419" spans="1:16" s="196" customFormat="1" ht="75" x14ac:dyDescent="0.2">
      <c r="A419" s="2">
        <v>2023444</v>
      </c>
      <c r="B419" s="2" t="s">
        <v>17</v>
      </c>
      <c r="C419" s="2" t="s">
        <v>17</v>
      </c>
      <c r="D419" s="191" t="s">
        <v>320</v>
      </c>
      <c r="E419" s="192" t="s">
        <v>401</v>
      </c>
      <c r="F419" s="191" t="s">
        <v>402</v>
      </c>
      <c r="G419" s="193">
        <v>44941</v>
      </c>
      <c r="H419" s="193">
        <v>44946</v>
      </c>
      <c r="I419" s="191">
        <v>4</v>
      </c>
      <c r="J419" s="191" t="s">
        <v>160</v>
      </c>
      <c r="K419" s="197" t="s">
        <v>21</v>
      </c>
      <c r="L419" s="191" t="s">
        <v>23</v>
      </c>
      <c r="M419" s="188">
        <v>15000000</v>
      </c>
      <c r="N419" s="192" t="s">
        <v>23</v>
      </c>
      <c r="O419" s="192" t="s">
        <v>23</v>
      </c>
      <c r="P419" s="192" t="s">
        <v>365</v>
      </c>
    </row>
    <row r="420" spans="1:16" s="196" customFormat="1" ht="165" x14ac:dyDescent="0.2">
      <c r="A420" s="2">
        <v>2023445</v>
      </c>
      <c r="B420" s="2" t="s">
        <v>17</v>
      </c>
      <c r="C420" s="2" t="s">
        <v>17</v>
      </c>
      <c r="D420" s="191" t="s">
        <v>320</v>
      </c>
      <c r="E420" s="192" t="s">
        <v>403</v>
      </c>
      <c r="F420" s="191" t="s">
        <v>404</v>
      </c>
      <c r="G420" s="193">
        <v>44958</v>
      </c>
      <c r="H420" s="193">
        <v>44941</v>
      </c>
      <c r="I420" s="191">
        <v>11</v>
      </c>
      <c r="J420" s="191" t="s">
        <v>20</v>
      </c>
      <c r="K420" s="197" t="s">
        <v>21</v>
      </c>
      <c r="L420" s="191" t="s">
        <v>23</v>
      </c>
      <c r="M420" s="188">
        <v>95000000</v>
      </c>
      <c r="N420" s="192" t="s">
        <v>23</v>
      </c>
      <c r="O420" s="192" t="s">
        <v>23</v>
      </c>
      <c r="P420" s="192" t="s">
        <v>24</v>
      </c>
    </row>
    <row r="421" spans="1:16" s="196" customFormat="1" ht="75" x14ac:dyDescent="0.2">
      <c r="A421" s="2">
        <v>2023446</v>
      </c>
      <c r="B421" s="2" t="s">
        <v>17</v>
      </c>
      <c r="C421" s="2" t="s">
        <v>17</v>
      </c>
      <c r="D421" s="191" t="s">
        <v>320</v>
      </c>
      <c r="E421" s="192" t="s">
        <v>405</v>
      </c>
      <c r="F421" s="191" t="s">
        <v>406</v>
      </c>
      <c r="G421" s="193">
        <v>45078</v>
      </c>
      <c r="H421" s="193">
        <v>45092</v>
      </c>
      <c r="I421" s="191">
        <v>12</v>
      </c>
      <c r="J421" s="191" t="s">
        <v>119</v>
      </c>
      <c r="K421" s="197" t="s">
        <v>21</v>
      </c>
      <c r="L421" s="191" t="s">
        <v>23</v>
      </c>
      <c r="M421" s="188">
        <f>45000000-28000000</f>
        <v>17000000</v>
      </c>
      <c r="N421" s="192" t="s">
        <v>23</v>
      </c>
      <c r="O421" s="192" t="s">
        <v>23</v>
      </c>
      <c r="P421" s="192" t="s">
        <v>24</v>
      </c>
    </row>
    <row r="422" spans="1:16" s="196" customFormat="1" ht="165" x14ac:dyDescent="0.2">
      <c r="A422" s="2">
        <v>2023448</v>
      </c>
      <c r="B422" s="2" t="s">
        <v>17</v>
      </c>
      <c r="C422" s="2" t="s">
        <v>17</v>
      </c>
      <c r="D422" s="191" t="s">
        <v>320</v>
      </c>
      <c r="E422" s="192" t="s">
        <v>408</v>
      </c>
      <c r="F422" s="191" t="s">
        <v>409</v>
      </c>
      <c r="G422" s="193">
        <v>44928</v>
      </c>
      <c r="H422" s="193">
        <v>44981</v>
      </c>
      <c r="I422" s="191">
        <v>12</v>
      </c>
      <c r="J422" s="191" t="s">
        <v>160</v>
      </c>
      <c r="K422" s="197" t="s">
        <v>21</v>
      </c>
      <c r="L422" s="191" t="s">
        <v>23</v>
      </c>
      <c r="M422" s="188">
        <f>4480000000+120000000</f>
        <v>4600000000</v>
      </c>
      <c r="N422" s="192" t="s">
        <v>23</v>
      </c>
      <c r="O422" s="192" t="s">
        <v>23</v>
      </c>
      <c r="P422" s="192" t="s">
        <v>24</v>
      </c>
    </row>
    <row r="423" spans="1:16" s="196" customFormat="1" ht="30" x14ac:dyDescent="0.2">
      <c r="A423" s="2">
        <v>2023449</v>
      </c>
      <c r="B423" s="2" t="s">
        <v>17</v>
      </c>
      <c r="C423" s="2" t="s">
        <v>17</v>
      </c>
      <c r="D423" s="191" t="s">
        <v>320</v>
      </c>
      <c r="E423" s="192" t="s">
        <v>410</v>
      </c>
      <c r="F423" s="191" t="s">
        <v>411</v>
      </c>
      <c r="G423" s="193">
        <v>45048</v>
      </c>
      <c r="H423" s="193">
        <v>45056</v>
      </c>
      <c r="I423" s="191">
        <v>8</v>
      </c>
      <c r="J423" s="191" t="s">
        <v>20</v>
      </c>
      <c r="K423" s="197" t="s">
        <v>21</v>
      </c>
      <c r="L423" s="191" t="s">
        <v>23</v>
      </c>
      <c r="M423" s="188">
        <f>60000000-30000000+22860766+31139234</f>
        <v>84000000</v>
      </c>
      <c r="N423" s="192" t="s">
        <v>23</v>
      </c>
      <c r="O423" s="192" t="s">
        <v>23</v>
      </c>
      <c r="P423" s="192" t="s">
        <v>24</v>
      </c>
    </row>
    <row r="424" spans="1:16" s="196" customFormat="1" ht="30" x14ac:dyDescent="0.2">
      <c r="A424" s="2">
        <v>2023450</v>
      </c>
      <c r="B424" s="2" t="s">
        <v>17</v>
      </c>
      <c r="C424" s="2" t="s">
        <v>17</v>
      </c>
      <c r="D424" s="191" t="s">
        <v>320</v>
      </c>
      <c r="E424" s="192" t="s">
        <v>410</v>
      </c>
      <c r="F424" s="191" t="s">
        <v>412</v>
      </c>
      <c r="G424" s="193">
        <v>44927</v>
      </c>
      <c r="H424" s="193">
        <v>44941</v>
      </c>
      <c r="I424" s="191">
        <v>12</v>
      </c>
      <c r="J424" s="191" t="s">
        <v>20</v>
      </c>
      <c r="K424" s="197" t="s">
        <v>21</v>
      </c>
      <c r="L424" s="191" t="s">
        <v>23</v>
      </c>
      <c r="M424" s="188">
        <f>120000000-334439</f>
        <v>119665561</v>
      </c>
      <c r="N424" s="192" t="s">
        <v>23</v>
      </c>
      <c r="O424" s="192" t="s">
        <v>23</v>
      </c>
      <c r="P424" s="192" t="s">
        <v>24</v>
      </c>
    </row>
    <row r="425" spans="1:16" s="196" customFormat="1" ht="75" x14ac:dyDescent="0.2">
      <c r="A425" s="2">
        <v>2023451</v>
      </c>
      <c r="B425" s="2" t="s">
        <v>17</v>
      </c>
      <c r="C425" s="2" t="s">
        <v>17</v>
      </c>
      <c r="D425" s="191" t="s">
        <v>320</v>
      </c>
      <c r="E425" s="192" t="s">
        <v>362</v>
      </c>
      <c r="F425" s="191" t="s">
        <v>413</v>
      </c>
      <c r="G425" s="193">
        <v>44927</v>
      </c>
      <c r="H425" s="193">
        <v>44977</v>
      </c>
      <c r="I425" s="191">
        <v>12</v>
      </c>
      <c r="J425" s="191" t="s">
        <v>160</v>
      </c>
      <c r="K425" s="197" t="s">
        <v>21</v>
      </c>
      <c r="L425" s="191" t="s">
        <v>23</v>
      </c>
      <c r="M425" s="188">
        <f>639000000-39000000</f>
        <v>600000000</v>
      </c>
      <c r="N425" s="192" t="s">
        <v>23</v>
      </c>
      <c r="O425" s="192" t="s">
        <v>23</v>
      </c>
      <c r="P425" s="192" t="s">
        <v>24</v>
      </c>
    </row>
    <row r="426" spans="1:16" s="196" customFormat="1" ht="30" x14ac:dyDescent="0.2">
      <c r="A426" s="2">
        <v>2023452</v>
      </c>
      <c r="B426" s="2" t="s">
        <v>17</v>
      </c>
      <c r="C426" s="2" t="s">
        <v>17</v>
      </c>
      <c r="D426" s="191" t="s">
        <v>320</v>
      </c>
      <c r="E426" s="192" t="s">
        <v>414</v>
      </c>
      <c r="F426" s="191" t="s">
        <v>415</v>
      </c>
      <c r="G426" s="193">
        <v>44958</v>
      </c>
      <c r="H426" s="193">
        <v>44941</v>
      </c>
      <c r="I426" s="191">
        <v>10</v>
      </c>
      <c r="J426" s="191" t="s">
        <v>20</v>
      </c>
      <c r="K426" s="197" t="s">
        <v>21</v>
      </c>
      <c r="L426" s="191" t="s">
        <v>23</v>
      </c>
      <c r="M426" s="188">
        <v>8000000</v>
      </c>
      <c r="N426" s="192" t="s">
        <v>23</v>
      </c>
      <c r="O426" s="192" t="s">
        <v>23</v>
      </c>
      <c r="P426" s="192" t="s">
        <v>24</v>
      </c>
    </row>
    <row r="427" spans="1:16" s="196" customFormat="1" ht="45" x14ac:dyDescent="0.2">
      <c r="A427" s="2">
        <v>2023453</v>
      </c>
      <c r="B427" s="2" t="s">
        <v>17</v>
      </c>
      <c r="C427" s="2" t="s">
        <v>17</v>
      </c>
      <c r="D427" s="191" t="s">
        <v>320</v>
      </c>
      <c r="E427" s="192" t="s">
        <v>414</v>
      </c>
      <c r="F427" s="191" t="s">
        <v>416</v>
      </c>
      <c r="G427" s="193">
        <v>44958</v>
      </c>
      <c r="H427" s="193">
        <v>44941</v>
      </c>
      <c r="I427" s="191">
        <v>10</v>
      </c>
      <c r="J427" s="191" t="s">
        <v>20</v>
      </c>
      <c r="K427" s="197" t="s">
        <v>21</v>
      </c>
      <c r="L427" s="191" t="s">
        <v>23</v>
      </c>
      <c r="M427" s="188">
        <v>19000000</v>
      </c>
      <c r="N427" s="192" t="s">
        <v>23</v>
      </c>
      <c r="O427" s="192" t="s">
        <v>23</v>
      </c>
      <c r="P427" s="192" t="s">
        <v>24</v>
      </c>
    </row>
    <row r="428" spans="1:16" s="196" customFormat="1" ht="45" x14ac:dyDescent="0.2">
      <c r="A428" s="2">
        <v>2023454</v>
      </c>
      <c r="B428" s="2" t="s">
        <v>17</v>
      </c>
      <c r="C428" s="2" t="s">
        <v>17</v>
      </c>
      <c r="D428" s="191" t="s">
        <v>320</v>
      </c>
      <c r="E428" s="192" t="s">
        <v>414</v>
      </c>
      <c r="F428" s="191" t="s">
        <v>417</v>
      </c>
      <c r="G428" s="193">
        <v>44958</v>
      </c>
      <c r="H428" s="193">
        <v>44941</v>
      </c>
      <c r="I428" s="191">
        <v>10</v>
      </c>
      <c r="J428" s="191" t="s">
        <v>20</v>
      </c>
      <c r="K428" s="197" t="s">
        <v>21</v>
      </c>
      <c r="L428" s="191" t="s">
        <v>23</v>
      </c>
      <c r="M428" s="188">
        <v>8000000</v>
      </c>
      <c r="N428" s="192" t="s">
        <v>23</v>
      </c>
      <c r="O428" s="192" t="s">
        <v>23</v>
      </c>
      <c r="P428" s="192" t="s">
        <v>24</v>
      </c>
    </row>
    <row r="429" spans="1:16" s="196" customFormat="1" ht="60" x14ac:dyDescent="0.2">
      <c r="A429" s="2">
        <v>2023455</v>
      </c>
      <c r="B429" s="2" t="s">
        <v>17</v>
      </c>
      <c r="C429" s="2" t="s">
        <v>17</v>
      </c>
      <c r="D429" s="191" t="s">
        <v>320</v>
      </c>
      <c r="E429" s="192" t="s">
        <v>418</v>
      </c>
      <c r="F429" s="191" t="s">
        <v>419</v>
      </c>
      <c r="G429" s="193">
        <v>44977</v>
      </c>
      <c r="H429" s="193">
        <v>44988</v>
      </c>
      <c r="I429" s="191">
        <v>10</v>
      </c>
      <c r="J429" s="191" t="s">
        <v>155</v>
      </c>
      <c r="K429" s="197" t="s">
        <v>21</v>
      </c>
      <c r="L429" s="191" t="s">
        <v>23</v>
      </c>
      <c r="M429" s="188">
        <v>158002000</v>
      </c>
      <c r="N429" s="192" t="s">
        <v>23</v>
      </c>
      <c r="O429" s="192" t="s">
        <v>23</v>
      </c>
      <c r="P429" s="192" t="s">
        <v>24</v>
      </c>
    </row>
    <row r="430" spans="1:16" s="196" customFormat="1" ht="90" x14ac:dyDescent="0.2">
      <c r="A430" s="2">
        <v>2023456</v>
      </c>
      <c r="B430" s="2" t="s">
        <v>17</v>
      </c>
      <c r="C430" s="2" t="s">
        <v>17</v>
      </c>
      <c r="D430" s="191" t="s">
        <v>320</v>
      </c>
      <c r="E430" s="192" t="s">
        <v>420</v>
      </c>
      <c r="F430" s="191" t="s">
        <v>421</v>
      </c>
      <c r="G430" s="193">
        <v>44958</v>
      </c>
      <c r="H430" s="193">
        <v>45000</v>
      </c>
      <c r="I430" s="191">
        <v>5</v>
      </c>
      <c r="J430" s="191" t="s">
        <v>119</v>
      </c>
      <c r="K430" s="197" t="s">
        <v>21</v>
      </c>
      <c r="L430" s="191" t="s">
        <v>23</v>
      </c>
      <c r="M430" s="188">
        <f>42000000-13362480</f>
        <v>28637520</v>
      </c>
      <c r="N430" s="192" t="s">
        <v>23</v>
      </c>
      <c r="O430" s="192" t="s">
        <v>23</v>
      </c>
      <c r="P430" s="192" t="s">
        <v>24</v>
      </c>
    </row>
    <row r="431" spans="1:16" s="196" customFormat="1" ht="90" x14ac:dyDescent="0.2">
      <c r="A431" s="2">
        <v>2023457</v>
      </c>
      <c r="B431" s="2" t="s">
        <v>17</v>
      </c>
      <c r="C431" s="2" t="s">
        <v>17</v>
      </c>
      <c r="D431" s="191" t="s">
        <v>320</v>
      </c>
      <c r="E431" s="192" t="s">
        <v>362</v>
      </c>
      <c r="F431" s="191" t="s">
        <v>363</v>
      </c>
      <c r="G431" s="193">
        <v>44928</v>
      </c>
      <c r="H431" s="193">
        <v>44972</v>
      </c>
      <c r="I431" s="191">
        <v>2</v>
      </c>
      <c r="J431" s="191" t="s">
        <v>160</v>
      </c>
      <c r="K431" s="197" t="s">
        <v>21</v>
      </c>
      <c r="L431" s="191" t="s">
        <v>23</v>
      </c>
      <c r="M431" s="188">
        <v>200000000</v>
      </c>
      <c r="N431" s="192" t="s">
        <v>23</v>
      </c>
      <c r="O431" s="192" t="s">
        <v>23</v>
      </c>
      <c r="P431" s="192" t="s">
        <v>365</v>
      </c>
    </row>
    <row r="432" spans="1:16" s="196" customFormat="1" ht="60" x14ac:dyDescent="0.2">
      <c r="A432" s="2">
        <v>2023459</v>
      </c>
      <c r="B432" s="2" t="s">
        <v>17</v>
      </c>
      <c r="C432" s="2" t="s">
        <v>17</v>
      </c>
      <c r="D432" s="191" t="s">
        <v>320</v>
      </c>
      <c r="E432" s="192" t="s">
        <v>422</v>
      </c>
      <c r="F432" s="191" t="s">
        <v>423</v>
      </c>
      <c r="G432" s="193">
        <v>44928</v>
      </c>
      <c r="H432" s="193">
        <v>44972</v>
      </c>
      <c r="I432" s="191">
        <v>2</v>
      </c>
      <c r="J432" s="191" t="s">
        <v>67</v>
      </c>
      <c r="K432" s="197" t="s">
        <v>21</v>
      </c>
      <c r="L432" s="191" t="s">
        <v>23</v>
      </c>
      <c r="M432" s="188">
        <f>37995696+6934000</f>
        <v>44929696</v>
      </c>
      <c r="N432" s="192" t="s">
        <v>23</v>
      </c>
      <c r="O432" s="192" t="s">
        <v>23</v>
      </c>
      <c r="P432" s="192" t="s">
        <v>365</v>
      </c>
    </row>
    <row r="433" spans="1:16" s="196" customFormat="1" ht="45" x14ac:dyDescent="0.2">
      <c r="A433" s="2">
        <v>2023460</v>
      </c>
      <c r="B433" s="2" t="s">
        <v>17</v>
      </c>
      <c r="C433" s="2" t="s">
        <v>17</v>
      </c>
      <c r="D433" s="191" t="s">
        <v>320</v>
      </c>
      <c r="E433" s="192">
        <v>80111600</v>
      </c>
      <c r="F433" s="191" t="s">
        <v>424</v>
      </c>
      <c r="G433" s="193">
        <v>44927</v>
      </c>
      <c r="H433" s="193">
        <v>44941</v>
      </c>
      <c r="I433" s="191">
        <v>8</v>
      </c>
      <c r="J433" s="191" t="s">
        <v>20</v>
      </c>
      <c r="K433" s="197" t="s">
        <v>21</v>
      </c>
      <c r="L433" s="191" t="s">
        <v>23</v>
      </c>
      <c r="M433" s="188">
        <v>19600000</v>
      </c>
      <c r="N433" s="192" t="s">
        <v>23</v>
      </c>
      <c r="O433" s="192" t="s">
        <v>23</v>
      </c>
      <c r="P433" s="192" t="s">
        <v>24</v>
      </c>
    </row>
    <row r="434" spans="1:16" s="196" customFormat="1" ht="45" x14ac:dyDescent="0.2">
      <c r="A434" s="2">
        <v>2023462</v>
      </c>
      <c r="B434" s="2" t="s">
        <v>17</v>
      </c>
      <c r="C434" s="2" t="s">
        <v>17</v>
      </c>
      <c r="D434" s="191" t="s">
        <v>320</v>
      </c>
      <c r="E434" s="192">
        <v>80111600</v>
      </c>
      <c r="F434" s="191" t="s">
        <v>425</v>
      </c>
      <c r="G434" s="193">
        <v>44927</v>
      </c>
      <c r="H434" s="193">
        <v>44941</v>
      </c>
      <c r="I434" s="191">
        <v>10</v>
      </c>
      <c r="J434" s="191" t="s">
        <v>20</v>
      </c>
      <c r="K434" s="197" t="s">
        <v>21</v>
      </c>
      <c r="L434" s="191" t="s">
        <v>23</v>
      </c>
      <c r="M434" s="188">
        <v>73000000</v>
      </c>
      <c r="N434" s="192" t="s">
        <v>23</v>
      </c>
      <c r="O434" s="192" t="s">
        <v>23</v>
      </c>
      <c r="P434" s="192" t="s">
        <v>24</v>
      </c>
    </row>
    <row r="435" spans="1:16" s="196" customFormat="1" ht="45" x14ac:dyDescent="0.2">
      <c r="A435" s="2">
        <v>2023463</v>
      </c>
      <c r="B435" s="2" t="s">
        <v>17</v>
      </c>
      <c r="C435" s="2" t="s">
        <v>17</v>
      </c>
      <c r="D435" s="191" t="s">
        <v>320</v>
      </c>
      <c r="E435" s="192">
        <v>80111600</v>
      </c>
      <c r="F435" s="191" t="s">
        <v>426</v>
      </c>
      <c r="G435" s="193">
        <v>45030</v>
      </c>
      <c r="H435" s="193">
        <v>45043</v>
      </c>
      <c r="I435" s="191">
        <v>9</v>
      </c>
      <c r="J435" s="191" t="s">
        <v>20</v>
      </c>
      <c r="K435" s="197" t="s">
        <v>21</v>
      </c>
      <c r="L435" s="191" t="s">
        <v>23</v>
      </c>
      <c r="M435" s="188">
        <f>33600000+12213600</f>
        <v>45813600</v>
      </c>
      <c r="N435" s="192" t="s">
        <v>23</v>
      </c>
      <c r="O435" s="192" t="s">
        <v>23</v>
      </c>
      <c r="P435" s="192" t="s">
        <v>24</v>
      </c>
    </row>
    <row r="436" spans="1:16" s="196" customFormat="1" ht="60" x14ac:dyDescent="0.2">
      <c r="A436" s="2">
        <v>2023464</v>
      </c>
      <c r="B436" s="2" t="s">
        <v>17</v>
      </c>
      <c r="C436" s="2" t="s">
        <v>17</v>
      </c>
      <c r="D436" s="191" t="s">
        <v>320</v>
      </c>
      <c r="E436" s="192">
        <v>80111600</v>
      </c>
      <c r="F436" s="191" t="s">
        <v>427</v>
      </c>
      <c r="G436" s="193">
        <v>44927</v>
      </c>
      <c r="H436" s="193">
        <v>44941</v>
      </c>
      <c r="I436" s="191">
        <v>10</v>
      </c>
      <c r="J436" s="191" t="s">
        <v>20</v>
      </c>
      <c r="K436" s="197" t="s">
        <v>21</v>
      </c>
      <c r="L436" s="191" t="s">
        <v>23</v>
      </c>
      <c r="M436" s="188">
        <v>33500000</v>
      </c>
      <c r="N436" s="192" t="s">
        <v>23</v>
      </c>
      <c r="O436" s="192" t="s">
        <v>23</v>
      </c>
      <c r="P436" s="192" t="s">
        <v>24</v>
      </c>
    </row>
    <row r="437" spans="1:16" s="196" customFormat="1" ht="75" x14ac:dyDescent="0.2">
      <c r="A437" s="2">
        <v>2023465</v>
      </c>
      <c r="B437" s="2" t="s">
        <v>17</v>
      </c>
      <c r="C437" s="2" t="s">
        <v>17</v>
      </c>
      <c r="D437" s="191" t="s">
        <v>320</v>
      </c>
      <c r="E437" s="192">
        <v>80111600</v>
      </c>
      <c r="F437" s="191" t="s">
        <v>428</v>
      </c>
      <c r="G437" s="193">
        <v>44927</v>
      </c>
      <c r="H437" s="193">
        <v>44941</v>
      </c>
      <c r="I437" s="191">
        <v>10</v>
      </c>
      <c r="J437" s="191" t="s">
        <v>20</v>
      </c>
      <c r="K437" s="197" t="s">
        <v>21</v>
      </c>
      <c r="L437" s="191" t="s">
        <v>23</v>
      </c>
      <c r="M437" s="188">
        <v>38500000</v>
      </c>
      <c r="N437" s="192" t="s">
        <v>23</v>
      </c>
      <c r="O437" s="192" t="s">
        <v>23</v>
      </c>
      <c r="P437" s="192" t="s">
        <v>24</v>
      </c>
    </row>
    <row r="438" spans="1:16" s="196" customFormat="1" ht="45" x14ac:dyDescent="0.2">
      <c r="A438" s="2">
        <v>2023466</v>
      </c>
      <c r="B438" s="2" t="s">
        <v>17</v>
      </c>
      <c r="C438" s="2" t="s">
        <v>17</v>
      </c>
      <c r="D438" s="191" t="s">
        <v>320</v>
      </c>
      <c r="E438" s="192">
        <v>80111600</v>
      </c>
      <c r="F438" s="191" t="s">
        <v>424</v>
      </c>
      <c r="G438" s="193">
        <v>44927</v>
      </c>
      <c r="H438" s="193">
        <v>44941</v>
      </c>
      <c r="I438" s="191">
        <v>6</v>
      </c>
      <c r="J438" s="191" t="s">
        <v>20</v>
      </c>
      <c r="K438" s="197" t="s">
        <v>21</v>
      </c>
      <c r="L438" s="191" t="s">
        <v>23</v>
      </c>
      <c r="M438" s="188">
        <v>12600000</v>
      </c>
      <c r="N438" s="192" t="s">
        <v>23</v>
      </c>
      <c r="O438" s="192" t="s">
        <v>23</v>
      </c>
      <c r="P438" s="192" t="s">
        <v>24</v>
      </c>
    </row>
    <row r="439" spans="1:16" s="196" customFormat="1" ht="45" x14ac:dyDescent="0.2">
      <c r="A439" s="2">
        <v>2023467</v>
      </c>
      <c r="B439" s="2" t="s">
        <v>17</v>
      </c>
      <c r="C439" s="2" t="s">
        <v>17</v>
      </c>
      <c r="D439" s="191" t="s">
        <v>320</v>
      </c>
      <c r="E439" s="192">
        <v>80111600</v>
      </c>
      <c r="F439" s="191" t="s">
        <v>429</v>
      </c>
      <c r="G439" s="193">
        <v>45030</v>
      </c>
      <c r="H439" s="193">
        <v>45043</v>
      </c>
      <c r="I439" s="191">
        <v>9</v>
      </c>
      <c r="J439" s="191" t="s">
        <v>20</v>
      </c>
      <c r="K439" s="197" t="s">
        <v>21</v>
      </c>
      <c r="L439" s="191" t="s">
        <v>23</v>
      </c>
      <c r="M439" s="188">
        <f>30150000+3955680</f>
        <v>34105680</v>
      </c>
      <c r="N439" s="192" t="s">
        <v>23</v>
      </c>
      <c r="O439" s="192" t="s">
        <v>23</v>
      </c>
      <c r="P439" s="192" t="s">
        <v>24</v>
      </c>
    </row>
    <row r="440" spans="1:16" s="196" customFormat="1" ht="45" x14ac:dyDescent="0.2">
      <c r="A440" s="2">
        <v>2023468</v>
      </c>
      <c r="B440" s="2" t="s">
        <v>17</v>
      </c>
      <c r="C440" s="2" t="s">
        <v>17</v>
      </c>
      <c r="D440" s="191" t="s">
        <v>320</v>
      </c>
      <c r="E440" s="192">
        <v>80111600</v>
      </c>
      <c r="F440" s="191" t="s">
        <v>424</v>
      </c>
      <c r="G440" s="193">
        <v>44927</v>
      </c>
      <c r="H440" s="193">
        <v>44941</v>
      </c>
      <c r="I440" s="191">
        <v>8</v>
      </c>
      <c r="J440" s="191" t="s">
        <v>20</v>
      </c>
      <c r="K440" s="197" t="s">
        <v>21</v>
      </c>
      <c r="L440" s="191" t="s">
        <v>23</v>
      </c>
      <c r="M440" s="188">
        <v>19600000</v>
      </c>
      <c r="N440" s="192" t="s">
        <v>23</v>
      </c>
      <c r="O440" s="192" t="s">
        <v>23</v>
      </c>
      <c r="P440" s="192" t="s">
        <v>24</v>
      </c>
    </row>
    <row r="441" spans="1:16" s="196" customFormat="1" ht="45" x14ac:dyDescent="0.2">
      <c r="A441" s="2">
        <v>2023469</v>
      </c>
      <c r="B441" s="2" t="s">
        <v>17</v>
      </c>
      <c r="C441" s="2" t="s">
        <v>17</v>
      </c>
      <c r="D441" s="191" t="s">
        <v>320</v>
      </c>
      <c r="E441" s="192">
        <v>80111600</v>
      </c>
      <c r="F441" s="191" t="s">
        <v>424</v>
      </c>
      <c r="G441" s="193">
        <v>44927</v>
      </c>
      <c r="H441" s="193">
        <v>44941</v>
      </c>
      <c r="I441" s="191">
        <v>6</v>
      </c>
      <c r="J441" s="191" t="s">
        <v>20</v>
      </c>
      <c r="K441" s="197" t="s">
        <v>21</v>
      </c>
      <c r="L441" s="191" t="s">
        <v>23</v>
      </c>
      <c r="M441" s="188">
        <v>14700000</v>
      </c>
      <c r="N441" s="192" t="s">
        <v>23</v>
      </c>
      <c r="O441" s="192" t="s">
        <v>23</v>
      </c>
      <c r="P441" s="192" t="s">
        <v>24</v>
      </c>
    </row>
    <row r="442" spans="1:16" s="196" customFormat="1" ht="75" x14ac:dyDescent="0.2">
      <c r="A442" s="2">
        <v>2023470</v>
      </c>
      <c r="B442" s="2" t="s">
        <v>17</v>
      </c>
      <c r="C442" s="2" t="s">
        <v>17</v>
      </c>
      <c r="D442" s="191" t="s">
        <v>320</v>
      </c>
      <c r="E442" s="192">
        <v>80111600</v>
      </c>
      <c r="F442" s="191" t="s">
        <v>430</v>
      </c>
      <c r="G442" s="193">
        <v>44927</v>
      </c>
      <c r="H442" s="193">
        <v>44941</v>
      </c>
      <c r="I442" s="191">
        <v>11</v>
      </c>
      <c r="J442" s="191" t="s">
        <v>20</v>
      </c>
      <c r="K442" s="197" t="s">
        <v>21</v>
      </c>
      <c r="L442" s="191" t="s">
        <v>23</v>
      </c>
      <c r="M442" s="188">
        <f>55000000+44000000</f>
        <v>99000000</v>
      </c>
      <c r="N442" s="192" t="s">
        <v>23</v>
      </c>
      <c r="O442" s="192" t="s">
        <v>23</v>
      </c>
      <c r="P442" s="192" t="s">
        <v>24</v>
      </c>
    </row>
    <row r="443" spans="1:16" s="196" customFormat="1" ht="45" x14ac:dyDescent="0.2">
      <c r="A443" s="2">
        <v>2023471</v>
      </c>
      <c r="B443" s="2" t="s">
        <v>17</v>
      </c>
      <c r="C443" s="2" t="s">
        <v>17</v>
      </c>
      <c r="D443" s="191" t="s">
        <v>320</v>
      </c>
      <c r="E443" s="192">
        <v>80111600</v>
      </c>
      <c r="F443" s="191" t="s">
        <v>431</v>
      </c>
      <c r="G443" s="193">
        <v>44927</v>
      </c>
      <c r="H443" s="193">
        <v>44941</v>
      </c>
      <c r="I443" s="191">
        <v>9</v>
      </c>
      <c r="J443" s="191" t="s">
        <v>20</v>
      </c>
      <c r="K443" s="197" t="s">
        <v>21</v>
      </c>
      <c r="L443" s="191" t="s">
        <v>23</v>
      </c>
      <c r="M443" s="188">
        <v>18900000</v>
      </c>
      <c r="N443" s="192" t="s">
        <v>23</v>
      </c>
      <c r="O443" s="192" t="s">
        <v>23</v>
      </c>
      <c r="P443" s="192" t="s">
        <v>24</v>
      </c>
    </row>
    <row r="444" spans="1:16" s="196" customFormat="1" ht="45" x14ac:dyDescent="0.2">
      <c r="A444" s="2">
        <v>2023472</v>
      </c>
      <c r="B444" s="2" t="s">
        <v>17</v>
      </c>
      <c r="C444" s="2" t="s">
        <v>17</v>
      </c>
      <c r="D444" s="191" t="s">
        <v>320</v>
      </c>
      <c r="E444" s="192">
        <v>80111600</v>
      </c>
      <c r="F444" s="191" t="s">
        <v>432</v>
      </c>
      <c r="G444" s="193">
        <v>44927</v>
      </c>
      <c r="H444" s="193">
        <v>44941</v>
      </c>
      <c r="I444" s="191">
        <v>10</v>
      </c>
      <c r="J444" s="191" t="s">
        <v>20</v>
      </c>
      <c r="K444" s="197" t="s">
        <v>21</v>
      </c>
      <c r="L444" s="191" t="s">
        <v>23</v>
      </c>
      <c r="M444" s="188">
        <v>24500000</v>
      </c>
      <c r="N444" s="192" t="s">
        <v>23</v>
      </c>
      <c r="O444" s="192" t="s">
        <v>23</v>
      </c>
      <c r="P444" s="192" t="s">
        <v>24</v>
      </c>
    </row>
    <row r="445" spans="1:16" s="196" customFormat="1" ht="45" x14ac:dyDescent="0.2">
      <c r="A445" s="2">
        <v>2023473</v>
      </c>
      <c r="B445" s="2" t="s">
        <v>17</v>
      </c>
      <c r="C445" s="2" t="s">
        <v>17</v>
      </c>
      <c r="D445" s="191" t="s">
        <v>320</v>
      </c>
      <c r="E445" s="192">
        <v>80111600</v>
      </c>
      <c r="F445" s="191" t="s">
        <v>432</v>
      </c>
      <c r="G445" s="193">
        <v>44927</v>
      </c>
      <c r="H445" s="193">
        <v>44941</v>
      </c>
      <c r="I445" s="191">
        <v>9</v>
      </c>
      <c r="J445" s="191" t="s">
        <v>20</v>
      </c>
      <c r="K445" s="197" t="s">
        <v>21</v>
      </c>
      <c r="L445" s="191" t="s">
        <v>23</v>
      </c>
      <c r="M445" s="188">
        <v>22050000</v>
      </c>
      <c r="N445" s="192" t="s">
        <v>23</v>
      </c>
      <c r="O445" s="192" t="s">
        <v>23</v>
      </c>
      <c r="P445" s="192" t="s">
        <v>24</v>
      </c>
    </row>
    <row r="446" spans="1:16" s="196" customFormat="1" ht="75" x14ac:dyDescent="0.2">
      <c r="A446" s="2">
        <v>2023474</v>
      </c>
      <c r="B446" s="2" t="s">
        <v>17</v>
      </c>
      <c r="C446" s="2" t="s">
        <v>17</v>
      </c>
      <c r="D446" s="191" t="s">
        <v>320</v>
      </c>
      <c r="E446" s="192">
        <v>80111600</v>
      </c>
      <c r="F446" s="191" t="s">
        <v>433</v>
      </c>
      <c r="G446" s="193">
        <v>44986</v>
      </c>
      <c r="H446" s="193">
        <v>45000</v>
      </c>
      <c r="I446" s="191">
        <v>8</v>
      </c>
      <c r="J446" s="191" t="s">
        <v>20</v>
      </c>
      <c r="K446" s="197" t="s">
        <v>21</v>
      </c>
      <c r="L446" s="191" t="s">
        <v>23</v>
      </c>
      <c r="M446" s="188">
        <v>56000000</v>
      </c>
      <c r="N446" s="192" t="s">
        <v>23</v>
      </c>
      <c r="O446" s="192" t="s">
        <v>23</v>
      </c>
      <c r="P446" s="192" t="s">
        <v>24</v>
      </c>
    </row>
    <row r="447" spans="1:16" s="196" customFormat="1" ht="45" x14ac:dyDescent="0.2">
      <c r="A447" s="2">
        <v>2023475</v>
      </c>
      <c r="B447" s="2" t="s">
        <v>17</v>
      </c>
      <c r="C447" s="2" t="s">
        <v>17</v>
      </c>
      <c r="D447" s="191" t="s">
        <v>320</v>
      </c>
      <c r="E447" s="192">
        <v>80111600</v>
      </c>
      <c r="F447" s="191" t="s">
        <v>431</v>
      </c>
      <c r="G447" s="193">
        <v>44927</v>
      </c>
      <c r="H447" s="193">
        <v>44941</v>
      </c>
      <c r="I447" s="191">
        <v>11</v>
      </c>
      <c r="J447" s="191" t="s">
        <v>20</v>
      </c>
      <c r="K447" s="197" t="s">
        <v>21</v>
      </c>
      <c r="L447" s="191" t="s">
        <v>23</v>
      </c>
      <c r="M447" s="188">
        <v>26950000</v>
      </c>
      <c r="N447" s="192" t="s">
        <v>23</v>
      </c>
      <c r="O447" s="192" t="s">
        <v>23</v>
      </c>
      <c r="P447" s="192" t="s">
        <v>24</v>
      </c>
    </row>
    <row r="448" spans="1:16" s="196" customFormat="1" ht="75" x14ac:dyDescent="0.2">
      <c r="A448" s="2">
        <v>2023476</v>
      </c>
      <c r="B448" s="2" t="s">
        <v>17</v>
      </c>
      <c r="C448" s="2" t="s">
        <v>17</v>
      </c>
      <c r="D448" s="191" t="s">
        <v>320</v>
      </c>
      <c r="E448" s="192">
        <v>80111600</v>
      </c>
      <c r="F448" s="191" t="s">
        <v>434</v>
      </c>
      <c r="G448" s="193">
        <v>44927</v>
      </c>
      <c r="H448" s="193">
        <v>44941</v>
      </c>
      <c r="I448" s="191">
        <v>11</v>
      </c>
      <c r="J448" s="191" t="s">
        <v>20</v>
      </c>
      <c r="K448" s="197" t="s">
        <v>21</v>
      </c>
      <c r="L448" s="191" t="s">
        <v>23</v>
      </c>
      <c r="M448" s="188">
        <v>55000000</v>
      </c>
      <c r="N448" s="192" t="s">
        <v>23</v>
      </c>
      <c r="O448" s="192" t="s">
        <v>23</v>
      </c>
      <c r="P448" s="192" t="s">
        <v>24</v>
      </c>
    </row>
    <row r="449" spans="1:16" s="196" customFormat="1" ht="45" x14ac:dyDescent="0.2">
      <c r="A449" s="2">
        <v>2023477</v>
      </c>
      <c r="B449" s="2" t="s">
        <v>17</v>
      </c>
      <c r="C449" s="2" t="s">
        <v>17</v>
      </c>
      <c r="D449" s="191" t="s">
        <v>320</v>
      </c>
      <c r="E449" s="192">
        <v>80111600</v>
      </c>
      <c r="F449" s="191" t="s">
        <v>426</v>
      </c>
      <c r="G449" s="193">
        <v>44986</v>
      </c>
      <c r="H449" s="193">
        <v>45000</v>
      </c>
      <c r="I449" s="191">
        <v>8</v>
      </c>
      <c r="J449" s="191" t="s">
        <v>20</v>
      </c>
      <c r="K449" s="197" t="s">
        <v>21</v>
      </c>
      <c r="L449" s="191" t="s">
        <v>23</v>
      </c>
      <c r="M449" s="188">
        <f>30800000</f>
        <v>30800000</v>
      </c>
      <c r="N449" s="192" t="s">
        <v>23</v>
      </c>
      <c r="O449" s="192" t="s">
        <v>23</v>
      </c>
      <c r="P449" s="192" t="s">
        <v>24</v>
      </c>
    </row>
    <row r="450" spans="1:16" s="196" customFormat="1" ht="90" x14ac:dyDescent="0.2">
      <c r="A450" s="2">
        <v>2023478</v>
      </c>
      <c r="B450" s="2" t="s">
        <v>17</v>
      </c>
      <c r="C450" s="2" t="s">
        <v>17</v>
      </c>
      <c r="D450" s="191" t="s">
        <v>320</v>
      </c>
      <c r="E450" s="192">
        <v>80111600</v>
      </c>
      <c r="F450" s="191" t="s">
        <v>435</v>
      </c>
      <c r="G450" s="193">
        <v>44986</v>
      </c>
      <c r="H450" s="193">
        <v>45000</v>
      </c>
      <c r="I450" s="191">
        <v>9</v>
      </c>
      <c r="J450" s="191" t="s">
        <v>20</v>
      </c>
      <c r="K450" s="197" t="s">
        <v>21</v>
      </c>
      <c r="L450" s="191" t="s">
        <v>23</v>
      </c>
      <c r="M450" s="188">
        <f>30600000+5100000+10200000</f>
        <v>45900000</v>
      </c>
      <c r="N450" s="192" t="s">
        <v>23</v>
      </c>
      <c r="O450" s="192" t="s">
        <v>23</v>
      </c>
      <c r="P450" s="192" t="s">
        <v>24</v>
      </c>
    </row>
    <row r="451" spans="1:16" s="196" customFormat="1" ht="90" x14ac:dyDescent="0.2">
      <c r="A451" s="2">
        <v>2023481</v>
      </c>
      <c r="B451" s="2" t="s">
        <v>17</v>
      </c>
      <c r="C451" s="2" t="s">
        <v>17</v>
      </c>
      <c r="D451" s="191" t="s">
        <v>320</v>
      </c>
      <c r="E451" s="192">
        <v>80111600</v>
      </c>
      <c r="F451" s="191" t="s">
        <v>436</v>
      </c>
      <c r="G451" s="193">
        <v>44927</v>
      </c>
      <c r="H451" s="193">
        <v>44941</v>
      </c>
      <c r="I451" s="191">
        <v>9</v>
      </c>
      <c r="J451" s="191" t="s">
        <v>20</v>
      </c>
      <c r="K451" s="197" t="s">
        <v>21</v>
      </c>
      <c r="L451" s="191" t="s">
        <v>23</v>
      </c>
      <c r="M451" s="188">
        <f>40500000-22500000</f>
        <v>18000000</v>
      </c>
      <c r="N451" s="192" t="s">
        <v>23</v>
      </c>
      <c r="O451" s="192" t="s">
        <v>23</v>
      </c>
      <c r="P451" s="192" t="s">
        <v>24</v>
      </c>
    </row>
    <row r="452" spans="1:16" s="196" customFormat="1" ht="60" x14ac:dyDescent="0.2">
      <c r="A452" s="2">
        <v>2023482</v>
      </c>
      <c r="B452" s="2" t="s">
        <v>17</v>
      </c>
      <c r="C452" s="2" t="s">
        <v>17</v>
      </c>
      <c r="D452" s="191" t="s">
        <v>320</v>
      </c>
      <c r="E452" s="192">
        <v>80111600</v>
      </c>
      <c r="F452" s="191" t="s">
        <v>437</v>
      </c>
      <c r="G452" s="193">
        <v>44927</v>
      </c>
      <c r="H452" s="193">
        <v>44941</v>
      </c>
      <c r="I452" s="191">
        <v>9</v>
      </c>
      <c r="J452" s="191" t="s">
        <v>20</v>
      </c>
      <c r="K452" s="197" t="s">
        <v>21</v>
      </c>
      <c r="L452" s="191" t="s">
        <v>23</v>
      </c>
      <c r="M452" s="188">
        <v>61200000</v>
      </c>
      <c r="N452" s="192" t="s">
        <v>23</v>
      </c>
      <c r="O452" s="192" t="s">
        <v>23</v>
      </c>
      <c r="P452" s="192" t="s">
        <v>24</v>
      </c>
    </row>
    <row r="453" spans="1:16" s="196" customFormat="1" ht="60" x14ac:dyDescent="0.2">
      <c r="A453" s="2">
        <v>2023484</v>
      </c>
      <c r="B453" s="2" t="s">
        <v>17</v>
      </c>
      <c r="C453" s="2" t="s">
        <v>17</v>
      </c>
      <c r="D453" s="191" t="s">
        <v>48</v>
      </c>
      <c r="E453" s="192">
        <v>80111600</v>
      </c>
      <c r="F453" s="191" t="s">
        <v>438</v>
      </c>
      <c r="G453" s="193">
        <v>44941</v>
      </c>
      <c r="H453" s="193">
        <v>45021</v>
      </c>
      <c r="I453" s="191">
        <v>8</v>
      </c>
      <c r="J453" s="191" t="s">
        <v>20</v>
      </c>
      <c r="K453" s="197" t="s">
        <v>21</v>
      </c>
      <c r="L453" s="191" t="s">
        <v>23</v>
      </c>
      <c r="M453" s="188">
        <v>73600000</v>
      </c>
      <c r="N453" s="192" t="s">
        <v>23</v>
      </c>
      <c r="O453" s="192" t="s">
        <v>23</v>
      </c>
      <c r="P453" s="192" t="s">
        <v>24</v>
      </c>
    </row>
    <row r="454" spans="1:16" s="196" customFormat="1" ht="105" x14ac:dyDescent="0.2">
      <c r="A454" s="2">
        <v>2023485</v>
      </c>
      <c r="B454" s="2" t="s">
        <v>17</v>
      </c>
      <c r="C454" s="2" t="s">
        <v>17</v>
      </c>
      <c r="D454" s="191" t="s">
        <v>48</v>
      </c>
      <c r="E454" s="192">
        <v>80111600</v>
      </c>
      <c r="F454" s="191" t="s">
        <v>439</v>
      </c>
      <c r="G454" s="193">
        <v>45000</v>
      </c>
      <c r="H454" s="193">
        <v>45026</v>
      </c>
      <c r="I454" s="191">
        <v>8</v>
      </c>
      <c r="J454" s="191" t="s">
        <v>20</v>
      </c>
      <c r="K454" s="197" t="s">
        <v>21</v>
      </c>
      <c r="L454" s="191" t="s">
        <v>23</v>
      </c>
      <c r="M454" s="188">
        <v>56000000</v>
      </c>
      <c r="N454" s="192" t="s">
        <v>23</v>
      </c>
      <c r="O454" s="192" t="s">
        <v>23</v>
      </c>
      <c r="P454" s="192" t="s">
        <v>24</v>
      </c>
    </row>
    <row r="455" spans="1:16" s="196" customFormat="1" ht="45" x14ac:dyDescent="0.2">
      <c r="A455" s="2">
        <v>2023487</v>
      </c>
      <c r="B455" s="2" t="s">
        <v>17</v>
      </c>
      <c r="C455" s="2" t="s">
        <v>17</v>
      </c>
      <c r="D455" s="191" t="s">
        <v>48</v>
      </c>
      <c r="E455" s="192">
        <v>80111600</v>
      </c>
      <c r="F455" s="191" t="s">
        <v>440</v>
      </c>
      <c r="G455" s="193">
        <v>45021</v>
      </c>
      <c r="H455" s="193">
        <v>45021</v>
      </c>
      <c r="I455" s="191">
        <v>7</v>
      </c>
      <c r="J455" s="191" t="s">
        <v>20</v>
      </c>
      <c r="K455" s="197" t="s">
        <v>21</v>
      </c>
      <c r="L455" s="191" t="s">
        <v>23</v>
      </c>
      <c r="M455" s="188">
        <f>55400000-25993333</f>
        <v>29406667</v>
      </c>
      <c r="N455" s="192" t="s">
        <v>23</v>
      </c>
      <c r="O455" s="192" t="s">
        <v>23</v>
      </c>
      <c r="P455" s="192" t="s">
        <v>24</v>
      </c>
    </row>
    <row r="456" spans="1:16" s="196" customFormat="1" ht="45" x14ac:dyDescent="0.2">
      <c r="A456" s="2">
        <v>2023488</v>
      </c>
      <c r="B456" s="2" t="s">
        <v>17</v>
      </c>
      <c r="C456" s="2" t="s">
        <v>17</v>
      </c>
      <c r="D456" s="191" t="s">
        <v>126</v>
      </c>
      <c r="E456" s="192">
        <v>80111600</v>
      </c>
      <c r="F456" s="191" t="s">
        <v>441</v>
      </c>
      <c r="G456" s="193">
        <v>44946</v>
      </c>
      <c r="H456" s="193">
        <v>44956</v>
      </c>
      <c r="I456" s="191">
        <v>6</v>
      </c>
      <c r="J456" s="191" t="s">
        <v>20</v>
      </c>
      <c r="K456" s="197" t="s">
        <v>21</v>
      </c>
      <c r="L456" s="191" t="s">
        <v>23</v>
      </c>
      <c r="M456" s="188">
        <f>11550000+4950000+3537500+1962500-11000000</f>
        <v>11000000</v>
      </c>
      <c r="N456" s="192" t="s">
        <v>23</v>
      </c>
      <c r="O456" s="192" t="s">
        <v>23</v>
      </c>
      <c r="P456" s="192" t="s">
        <v>24</v>
      </c>
    </row>
    <row r="457" spans="1:16" s="196" customFormat="1" ht="60" x14ac:dyDescent="0.2">
      <c r="A457" s="2">
        <v>2023489</v>
      </c>
      <c r="B457" s="2" t="s">
        <v>17</v>
      </c>
      <c r="C457" s="2" t="s">
        <v>17</v>
      </c>
      <c r="D457" s="191" t="s">
        <v>126</v>
      </c>
      <c r="E457" s="192">
        <v>80111600</v>
      </c>
      <c r="F457" s="191" t="s">
        <v>130</v>
      </c>
      <c r="G457" s="193">
        <v>44927</v>
      </c>
      <c r="H457" s="193">
        <v>44958</v>
      </c>
      <c r="I457" s="191">
        <v>3</v>
      </c>
      <c r="J457" s="191" t="s">
        <v>20</v>
      </c>
      <c r="K457" s="197" t="s">
        <v>21</v>
      </c>
      <c r="L457" s="191" t="s">
        <v>23</v>
      </c>
      <c r="M457" s="188">
        <f>13041000+10625000+6734000-1900000-17100000</f>
        <v>11400000</v>
      </c>
      <c r="N457" s="192" t="s">
        <v>23</v>
      </c>
      <c r="O457" s="192" t="s">
        <v>23</v>
      </c>
      <c r="P457" s="192" t="s">
        <v>24</v>
      </c>
    </row>
    <row r="458" spans="1:16" s="196" customFormat="1" ht="45" x14ac:dyDescent="0.2">
      <c r="A458" s="2">
        <v>2023490</v>
      </c>
      <c r="B458" s="2" t="s">
        <v>17</v>
      </c>
      <c r="C458" s="2" t="s">
        <v>17</v>
      </c>
      <c r="D458" s="191" t="s">
        <v>126</v>
      </c>
      <c r="E458" s="192">
        <v>80111600</v>
      </c>
      <c r="F458" s="191" t="s">
        <v>442</v>
      </c>
      <c r="G458" s="193">
        <v>45005</v>
      </c>
      <c r="H458" s="193">
        <v>45015</v>
      </c>
      <c r="I458" s="191">
        <v>9</v>
      </c>
      <c r="J458" s="191" t="s">
        <v>20</v>
      </c>
      <c r="K458" s="197" t="s">
        <v>21</v>
      </c>
      <c r="L458" s="191" t="s">
        <v>23</v>
      </c>
      <c r="M458" s="188">
        <f>53820000-4950000-14700000-6734000-1962500-5348500-14000000</f>
        <v>6125000</v>
      </c>
      <c r="N458" s="192" t="s">
        <v>23</v>
      </c>
      <c r="O458" s="192" t="s">
        <v>23</v>
      </c>
      <c r="P458" s="192" t="s">
        <v>24</v>
      </c>
    </row>
    <row r="459" spans="1:16" s="196" customFormat="1" ht="45" x14ac:dyDescent="0.2">
      <c r="A459" s="2">
        <v>2023492</v>
      </c>
      <c r="B459" s="2" t="s">
        <v>17</v>
      </c>
      <c r="C459" s="2" t="s">
        <v>17</v>
      </c>
      <c r="D459" s="191" t="s">
        <v>126</v>
      </c>
      <c r="E459" s="192">
        <v>80111600</v>
      </c>
      <c r="F459" s="191" t="s">
        <v>443</v>
      </c>
      <c r="G459" s="193">
        <v>44986</v>
      </c>
      <c r="H459" s="193">
        <v>45017</v>
      </c>
      <c r="I459" s="191">
        <v>9</v>
      </c>
      <c r="J459" s="191" t="s">
        <v>20</v>
      </c>
      <c r="K459" s="197" t="s">
        <v>21</v>
      </c>
      <c r="L459" s="191" t="s">
        <v>23</v>
      </c>
      <c r="M459" s="188">
        <v>39123000</v>
      </c>
      <c r="N459" s="192" t="s">
        <v>23</v>
      </c>
      <c r="O459" s="192" t="s">
        <v>23</v>
      </c>
      <c r="P459" s="192" t="s">
        <v>24</v>
      </c>
    </row>
    <row r="460" spans="1:16" s="196" customFormat="1" ht="105" x14ac:dyDescent="0.2">
      <c r="A460" s="2">
        <v>2023493</v>
      </c>
      <c r="B460" s="2" t="s">
        <v>17</v>
      </c>
      <c r="C460" s="2" t="s">
        <v>17</v>
      </c>
      <c r="D460" s="191" t="s">
        <v>126</v>
      </c>
      <c r="E460" s="192">
        <v>80111600</v>
      </c>
      <c r="F460" s="191" t="s">
        <v>136</v>
      </c>
      <c r="G460" s="193">
        <v>44958</v>
      </c>
      <c r="H460" s="193">
        <v>44986</v>
      </c>
      <c r="I460" s="191">
        <v>10</v>
      </c>
      <c r="J460" s="191" t="s">
        <v>20</v>
      </c>
      <c r="K460" s="197" t="s">
        <v>21</v>
      </c>
      <c r="L460" s="191" t="s">
        <v>23</v>
      </c>
      <c r="M460" s="188">
        <f>31050000-4225000-3537500-13972500</f>
        <v>9315000</v>
      </c>
      <c r="N460" s="192" t="s">
        <v>23</v>
      </c>
      <c r="O460" s="192" t="s">
        <v>23</v>
      </c>
      <c r="P460" s="192" t="s">
        <v>24</v>
      </c>
    </row>
    <row r="461" spans="1:16" s="196" customFormat="1" ht="45" x14ac:dyDescent="0.2">
      <c r="A461" s="2">
        <v>2023494</v>
      </c>
      <c r="B461" s="2" t="s">
        <v>17</v>
      </c>
      <c r="C461" s="2" t="s">
        <v>17</v>
      </c>
      <c r="D461" s="191" t="s">
        <v>45</v>
      </c>
      <c r="E461" s="192" t="s">
        <v>444</v>
      </c>
      <c r="F461" s="191" t="s">
        <v>445</v>
      </c>
      <c r="G461" s="193">
        <v>44986</v>
      </c>
      <c r="H461" s="193">
        <v>45000</v>
      </c>
      <c r="I461" s="191">
        <v>6</v>
      </c>
      <c r="J461" s="191" t="s">
        <v>102</v>
      </c>
      <c r="K461" s="197" t="s">
        <v>21</v>
      </c>
      <c r="L461" s="191" t="s">
        <v>23</v>
      </c>
      <c r="M461" s="188">
        <f>505794000-100000000-27500000-72500000</f>
        <v>305794000</v>
      </c>
      <c r="N461" s="192" t="s">
        <v>23</v>
      </c>
      <c r="O461" s="192" t="s">
        <v>23</v>
      </c>
      <c r="P461" s="192" t="s">
        <v>24</v>
      </c>
    </row>
    <row r="462" spans="1:16" s="196" customFormat="1" ht="105" x14ac:dyDescent="0.2">
      <c r="A462" s="2">
        <v>2023495</v>
      </c>
      <c r="B462" s="2" t="s">
        <v>17</v>
      </c>
      <c r="C462" s="2" t="s">
        <v>17</v>
      </c>
      <c r="D462" s="191" t="s">
        <v>222</v>
      </c>
      <c r="E462" s="192" t="s">
        <v>446</v>
      </c>
      <c r="F462" s="191" t="s">
        <v>447</v>
      </c>
      <c r="G462" s="193">
        <v>44941</v>
      </c>
      <c r="H462" s="193">
        <v>44957</v>
      </c>
      <c r="I462" s="191">
        <v>11</v>
      </c>
      <c r="J462" s="191" t="s">
        <v>119</v>
      </c>
      <c r="K462" s="197" t="s">
        <v>21</v>
      </c>
      <c r="L462" s="191" t="s">
        <v>23</v>
      </c>
      <c r="M462" s="188">
        <v>27350000</v>
      </c>
      <c r="N462" s="192" t="s">
        <v>23</v>
      </c>
      <c r="O462" s="192" t="s">
        <v>23</v>
      </c>
      <c r="P462" s="192" t="s">
        <v>24</v>
      </c>
    </row>
    <row r="463" spans="1:16" s="196" customFormat="1" ht="60" x14ac:dyDescent="0.2">
      <c r="A463" s="2">
        <v>2023496</v>
      </c>
      <c r="B463" s="2" t="s">
        <v>17</v>
      </c>
      <c r="C463" s="2" t="s">
        <v>17</v>
      </c>
      <c r="D463" s="191" t="s">
        <v>126</v>
      </c>
      <c r="E463" s="192" t="s">
        <v>448</v>
      </c>
      <c r="F463" s="191" t="s">
        <v>449</v>
      </c>
      <c r="G463" s="193">
        <v>44977</v>
      </c>
      <c r="H463" s="193">
        <v>45015</v>
      </c>
      <c r="I463" s="191">
        <v>9</v>
      </c>
      <c r="J463" s="191" t="s">
        <v>160</v>
      </c>
      <c r="K463" s="197" t="s">
        <v>21</v>
      </c>
      <c r="L463" s="191" t="s">
        <v>23</v>
      </c>
      <c r="M463" s="188">
        <v>1243200000</v>
      </c>
      <c r="N463" s="192" t="s">
        <v>23</v>
      </c>
      <c r="O463" s="192" t="s">
        <v>23</v>
      </c>
      <c r="P463" s="192" t="s">
        <v>24</v>
      </c>
    </row>
    <row r="464" spans="1:16" s="196" customFormat="1" ht="135" x14ac:dyDescent="0.2">
      <c r="A464" s="2">
        <v>2023497</v>
      </c>
      <c r="B464" s="2" t="s">
        <v>17</v>
      </c>
      <c r="C464" s="2" t="s">
        <v>17</v>
      </c>
      <c r="D464" s="191" t="s">
        <v>126</v>
      </c>
      <c r="E464" s="192" t="s">
        <v>450</v>
      </c>
      <c r="F464" s="191" t="s">
        <v>451</v>
      </c>
      <c r="G464" s="193">
        <v>45047</v>
      </c>
      <c r="H464" s="193">
        <v>45077</v>
      </c>
      <c r="I464" s="191">
        <v>7</v>
      </c>
      <c r="J464" s="191" t="s">
        <v>155</v>
      </c>
      <c r="K464" s="197" t="s">
        <v>21</v>
      </c>
      <c r="L464" s="191" t="s">
        <v>23</v>
      </c>
      <c r="M464" s="188">
        <f>250000000-32000000</f>
        <v>218000000</v>
      </c>
      <c r="N464" s="192" t="s">
        <v>23</v>
      </c>
      <c r="O464" s="192" t="s">
        <v>23</v>
      </c>
      <c r="P464" s="192" t="s">
        <v>24</v>
      </c>
    </row>
    <row r="465" spans="1:16" s="196" customFormat="1" ht="105" x14ac:dyDescent="0.2">
      <c r="A465" s="2">
        <v>2023498</v>
      </c>
      <c r="B465" s="2" t="s">
        <v>17</v>
      </c>
      <c r="C465" s="2" t="s">
        <v>17</v>
      </c>
      <c r="D465" s="191" t="s">
        <v>126</v>
      </c>
      <c r="E465" s="192" t="s">
        <v>452</v>
      </c>
      <c r="F465" s="191" t="s">
        <v>453</v>
      </c>
      <c r="G465" s="193">
        <v>44986</v>
      </c>
      <c r="H465" s="193">
        <v>45016</v>
      </c>
      <c r="I465" s="191">
        <v>9</v>
      </c>
      <c r="J465" s="191" t="s">
        <v>155</v>
      </c>
      <c r="K465" s="197" t="s">
        <v>21</v>
      </c>
      <c r="L465" s="191" t="s">
        <v>23</v>
      </c>
      <c r="M465" s="188">
        <f>40000000-19000000</f>
        <v>21000000</v>
      </c>
      <c r="N465" s="192" t="s">
        <v>23</v>
      </c>
      <c r="O465" s="192" t="s">
        <v>23</v>
      </c>
      <c r="P465" s="192" t="s">
        <v>24</v>
      </c>
    </row>
    <row r="466" spans="1:16" s="196" customFormat="1" ht="30" x14ac:dyDescent="0.2">
      <c r="A466" s="2">
        <v>2023499</v>
      </c>
      <c r="B466" s="2" t="s">
        <v>17</v>
      </c>
      <c r="C466" s="2" t="s">
        <v>17</v>
      </c>
      <c r="D466" s="191" t="s">
        <v>126</v>
      </c>
      <c r="E466" s="192" t="s">
        <v>778</v>
      </c>
      <c r="F466" s="191" t="s">
        <v>454</v>
      </c>
      <c r="G466" s="193">
        <v>45047</v>
      </c>
      <c r="H466" s="193">
        <v>45046</v>
      </c>
      <c r="I466" s="191">
        <v>5</v>
      </c>
      <c r="J466" s="191" t="s">
        <v>119</v>
      </c>
      <c r="K466" s="197" t="s">
        <v>21</v>
      </c>
      <c r="L466" s="191" t="s">
        <v>23</v>
      </c>
      <c r="M466" s="188">
        <f>15000000+7000000</f>
        <v>22000000</v>
      </c>
      <c r="N466" s="192" t="s">
        <v>23</v>
      </c>
      <c r="O466" s="192" t="s">
        <v>23</v>
      </c>
      <c r="P466" s="192" t="s">
        <v>24</v>
      </c>
    </row>
    <row r="467" spans="1:16" s="196" customFormat="1" ht="60" x14ac:dyDescent="0.2">
      <c r="A467" s="2">
        <v>2023500</v>
      </c>
      <c r="B467" s="2" t="s">
        <v>17</v>
      </c>
      <c r="C467" s="2" t="s">
        <v>17</v>
      </c>
      <c r="D467" s="191" t="s">
        <v>126</v>
      </c>
      <c r="E467" s="192" t="s">
        <v>455</v>
      </c>
      <c r="F467" s="191" t="s">
        <v>456</v>
      </c>
      <c r="G467" s="193">
        <v>44986</v>
      </c>
      <c r="H467" s="193">
        <v>45046</v>
      </c>
      <c r="I467" s="191">
        <v>4</v>
      </c>
      <c r="J467" s="191" t="s">
        <v>119</v>
      </c>
      <c r="K467" s="197" t="s">
        <v>21</v>
      </c>
      <c r="L467" s="191" t="s">
        <v>23</v>
      </c>
      <c r="M467" s="188">
        <f>15000000-7000000</f>
        <v>8000000</v>
      </c>
      <c r="N467" s="192" t="s">
        <v>23</v>
      </c>
      <c r="O467" s="192" t="s">
        <v>23</v>
      </c>
      <c r="P467" s="192" t="s">
        <v>24</v>
      </c>
    </row>
    <row r="468" spans="1:16" s="196" customFormat="1" ht="60" x14ac:dyDescent="0.2">
      <c r="A468" s="4">
        <v>2023501</v>
      </c>
      <c r="B468" s="2">
        <v>7655</v>
      </c>
      <c r="C468" s="3" t="s">
        <v>25</v>
      </c>
      <c r="D468" s="191" t="s">
        <v>126</v>
      </c>
      <c r="E468" s="192">
        <v>80111600</v>
      </c>
      <c r="F468" s="191" t="s">
        <v>457</v>
      </c>
      <c r="G468" s="193">
        <v>44946</v>
      </c>
      <c r="H468" s="193">
        <v>44956</v>
      </c>
      <c r="I468" s="191">
        <v>10</v>
      </c>
      <c r="J468" s="191" t="s">
        <v>20</v>
      </c>
      <c r="K468" s="197" t="s">
        <v>21</v>
      </c>
      <c r="L468" s="191" t="s">
        <v>27</v>
      </c>
      <c r="M468" s="230">
        <f>43470000+45000000-11400000-17388000-16000000-6732500-19561500</f>
        <v>17388000</v>
      </c>
      <c r="N468" s="192" t="s">
        <v>28</v>
      </c>
      <c r="O468" s="192" t="s">
        <v>29</v>
      </c>
      <c r="P468" s="192" t="s">
        <v>24</v>
      </c>
    </row>
    <row r="469" spans="1:16" s="196" customFormat="1" ht="75" x14ac:dyDescent="0.2">
      <c r="A469" s="4">
        <v>2023502</v>
      </c>
      <c r="B469" s="2">
        <v>7658</v>
      </c>
      <c r="C469" s="3" t="s">
        <v>458</v>
      </c>
      <c r="D469" s="191" t="s">
        <v>126</v>
      </c>
      <c r="E469" s="192">
        <v>80111600</v>
      </c>
      <c r="F469" s="191" t="s">
        <v>459</v>
      </c>
      <c r="G469" s="193">
        <v>44977</v>
      </c>
      <c r="H469" s="193">
        <v>44990</v>
      </c>
      <c r="I469" s="191">
        <v>10</v>
      </c>
      <c r="J469" s="191" t="s">
        <v>20</v>
      </c>
      <c r="K469" s="197" t="s">
        <v>21</v>
      </c>
      <c r="L469" s="191" t="s">
        <v>27</v>
      </c>
      <c r="M469" s="188">
        <f>53820000-1859500-3142000-3187800-5158080-13472620</f>
        <v>27000000</v>
      </c>
      <c r="N469" s="192" t="s">
        <v>145</v>
      </c>
      <c r="O469" s="192" t="s">
        <v>146</v>
      </c>
      <c r="P469" s="192" t="s">
        <v>24</v>
      </c>
    </row>
    <row r="470" spans="1:16" s="196" customFormat="1" ht="75" x14ac:dyDescent="0.2">
      <c r="A470" s="2">
        <v>2023503</v>
      </c>
      <c r="B470" s="2">
        <v>7658</v>
      </c>
      <c r="C470" s="3" t="s">
        <v>458</v>
      </c>
      <c r="D470" s="191" t="s">
        <v>126</v>
      </c>
      <c r="E470" s="192">
        <v>80111600</v>
      </c>
      <c r="F470" s="191" t="s">
        <v>460</v>
      </c>
      <c r="G470" s="193">
        <v>44946</v>
      </c>
      <c r="H470" s="193">
        <v>44972</v>
      </c>
      <c r="I470" s="191">
        <v>2</v>
      </c>
      <c r="J470" s="191" t="s">
        <v>20</v>
      </c>
      <c r="K470" s="197" t="s">
        <v>21</v>
      </c>
      <c r="L470" s="191" t="s">
        <v>27</v>
      </c>
      <c r="M470" s="188">
        <f>17388000-2436500-3565500+7762500+3675000+4158000+10350000+5366000-31311500</f>
        <v>11386000</v>
      </c>
      <c r="N470" s="192" t="s">
        <v>145</v>
      </c>
      <c r="O470" s="192" t="s">
        <v>146</v>
      </c>
      <c r="P470" s="192" t="s">
        <v>24</v>
      </c>
    </row>
    <row r="471" spans="1:16" s="196" customFormat="1" ht="75" x14ac:dyDescent="0.2">
      <c r="A471" s="2">
        <v>2023504</v>
      </c>
      <c r="B471" s="2">
        <v>7658</v>
      </c>
      <c r="C471" s="3" t="s">
        <v>458</v>
      </c>
      <c r="D471" s="191" t="s">
        <v>126</v>
      </c>
      <c r="E471" s="192">
        <v>80111600</v>
      </c>
      <c r="F471" s="191" t="s">
        <v>461</v>
      </c>
      <c r="G471" s="193">
        <v>44963</v>
      </c>
      <c r="H471" s="193">
        <v>44972</v>
      </c>
      <c r="I471" s="191">
        <v>1.5</v>
      </c>
      <c r="J471" s="191" t="s">
        <v>20</v>
      </c>
      <c r="K471" s="197" t="s">
        <v>21</v>
      </c>
      <c r="L471" s="191" t="s">
        <v>27</v>
      </c>
      <c r="M471" s="188">
        <v>6520500</v>
      </c>
      <c r="N471" s="192" t="s">
        <v>145</v>
      </c>
      <c r="O471" s="192" t="s">
        <v>146</v>
      </c>
      <c r="P471" s="192" t="s">
        <v>24</v>
      </c>
    </row>
    <row r="472" spans="1:16" s="196" customFormat="1" ht="120" x14ac:dyDescent="0.2">
      <c r="A472" s="4">
        <v>2023505</v>
      </c>
      <c r="B472" s="2">
        <v>7658</v>
      </c>
      <c r="C472" s="3" t="s">
        <v>143</v>
      </c>
      <c r="D472" s="191" t="s">
        <v>222</v>
      </c>
      <c r="E472" s="192">
        <v>78181500</v>
      </c>
      <c r="F472" s="191" t="s">
        <v>462</v>
      </c>
      <c r="G472" s="193">
        <v>44958</v>
      </c>
      <c r="H472" s="193">
        <v>44958</v>
      </c>
      <c r="I472" s="191">
        <v>3</v>
      </c>
      <c r="J472" s="191" t="s">
        <v>160</v>
      </c>
      <c r="K472" s="197" t="s">
        <v>21</v>
      </c>
      <c r="L472" s="191" t="s">
        <v>224</v>
      </c>
      <c r="M472" s="188">
        <v>310000000</v>
      </c>
      <c r="N472" s="192" t="s">
        <v>225</v>
      </c>
      <c r="O472" s="192" t="s">
        <v>164</v>
      </c>
      <c r="P472" s="192" t="s">
        <v>365</v>
      </c>
    </row>
    <row r="473" spans="1:16" s="196" customFormat="1" ht="90" x14ac:dyDescent="0.2">
      <c r="A473" s="4">
        <v>2023506</v>
      </c>
      <c r="B473" s="2">
        <v>7658</v>
      </c>
      <c r="C473" s="3" t="s">
        <v>143</v>
      </c>
      <c r="D473" s="191" t="s">
        <v>222</v>
      </c>
      <c r="E473" s="192">
        <v>25172500</v>
      </c>
      <c r="F473" s="191" t="s">
        <v>463</v>
      </c>
      <c r="G473" s="193">
        <v>44946</v>
      </c>
      <c r="H473" s="193">
        <v>44946</v>
      </c>
      <c r="I473" s="191">
        <v>12</v>
      </c>
      <c r="J473" s="191" t="s">
        <v>102</v>
      </c>
      <c r="K473" s="197" t="s">
        <v>21</v>
      </c>
      <c r="L473" s="191" t="s">
        <v>162</v>
      </c>
      <c r="M473" s="188">
        <v>20000000</v>
      </c>
      <c r="N473" s="192" t="s">
        <v>225</v>
      </c>
      <c r="O473" s="192" t="s">
        <v>164</v>
      </c>
      <c r="P473" s="192" t="s">
        <v>365</v>
      </c>
    </row>
    <row r="474" spans="1:16" s="196" customFormat="1" ht="90" x14ac:dyDescent="0.2">
      <c r="A474" s="4">
        <v>2023507</v>
      </c>
      <c r="B474" s="2">
        <v>7658</v>
      </c>
      <c r="C474" s="3" t="s">
        <v>143</v>
      </c>
      <c r="D474" s="198" t="s">
        <v>222</v>
      </c>
      <c r="E474" s="198">
        <v>80111600</v>
      </c>
      <c r="F474" s="198" t="s">
        <v>464</v>
      </c>
      <c r="G474" s="199">
        <v>44941</v>
      </c>
      <c r="H474" s="199">
        <v>44941</v>
      </c>
      <c r="I474" s="191">
        <v>11</v>
      </c>
      <c r="J474" s="191" t="s">
        <v>20</v>
      </c>
      <c r="K474" s="197" t="s">
        <v>21</v>
      </c>
      <c r="L474" s="191" t="s">
        <v>27</v>
      </c>
      <c r="M474" s="188">
        <f>((2900000*11)+2940960)-22171520</f>
        <v>12669440</v>
      </c>
      <c r="N474" s="211" t="s">
        <v>225</v>
      </c>
      <c r="O474" s="211" t="s">
        <v>164</v>
      </c>
      <c r="P474" s="192" t="s">
        <v>24</v>
      </c>
    </row>
    <row r="475" spans="1:16" s="196" customFormat="1" ht="45" x14ac:dyDescent="0.2">
      <c r="A475" s="4">
        <v>2023508</v>
      </c>
      <c r="B475" s="2" t="s">
        <v>17</v>
      </c>
      <c r="C475" s="2" t="s">
        <v>17</v>
      </c>
      <c r="D475" s="198" t="s">
        <v>48</v>
      </c>
      <c r="E475" s="198">
        <v>80111600</v>
      </c>
      <c r="F475" s="198" t="s">
        <v>59</v>
      </c>
      <c r="G475" s="199">
        <v>44946</v>
      </c>
      <c r="H475" s="199">
        <v>44949</v>
      </c>
      <c r="I475" s="191">
        <v>5</v>
      </c>
      <c r="J475" s="191" t="s">
        <v>20</v>
      </c>
      <c r="K475" s="197" t="s">
        <v>23</v>
      </c>
      <c r="L475" s="191" t="s">
        <v>23</v>
      </c>
      <c r="M475" s="188">
        <v>30000000</v>
      </c>
      <c r="N475" s="211" t="s">
        <v>23</v>
      </c>
      <c r="O475" s="211" t="s">
        <v>23</v>
      </c>
      <c r="P475" s="192" t="s">
        <v>365</v>
      </c>
    </row>
    <row r="476" spans="1:16" s="196" customFormat="1" ht="105" x14ac:dyDescent="0.2">
      <c r="A476" s="2">
        <v>2023509</v>
      </c>
      <c r="B476" s="2">
        <v>7655</v>
      </c>
      <c r="C476" s="2" t="s">
        <v>25</v>
      </c>
      <c r="D476" s="198" t="s">
        <v>18</v>
      </c>
      <c r="E476" s="198">
        <v>80111600</v>
      </c>
      <c r="F476" s="198" t="s">
        <v>465</v>
      </c>
      <c r="G476" s="193">
        <v>44927</v>
      </c>
      <c r="H476" s="193">
        <v>44941</v>
      </c>
      <c r="I476" s="191">
        <v>10</v>
      </c>
      <c r="J476" s="191" t="s">
        <v>20</v>
      </c>
      <c r="K476" s="197" t="s">
        <v>21</v>
      </c>
      <c r="L476" s="191" t="s">
        <v>27</v>
      </c>
      <c r="M476" s="230">
        <f>12000000+48000000</f>
        <v>60000000</v>
      </c>
      <c r="N476" s="211" t="s">
        <v>28</v>
      </c>
      <c r="O476" s="198" t="s">
        <v>29</v>
      </c>
      <c r="P476" s="192" t="s">
        <v>24</v>
      </c>
    </row>
    <row r="477" spans="1:16" s="196" customFormat="1" ht="90" x14ac:dyDescent="0.2">
      <c r="A477" s="2">
        <v>2023510</v>
      </c>
      <c r="B477" s="2">
        <v>7655</v>
      </c>
      <c r="C477" s="3" t="s">
        <v>25</v>
      </c>
      <c r="D477" s="191" t="s">
        <v>45</v>
      </c>
      <c r="E477" s="192">
        <v>80111600</v>
      </c>
      <c r="F477" s="191" t="s">
        <v>466</v>
      </c>
      <c r="G477" s="193">
        <v>44967</v>
      </c>
      <c r="H477" s="193">
        <v>44977</v>
      </c>
      <c r="I477" s="191">
        <v>10</v>
      </c>
      <c r="J477" s="191" t="s">
        <v>20</v>
      </c>
      <c r="K477" s="197" t="s">
        <v>21</v>
      </c>
      <c r="L477" s="191" t="s">
        <v>27</v>
      </c>
      <c r="M477" s="230">
        <f>40000000+45000000-45000000+45000000</f>
        <v>85000000</v>
      </c>
      <c r="N477" s="192" t="s">
        <v>47</v>
      </c>
      <c r="O477" s="192" t="s">
        <v>29</v>
      </c>
      <c r="P477" s="192" t="s">
        <v>24</v>
      </c>
    </row>
    <row r="478" spans="1:16" s="196" customFormat="1" ht="45" x14ac:dyDescent="0.2">
      <c r="A478" s="2">
        <v>2023511</v>
      </c>
      <c r="B478" s="2" t="s">
        <v>17</v>
      </c>
      <c r="C478" s="3" t="s">
        <v>17</v>
      </c>
      <c r="D478" s="191" t="s">
        <v>320</v>
      </c>
      <c r="E478" s="192" t="s">
        <v>410</v>
      </c>
      <c r="F478" s="191" t="s">
        <v>467</v>
      </c>
      <c r="G478" s="193">
        <v>44957</v>
      </c>
      <c r="H478" s="193">
        <v>44967</v>
      </c>
      <c r="I478" s="191">
        <v>3</v>
      </c>
      <c r="J478" s="191" t="s">
        <v>20</v>
      </c>
      <c r="K478" s="197" t="s">
        <v>21</v>
      </c>
      <c r="L478" s="191" t="s">
        <v>23</v>
      </c>
      <c r="M478" s="188">
        <v>30000000</v>
      </c>
      <c r="N478" s="192" t="s">
        <v>23</v>
      </c>
      <c r="O478" s="192" t="s">
        <v>23</v>
      </c>
      <c r="P478" s="192" t="s">
        <v>365</v>
      </c>
    </row>
    <row r="479" spans="1:16" s="196" customFormat="1" ht="75" x14ac:dyDescent="0.2">
      <c r="A479" s="2">
        <v>2023512</v>
      </c>
      <c r="B479" s="2">
        <v>7655</v>
      </c>
      <c r="C479" s="3" t="s">
        <v>25</v>
      </c>
      <c r="D479" s="191" t="s">
        <v>320</v>
      </c>
      <c r="E479" s="192">
        <v>80111600</v>
      </c>
      <c r="F479" s="191" t="s">
        <v>468</v>
      </c>
      <c r="G479" s="193">
        <v>44952</v>
      </c>
      <c r="H479" s="193">
        <v>44952</v>
      </c>
      <c r="I479" s="191">
        <v>2</v>
      </c>
      <c r="J479" s="191" t="s">
        <v>20</v>
      </c>
      <c r="K479" s="197" t="s">
        <v>21</v>
      </c>
      <c r="L479" s="191" t="s">
        <v>51</v>
      </c>
      <c r="M479" s="230">
        <f>9000000*2</f>
        <v>18000000</v>
      </c>
      <c r="N479" s="192" t="s">
        <v>28</v>
      </c>
      <c r="O479" s="192" t="s">
        <v>29</v>
      </c>
      <c r="P479" s="192" t="s">
        <v>365</v>
      </c>
    </row>
    <row r="480" spans="1:16" s="196" customFormat="1" ht="60" x14ac:dyDescent="0.2">
      <c r="A480" s="2">
        <v>2023513</v>
      </c>
      <c r="B480" s="2">
        <v>7655</v>
      </c>
      <c r="C480" s="3" t="s">
        <v>25</v>
      </c>
      <c r="D480" s="191" t="s">
        <v>320</v>
      </c>
      <c r="E480" s="192">
        <v>80111600</v>
      </c>
      <c r="F480" s="191" t="s">
        <v>469</v>
      </c>
      <c r="G480" s="193">
        <v>44986</v>
      </c>
      <c r="H480" s="193">
        <v>45000</v>
      </c>
      <c r="I480" s="191">
        <v>6</v>
      </c>
      <c r="J480" s="191" t="s">
        <v>20</v>
      </c>
      <c r="K480" s="197" t="s">
        <v>21</v>
      </c>
      <c r="L480" s="191" t="s">
        <v>27</v>
      </c>
      <c r="M480" s="230">
        <f>(5000000*9)-15000000</f>
        <v>30000000</v>
      </c>
      <c r="N480" s="192" t="s">
        <v>28</v>
      </c>
      <c r="O480" s="192" t="s">
        <v>29</v>
      </c>
      <c r="P480" s="192" t="s">
        <v>24</v>
      </c>
    </row>
    <row r="481" spans="1:16" s="196" customFormat="1" ht="60" x14ac:dyDescent="0.2">
      <c r="A481" s="2">
        <v>2023514</v>
      </c>
      <c r="B481" s="2">
        <v>7655</v>
      </c>
      <c r="C481" s="3" t="s">
        <v>25</v>
      </c>
      <c r="D481" s="191" t="s">
        <v>320</v>
      </c>
      <c r="E481" s="192">
        <v>80111600</v>
      </c>
      <c r="F481" s="191" t="s">
        <v>335</v>
      </c>
      <c r="G481" s="193">
        <v>44986</v>
      </c>
      <c r="H481" s="193">
        <v>45000</v>
      </c>
      <c r="I481" s="191">
        <v>9</v>
      </c>
      <c r="J481" s="191" t="s">
        <v>20</v>
      </c>
      <c r="K481" s="197" t="s">
        <v>21</v>
      </c>
      <c r="L481" s="191" t="s">
        <v>27</v>
      </c>
      <c r="M481" s="230">
        <f>(2450000*10)-2450000</f>
        <v>22050000</v>
      </c>
      <c r="N481" s="192" t="s">
        <v>28</v>
      </c>
      <c r="O481" s="192" t="s">
        <v>29</v>
      </c>
      <c r="P481" s="192" t="s">
        <v>24</v>
      </c>
    </row>
    <row r="482" spans="1:16" s="196" customFormat="1" ht="60" x14ac:dyDescent="0.2">
      <c r="A482" s="2">
        <v>2023515</v>
      </c>
      <c r="B482" s="2">
        <v>7655</v>
      </c>
      <c r="C482" s="3" t="s">
        <v>25</v>
      </c>
      <c r="D482" s="191" t="s">
        <v>320</v>
      </c>
      <c r="E482" s="192">
        <v>80111600</v>
      </c>
      <c r="F482" s="191" t="s">
        <v>431</v>
      </c>
      <c r="G482" s="193">
        <v>44986</v>
      </c>
      <c r="H482" s="193">
        <v>45000</v>
      </c>
      <c r="I482" s="191">
        <v>6</v>
      </c>
      <c r="J482" s="191" t="s">
        <v>20</v>
      </c>
      <c r="K482" s="197" t="s">
        <v>21</v>
      </c>
      <c r="L482" s="191" t="s">
        <v>27</v>
      </c>
      <c r="M482" s="230">
        <f>(2450000*10)-9800000</f>
        <v>14700000</v>
      </c>
      <c r="N482" s="192" t="s">
        <v>28</v>
      </c>
      <c r="O482" s="192" t="s">
        <v>29</v>
      </c>
      <c r="P482" s="192" t="s">
        <v>24</v>
      </c>
    </row>
    <row r="483" spans="1:16" s="196" customFormat="1" ht="60" x14ac:dyDescent="0.2">
      <c r="A483" s="2">
        <v>2023516</v>
      </c>
      <c r="B483" s="2">
        <v>7655</v>
      </c>
      <c r="C483" s="3" t="s">
        <v>25</v>
      </c>
      <c r="D483" s="191" t="s">
        <v>320</v>
      </c>
      <c r="E483" s="192">
        <v>80111600</v>
      </c>
      <c r="F483" s="191" t="s">
        <v>335</v>
      </c>
      <c r="G483" s="193">
        <v>44986</v>
      </c>
      <c r="H483" s="193">
        <v>45000</v>
      </c>
      <c r="I483" s="191">
        <v>10</v>
      </c>
      <c r="J483" s="191" t="s">
        <v>20</v>
      </c>
      <c r="K483" s="197" t="s">
        <v>21</v>
      </c>
      <c r="L483" s="191" t="s">
        <v>27</v>
      </c>
      <c r="M483" s="230">
        <f>2450000*10</f>
        <v>24500000</v>
      </c>
      <c r="N483" s="192" t="s">
        <v>28</v>
      </c>
      <c r="O483" s="192" t="s">
        <v>29</v>
      </c>
      <c r="P483" s="192" t="s">
        <v>24</v>
      </c>
    </row>
    <row r="484" spans="1:16" s="196" customFormat="1" ht="60" x14ac:dyDescent="0.2">
      <c r="A484" s="4">
        <v>2023517</v>
      </c>
      <c r="B484" s="2" t="s">
        <v>17</v>
      </c>
      <c r="C484" s="3" t="s">
        <v>17</v>
      </c>
      <c r="D484" s="191" t="s">
        <v>320</v>
      </c>
      <c r="E484" s="192">
        <v>80111600</v>
      </c>
      <c r="F484" s="191" t="s">
        <v>470</v>
      </c>
      <c r="G484" s="193">
        <v>44967</v>
      </c>
      <c r="H484" s="193">
        <v>44958</v>
      </c>
      <c r="I484" s="191">
        <v>4</v>
      </c>
      <c r="J484" s="191" t="s">
        <v>20</v>
      </c>
      <c r="K484" s="197" t="s">
        <v>21</v>
      </c>
      <c r="L484" s="191" t="s">
        <v>23</v>
      </c>
      <c r="M484" s="188">
        <f>8000000*4</f>
        <v>32000000</v>
      </c>
      <c r="N484" s="192" t="s">
        <v>23</v>
      </c>
      <c r="O484" s="192" t="s">
        <v>23</v>
      </c>
      <c r="P484" s="192" t="s">
        <v>24</v>
      </c>
    </row>
    <row r="485" spans="1:16" s="196" customFormat="1" ht="90" x14ac:dyDescent="0.2">
      <c r="A485" s="2">
        <v>2023519</v>
      </c>
      <c r="B485" s="2">
        <v>7658</v>
      </c>
      <c r="C485" s="3" t="s">
        <v>143</v>
      </c>
      <c r="D485" s="191" t="s">
        <v>126</v>
      </c>
      <c r="E485" s="198">
        <v>80111600</v>
      </c>
      <c r="F485" s="198" t="s">
        <v>471</v>
      </c>
      <c r="G485" s="199">
        <v>44970</v>
      </c>
      <c r="H485" s="199">
        <v>44974</v>
      </c>
      <c r="I485" s="191">
        <v>0.5</v>
      </c>
      <c r="J485" s="191" t="s">
        <v>20</v>
      </c>
      <c r="K485" s="197" t="s">
        <v>21</v>
      </c>
      <c r="L485" s="191" t="s">
        <v>27</v>
      </c>
      <c r="M485" s="188">
        <v>3638000</v>
      </c>
      <c r="N485" s="192" t="s">
        <v>145</v>
      </c>
      <c r="O485" s="192" t="s">
        <v>146</v>
      </c>
      <c r="P485" s="192" t="s">
        <v>365</v>
      </c>
    </row>
    <row r="486" spans="1:16" s="196" customFormat="1" ht="60" x14ac:dyDescent="0.2">
      <c r="A486" s="2">
        <v>2023520</v>
      </c>
      <c r="B486" s="2" t="s">
        <v>17</v>
      </c>
      <c r="C486" s="3" t="s">
        <v>17</v>
      </c>
      <c r="D486" s="191" t="s">
        <v>126</v>
      </c>
      <c r="E486" s="198" t="s">
        <v>472</v>
      </c>
      <c r="F486" s="198" t="s">
        <v>473</v>
      </c>
      <c r="G486" s="199">
        <v>44956</v>
      </c>
      <c r="H486" s="199">
        <v>44963</v>
      </c>
      <c r="I486" s="191">
        <v>6</v>
      </c>
      <c r="J486" s="191" t="s">
        <v>20</v>
      </c>
      <c r="K486" s="197" t="s">
        <v>21</v>
      </c>
      <c r="L486" s="191" t="s">
        <v>23</v>
      </c>
      <c r="M486" s="188">
        <f>14700000+1900000+4225000-11025000</f>
        <v>9800000</v>
      </c>
      <c r="N486" s="192" t="s">
        <v>23</v>
      </c>
      <c r="O486" s="192" t="s">
        <v>23</v>
      </c>
      <c r="P486" s="192" t="s">
        <v>24</v>
      </c>
    </row>
    <row r="487" spans="1:16" s="196" customFormat="1" ht="75" x14ac:dyDescent="0.2">
      <c r="A487" s="2">
        <v>2023521</v>
      </c>
      <c r="B487" s="2">
        <v>7658</v>
      </c>
      <c r="C487" s="3" t="s">
        <v>143</v>
      </c>
      <c r="D487" s="191" t="s">
        <v>126</v>
      </c>
      <c r="E487" s="198">
        <v>80111600</v>
      </c>
      <c r="F487" s="198" t="s">
        <v>474</v>
      </c>
      <c r="G487" s="199">
        <v>44963</v>
      </c>
      <c r="H487" s="199">
        <v>44986</v>
      </c>
      <c r="I487" s="191">
        <v>4</v>
      </c>
      <c r="J487" s="191" t="s">
        <v>20</v>
      </c>
      <c r="K487" s="197" t="s">
        <v>21</v>
      </c>
      <c r="L487" s="191" t="s">
        <v>27</v>
      </c>
      <c r="M487" s="188">
        <f>20700000+4259000+12937500+3503500-20700000</f>
        <v>20700000</v>
      </c>
      <c r="N487" s="192" t="s">
        <v>145</v>
      </c>
      <c r="O487" s="192" t="s">
        <v>146</v>
      </c>
      <c r="P487" s="192" t="s">
        <v>24</v>
      </c>
    </row>
    <row r="488" spans="1:16" s="212" customFormat="1" ht="75" x14ac:dyDescent="0.25">
      <c r="A488" s="4">
        <v>2023522</v>
      </c>
      <c r="B488" s="2">
        <v>7637</v>
      </c>
      <c r="C488" s="3" t="s">
        <v>74</v>
      </c>
      <c r="D488" s="191" t="s">
        <v>18</v>
      </c>
      <c r="E488" s="192">
        <v>80111600</v>
      </c>
      <c r="F488" s="191" t="s">
        <v>475</v>
      </c>
      <c r="G488" s="193">
        <v>44927</v>
      </c>
      <c r="H488" s="193">
        <v>44941</v>
      </c>
      <c r="I488" s="191">
        <v>4</v>
      </c>
      <c r="J488" s="191" t="s">
        <v>20</v>
      </c>
      <c r="K488" s="197" t="s">
        <v>21</v>
      </c>
      <c r="L488" s="191" t="s">
        <v>27</v>
      </c>
      <c r="M488" s="188">
        <v>24000000</v>
      </c>
      <c r="N488" s="192" t="s">
        <v>95</v>
      </c>
      <c r="O488" s="192" t="s">
        <v>77</v>
      </c>
      <c r="P488" s="192" t="s">
        <v>24</v>
      </c>
    </row>
    <row r="489" spans="1:16" s="212" customFormat="1" ht="90" x14ac:dyDescent="0.25">
      <c r="A489" s="2">
        <v>2023523</v>
      </c>
      <c r="B489" s="2">
        <v>7658</v>
      </c>
      <c r="C489" s="3" t="s">
        <v>143</v>
      </c>
      <c r="D489" s="198" t="s">
        <v>222</v>
      </c>
      <c r="E489" s="198">
        <v>80111600</v>
      </c>
      <c r="F489" s="198" t="s">
        <v>476</v>
      </c>
      <c r="G489" s="199">
        <v>44972</v>
      </c>
      <c r="H489" s="199">
        <v>44977</v>
      </c>
      <c r="I489" s="191">
        <v>4</v>
      </c>
      <c r="J489" s="191" t="s">
        <v>20</v>
      </c>
      <c r="K489" s="197" t="s">
        <v>21</v>
      </c>
      <c r="L489" s="191" t="s">
        <v>27</v>
      </c>
      <c r="M489" s="188">
        <v>9800000</v>
      </c>
      <c r="N489" s="211" t="s">
        <v>225</v>
      </c>
      <c r="O489" s="211" t="s">
        <v>164</v>
      </c>
      <c r="P489" s="192" t="s">
        <v>24</v>
      </c>
    </row>
    <row r="490" spans="1:16" s="196" customFormat="1" ht="90" x14ac:dyDescent="0.2">
      <c r="A490" s="4">
        <v>2023524</v>
      </c>
      <c r="B490" s="2">
        <v>7658</v>
      </c>
      <c r="C490" s="3" t="s">
        <v>143</v>
      </c>
      <c r="D490" s="198" t="s">
        <v>222</v>
      </c>
      <c r="E490" s="198">
        <v>80111600</v>
      </c>
      <c r="F490" s="198" t="s">
        <v>477</v>
      </c>
      <c r="G490" s="199">
        <v>44972</v>
      </c>
      <c r="H490" s="199">
        <v>44977</v>
      </c>
      <c r="I490" s="191">
        <v>4</v>
      </c>
      <c r="J490" s="191" t="s">
        <v>20</v>
      </c>
      <c r="K490" s="197" t="s">
        <v>21</v>
      </c>
      <c r="L490" s="191" t="s">
        <v>27</v>
      </c>
      <c r="M490" s="188">
        <v>13400000</v>
      </c>
      <c r="N490" s="211" t="s">
        <v>225</v>
      </c>
      <c r="O490" s="211" t="s">
        <v>164</v>
      </c>
      <c r="P490" s="192" t="s">
        <v>24</v>
      </c>
    </row>
    <row r="491" spans="1:16" s="196" customFormat="1" ht="60" x14ac:dyDescent="0.2">
      <c r="A491" s="2">
        <v>2023526</v>
      </c>
      <c r="B491" s="2">
        <v>7655</v>
      </c>
      <c r="C491" s="118" t="s">
        <v>25</v>
      </c>
      <c r="D491" s="191" t="s">
        <v>282</v>
      </c>
      <c r="E491" s="198">
        <v>80111600</v>
      </c>
      <c r="F491" s="191" t="s">
        <v>299</v>
      </c>
      <c r="G491" s="213">
        <v>45094</v>
      </c>
      <c r="H491" s="213">
        <v>45094</v>
      </c>
      <c r="I491" s="191">
        <v>5.8</v>
      </c>
      <c r="J491" s="191" t="s">
        <v>20</v>
      </c>
      <c r="K491" s="197" t="s">
        <v>21</v>
      </c>
      <c r="L491" s="191" t="s">
        <v>27</v>
      </c>
      <c r="M491" s="230">
        <f>43500000+13750000</f>
        <v>57250000</v>
      </c>
      <c r="N491" s="198" t="s">
        <v>28</v>
      </c>
      <c r="O491" s="198" t="s">
        <v>29</v>
      </c>
      <c r="P491" s="192" t="s">
        <v>24</v>
      </c>
    </row>
    <row r="492" spans="1:16" s="196" customFormat="1" ht="60" x14ac:dyDescent="0.2">
      <c r="A492" s="2">
        <v>2023527</v>
      </c>
      <c r="B492" s="2">
        <v>7655</v>
      </c>
      <c r="C492" s="118" t="s">
        <v>25</v>
      </c>
      <c r="D492" s="191" t="s">
        <v>282</v>
      </c>
      <c r="E492" s="198">
        <v>80111600</v>
      </c>
      <c r="F492" s="191" t="s">
        <v>478</v>
      </c>
      <c r="G492" s="213">
        <v>44973</v>
      </c>
      <c r="H492" s="213">
        <v>44973</v>
      </c>
      <c r="I492" s="191">
        <v>7</v>
      </c>
      <c r="J492" s="191" t="s">
        <v>20</v>
      </c>
      <c r="K492" s="197" t="s">
        <v>21</v>
      </c>
      <c r="L492" s="191" t="s">
        <v>27</v>
      </c>
      <c r="M492" s="230">
        <f>32000000-4000000-4000000</f>
        <v>24000000</v>
      </c>
      <c r="N492" s="198" t="s">
        <v>28</v>
      </c>
      <c r="O492" s="198" t="s">
        <v>29</v>
      </c>
      <c r="P492" s="192" t="s">
        <v>24</v>
      </c>
    </row>
    <row r="493" spans="1:16" s="196" customFormat="1" ht="60" x14ac:dyDescent="0.2">
      <c r="A493" s="4">
        <v>2023528</v>
      </c>
      <c r="B493" s="2">
        <v>7655</v>
      </c>
      <c r="C493" s="118" t="s">
        <v>25</v>
      </c>
      <c r="D493" s="191" t="s">
        <v>282</v>
      </c>
      <c r="E493" s="198">
        <v>80111600</v>
      </c>
      <c r="F493" s="191" t="s">
        <v>478</v>
      </c>
      <c r="G493" s="213">
        <v>45094</v>
      </c>
      <c r="H493" s="213">
        <v>45094</v>
      </c>
      <c r="I493" s="191">
        <v>3</v>
      </c>
      <c r="J493" s="191" t="s">
        <v>20</v>
      </c>
      <c r="K493" s="197" t="s">
        <v>21</v>
      </c>
      <c r="L493" s="191" t="s">
        <v>27</v>
      </c>
      <c r="M493" s="230">
        <f>42085200+4000000+4000000-218200</f>
        <v>49867000</v>
      </c>
      <c r="N493" s="198" t="s">
        <v>28</v>
      </c>
      <c r="O493" s="198" t="s">
        <v>29</v>
      </c>
      <c r="P493" s="192" t="s">
        <v>24</v>
      </c>
    </row>
    <row r="494" spans="1:16" s="196" customFormat="1" ht="75" x14ac:dyDescent="0.2">
      <c r="A494" s="4">
        <v>2023529</v>
      </c>
      <c r="B494" s="2">
        <v>7658</v>
      </c>
      <c r="C494" s="118" t="s">
        <v>458</v>
      </c>
      <c r="D494" s="191" t="s">
        <v>282</v>
      </c>
      <c r="E494" s="198">
        <v>80111600</v>
      </c>
      <c r="F494" s="198" t="s">
        <v>479</v>
      </c>
      <c r="G494" s="213">
        <v>44973</v>
      </c>
      <c r="H494" s="213">
        <v>44964</v>
      </c>
      <c r="I494" s="191">
        <v>4</v>
      </c>
      <c r="J494" s="191" t="s">
        <v>20</v>
      </c>
      <c r="K494" s="197" t="s">
        <v>21</v>
      </c>
      <c r="L494" s="191" t="s">
        <v>27</v>
      </c>
      <c r="M494" s="188">
        <f>18000000-7500000</f>
        <v>10500000</v>
      </c>
      <c r="N494" s="192" t="s">
        <v>286</v>
      </c>
      <c r="O494" s="198" t="s">
        <v>287</v>
      </c>
      <c r="P494" s="192" t="s">
        <v>24</v>
      </c>
    </row>
    <row r="495" spans="1:16" s="196" customFormat="1" ht="75" x14ac:dyDescent="0.2">
      <c r="A495" s="2">
        <v>2023530</v>
      </c>
      <c r="B495" s="2">
        <v>7658</v>
      </c>
      <c r="C495" s="118" t="s">
        <v>458</v>
      </c>
      <c r="D495" s="191" t="s">
        <v>282</v>
      </c>
      <c r="E495" s="198">
        <v>80111600</v>
      </c>
      <c r="F495" s="198" t="s">
        <v>479</v>
      </c>
      <c r="G495" s="213">
        <v>45093</v>
      </c>
      <c r="H495" s="213">
        <v>45093</v>
      </c>
      <c r="I495" s="191">
        <v>6.3</v>
      </c>
      <c r="J495" s="191" t="s">
        <v>20</v>
      </c>
      <c r="K495" s="197" t="s">
        <v>21</v>
      </c>
      <c r="L495" s="191" t="s">
        <v>27</v>
      </c>
      <c r="M495" s="188">
        <f>27000000-3900000+700000+700000</f>
        <v>24500000</v>
      </c>
      <c r="N495" s="192" t="s">
        <v>286</v>
      </c>
      <c r="O495" s="198" t="s">
        <v>287</v>
      </c>
      <c r="P495" s="192" t="s">
        <v>24</v>
      </c>
    </row>
    <row r="496" spans="1:16" s="196" customFormat="1" ht="75" x14ac:dyDescent="0.2">
      <c r="A496" s="2">
        <v>2023531</v>
      </c>
      <c r="B496" s="2">
        <v>7658</v>
      </c>
      <c r="C496" s="118" t="s">
        <v>143</v>
      </c>
      <c r="D496" s="191" t="s">
        <v>282</v>
      </c>
      <c r="E496" s="198">
        <v>80111600</v>
      </c>
      <c r="F496" s="198" t="s">
        <v>480</v>
      </c>
      <c r="G496" s="213">
        <v>44973</v>
      </c>
      <c r="H496" s="213">
        <v>44973</v>
      </c>
      <c r="I496" s="191">
        <v>4</v>
      </c>
      <c r="J496" s="191" t="s">
        <v>20</v>
      </c>
      <c r="K496" s="197" t="s">
        <v>21</v>
      </c>
      <c r="L496" s="191" t="s">
        <v>27</v>
      </c>
      <c r="M496" s="188">
        <f>9800000-9800000</f>
        <v>0</v>
      </c>
      <c r="N496" s="192" t="s">
        <v>286</v>
      </c>
      <c r="O496" s="198" t="s">
        <v>287</v>
      </c>
      <c r="P496" s="192" t="s">
        <v>24</v>
      </c>
    </row>
    <row r="497" spans="1:16" s="196" customFormat="1" ht="75" x14ac:dyDescent="0.2">
      <c r="A497" s="4">
        <v>2023532</v>
      </c>
      <c r="B497" s="2">
        <v>7658</v>
      </c>
      <c r="C497" s="118" t="s">
        <v>458</v>
      </c>
      <c r="D497" s="191" t="s">
        <v>282</v>
      </c>
      <c r="E497" s="198">
        <v>80111600</v>
      </c>
      <c r="F497" s="191" t="s">
        <v>480</v>
      </c>
      <c r="G497" s="213">
        <v>44973</v>
      </c>
      <c r="H497" s="213">
        <v>44973</v>
      </c>
      <c r="I497" s="191">
        <v>7</v>
      </c>
      <c r="J497" s="191" t="s">
        <v>20</v>
      </c>
      <c r="K497" s="197" t="s">
        <v>21</v>
      </c>
      <c r="L497" s="191" t="s">
        <v>27</v>
      </c>
      <c r="M497" s="188">
        <f>14700000-7800000-6900000</f>
        <v>0</v>
      </c>
      <c r="N497" s="192" t="s">
        <v>286</v>
      </c>
      <c r="O497" s="198" t="s">
        <v>287</v>
      </c>
      <c r="P497" s="192" t="s">
        <v>24</v>
      </c>
    </row>
    <row r="498" spans="1:16" s="196" customFormat="1" ht="75" x14ac:dyDescent="0.2">
      <c r="A498" s="4">
        <v>2023533</v>
      </c>
      <c r="B498" s="2">
        <v>7658</v>
      </c>
      <c r="C498" s="118" t="s">
        <v>143</v>
      </c>
      <c r="D498" s="191" t="s">
        <v>282</v>
      </c>
      <c r="E498" s="198">
        <v>80111600</v>
      </c>
      <c r="F498" s="198" t="s">
        <v>316</v>
      </c>
      <c r="G498" s="213">
        <v>44973</v>
      </c>
      <c r="H498" s="213">
        <v>44973</v>
      </c>
      <c r="I498" s="191">
        <v>2</v>
      </c>
      <c r="J498" s="191" t="s">
        <v>20</v>
      </c>
      <c r="K498" s="197" t="s">
        <v>21</v>
      </c>
      <c r="L498" s="191" t="s">
        <v>27</v>
      </c>
      <c r="M498" s="188">
        <f>18000000-3750000-750000</f>
        <v>13500000</v>
      </c>
      <c r="N498" s="192" t="s">
        <v>286</v>
      </c>
      <c r="O498" s="198" t="s">
        <v>287</v>
      </c>
      <c r="P498" s="192" t="s">
        <v>24</v>
      </c>
    </row>
    <row r="499" spans="1:16" s="196" customFormat="1" ht="75" x14ac:dyDescent="0.2">
      <c r="A499" s="2">
        <v>2023534</v>
      </c>
      <c r="B499" s="2">
        <v>7658</v>
      </c>
      <c r="C499" s="118" t="s">
        <v>458</v>
      </c>
      <c r="D499" s="191" t="s">
        <v>282</v>
      </c>
      <c r="E499" s="198">
        <v>80111600</v>
      </c>
      <c r="F499" s="191" t="s">
        <v>316</v>
      </c>
      <c r="G499" s="213">
        <v>44973</v>
      </c>
      <c r="H499" s="213">
        <v>44973</v>
      </c>
      <c r="I499" s="191">
        <v>4</v>
      </c>
      <c r="J499" s="191" t="s">
        <v>20</v>
      </c>
      <c r="K499" s="197" t="s">
        <v>21</v>
      </c>
      <c r="L499" s="191" t="s">
        <v>27</v>
      </c>
      <c r="M499" s="188">
        <f>18000000+5158080-58080</f>
        <v>23100000</v>
      </c>
      <c r="N499" s="192" t="s">
        <v>286</v>
      </c>
      <c r="O499" s="198" t="s">
        <v>287</v>
      </c>
      <c r="P499" s="192" t="s">
        <v>24</v>
      </c>
    </row>
    <row r="500" spans="1:16" s="196" customFormat="1" ht="75" x14ac:dyDescent="0.2">
      <c r="A500" s="2">
        <v>2023535</v>
      </c>
      <c r="B500" s="2">
        <v>7658</v>
      </c>
      <c r="C500" s="118" t="s">
        <v>143</v>
      </c>
      <c r="D500" s="191" t="s">
        <v>282</v>
      </c>
      <c r="E500" s="198">
        <v>80111600</v>
      </c>
      <c r="F500" s="198" t="s">
        <v>300</v>
      </c>
      <c r="G500" s="213">
        <v>45094</v>
      </c>
      <c r="H500" s="213">
        <v>45094</v>
      </c>
      <c r="I500" s="191">
        <v>6</v>
      </c>
      <c r="J500" s="191" t="s">
        <v>20</v>
      </c>
      <c r="K500" s="197" t="s">
        <v>21</v>
      </c>
      <c r="L500" s="191" t="s">
        <v>27</v>
      </c>
      <c r="M500" s="188">
        <v>25200000</v>
      </c>
      <c r="N500" s="192" t="s">
        <v>286</v>
      </c>
      <c r="O500" s="198" t="s">
        <v>287</v>
      </c>
      <c r="P500" s="192" t="s">
        <v>24</v>
      </c>
    </row>
    <row r="501" spans="1:16" s="196" customFormat="1" ht="75" x14ac:dyDescent="0.2">
      <c r="A501" s="4">
        <v>2023536</v>
      </c>
      <c r="B501" s="2">
        <v>7658</v>
      </c>
      <c r="C501" s="118" t="s">
        <v>143</v>
      </c>
      <c r="D501" s="191" t="s">
        <v>282</v>
      </c>
      <c r="E501" s="198">
        <v>80111600</v>
      </c>
      <c r="F501" s="198" t="s">
        <v>304</v>
      </c>
      <c r="G501" s="213">
        <v>45094</v>
      </c>
      <c r="H501" s="213">
        <v>45094</v>
      </c>
      <c r="I501" s="191">
        <v>6</v>
      </c>
      <c r="J501" s="191" t="s">
        <v>20</v>
      </c>
      <c r="K501" s="197" t="s">
        <v>21</v>
      </c>
      <c r="L501" s="191" t="s">
        <v>27</v>
      </c>
      <c r="M501" s="188">
        <v>23100000</v>
      </c>
      <c r="N501" s="192" t="s">
        <v>286</v>
      </c>
      <c r="O501" s="198" t="s">
        <v>287</v>
      </c>
      <c r="P501" s="192" t="s">
        <v>24</v>
      </c>
    </row>
    <row r="502" spans="1:16" s="196" customFormat="1" ht="75" x14ac:dyDescent="0.2">
      <c r="A502" s="4">
        <v>2023537</v>
      </c>
      <c r="B502" s="2">
        <v>7658</v>
      </c>
      <c r="C502" s="118" t="s">
        <v>143</v>
      </c>
      <c r="D502" s="191" t="s">
        <v>282</v>
      </c>
      <c r="E502" s="198">
        <v>80111600</v>
      </c>
      <c r="F502" s="198" t="s">
        <v>312</v>
      </c>
      <c r="G502" s="213">
        <v>45094</v>
      </c>
      <c r="H502" s="213">
        <v>45094</v>
      </c>
      <c r="I502" s="191">
        <v>3</v>
      </c>
      <c r="J502" s="191" t="s">
        <v>20</v>
      </c>
      <c r="K502" s="197" t="s">
        <v>21</v>
      </c>
      <c r="L502" s="191" t="s">
        <v>27</v>
      </c>
      <c r="M502" s="188">
        <f>36000000+6000000</f>
        <v>42000000</v>
      </c>
      <c r="N502" s="192" t="s">
        <v>286</v>
      </c>
      <c r="O502" s="198" t="s">
        <v>287</v>
      </c>
      <c r="P502" s="192" t="s">
        <v>24</v>
      </c>
    </row>
    <row r="503" spans="1:16" s="196" customFormat="1" ht="75" x14ac:dyDescent="0.2">
      <c r="A503" s="2">
        <v>2023538</v>
      </c>
      <c r="B503" s="2">
        <v>7658</v>
      </c>
      <c r="C503" s="118" t="s">
        <v>143</v>
      </c>
      <c r="D503" s="191" t="s">
        <v>282</v>
      </c>
      <c r="E503" s="198">
        <v>80111600</v>
      </c>
      <c r="F503" s="191" t="s">
        <v>317</v>
      </c>
      <c r="G503" s="213">
        <v>45094</v>
      </c>
      <c r="H503" s="213">
        <v>45094</v>
      </c>
      <c r="I503" s="191">
        <v>6</v>
      </c>
      <c r="J503" s="191" t="s">
        <v>20</v>
      </c>
      <c r="K503" s="197" t="s">
        <v>21</v>
      </c>
      <c r="L503" s="191" t="s">
        <v>27</v>
      </c>
      <c r="M503" s="188">
        <f>43200000-7200000</f>
        <v>36000000</v>
      </c>
      <c r="N503" s="192" t="s">
        <v>286</v>
      </c>
      <c r="O503" s="198" t="s">
        <v>287</v>
      </c>
      <c r="P503" s="192" t="s">
        <v>24</v>
      </c>
    </row>
    <row r="504" spans="1:16" s="196" customFormat="1" ht="60" x14ac:dyDescent="0.2">
      <c r="A504" s="2">
        <v>2023539</v>
      </c>
      <c r="B504" s="2">
        <v>7655</v>
      </c>
      <c r="C504" s="118" t="s">
        <v>25</v>
      </c>
      <c r="D504" s="191" t="s">
        <v>282</v>
      </c>
      <c r="E504" s="198">
        <v>80111600</v>
      </c>
      <c r="F504" s="198" t="s">
        <v>299</v>
      </c>
      <c r="G504" s="213">
        <v>44973</v>
      </c>
      <c r="H504" s="213">
        <v>44973</v>
      </c>
      <c r="I504" s="191">
        <v>4</v>
      </c>
      <c r="J504" s="191" t="s">
        <v>20</v>
      </c>
      <c r="K504" s="197" t="s">
        <v>21</v>
      </c>
      <c r="L504" s="191" t="s">
        <v>27</v>
      </c>
      <c r="M504" s="230">
        <v>30000000</v>
      </c>
      <c r="N504" s="198" t="s">
        <v>28</v>
      </c>
      <c r="O504" s="198" t="s">
        <v>29</v>
      </c>
      <c r="P504" s="192" t="s">
        <v>24</v>
      </c>
    </row>
    <row r="505" spans="1:16" s="196" customFormat="1" ht="75" x14ac:dyDescent="0.2">
      <c r="A505" s="4">
        <v>2023540</v>
      </c>
      <c r="B505" s="2">
        <v>7658</v>
      </c>
      <c r="C505" s="118" t="s">
        <v>143</v>
      </c>
      <c r="D505" s="191" t="s">
        <v>282</v>
      </c>
      <c r="E505" s="198">
        <v>80111600</v>
      </c>
      <c r="F505" s="191" t="s">
        <v>317</v>
      </c>
      <c r="G505" s="213">
        <v>45094</v>
      </c>
      <c r="H505" s="213">
        <v>45094</v>
      </c>
      <c r="I505" s="191">
        <v>6</v>
      </c>
      <c r="J505" s="191" t="s">
        <v>20</v>
      </c>
      <c r="K505" s="197" t="s">
        <v>21</v>
      </c>
      <c r="L505" s="191" t="s">
        <v>27</v>
      </c>
      <c r="M505" s="188">
        <v>31200000</v>
      </c>
      <c r="N505" s="192" t="s">
        <v>286</v>
      </c>
      <c r="O505" s="198" t="s">
        <v>287</v>
      </c>
      <c r="P505" s="192" t="s">
        <v>24</v>
      </c>
    </row>
    <row r="506" spans="1:16" s="196" customFormat="1" ht="75" x14ac:dyDescent="0.2">
      <c r="A506" s="4">
        <v>2023541</v>
      </c>
      <c r="B506" s="2">
        <v>7658</v>
      </c>
      <c r="C506" s="118" t="s">
        <v>143</v>
      </c>
      <c r="D506" s="191" t="s">
        <v>282</v>
      </c>
      <c r="E506" s="198">
        <v>80111600</v>
      </c>
      <c r="F506" s="191" t="s">
        <v>305</v>
      </c>
      <c r="G506" s="213">
        <v>44973</v>
      </c>
      <c r="H506" s="213">
        <v>44973</v>
      </c>
      <c r="I506" s="191">
        <v>4</v>
      </c>
      <c r="J506" s="191" t="s">
        <v>20</v>
      </c>
      <c r="K506" s="197" t="s">
        <v>21</v>
      </c>
      <c r="L506" s="191" t="s">
        <v>27</v>
      </c>
      <c r="M506" s="188">
        <f>11200000-11200000</f>
        <v>0</v>
      </c>
      <c r="N506" s="192" t="s">
        <v>286</v>
      </c>
      <c r="O506" s="198" t="s">
        <v>287</v>
      </c>
      <c r="P506" s="192" t="s">
        <v>24</v>
      </c>
    </row>
    <row r="507" spans="1:16" s="196" customFormat="1" ht="75" x14ac:dyDescent="0.2">
      <c r="A507" s="2">
        <v>2023542</v>
      </c>
      <c r="B507" s="2">
        <v>7658</v>
      </c>
      <c r="C507" s="118" t="s">
        <v>143</v>
      </c>
      <c r="D507" s="191" t="s">
        <v>282</v>
      </c>
      <c r="E507" s="198">
        <v>80111600</v>
      </c>
      <c r="F507" s="191" t="s">
        <v>305</v>
      </c>
      <c r="G507" s="213">
        <v>45094</v>
      </c>
      <c r="H507" s="213">
        <v>45094</v>
      </c>
      <c r="I507" s="191">
        <v>6</v>
      </c>
      <c r="J507" s="191" t="s">
        <v>20</v>
      </c>
      <c r="K507" s="197" t="s">
        <v>21</v>
      </c>
      <c r="L507" s="191" t="s">
        <v>27</v>
      </c>
      <c r="M507" s="188">
        <f>14000000-14000000</f>
        <v>0</v>
      </c>
      <c r="N507" s="192" t="s">
        <v>286</v>
      </c>
      <c r="O507" s="198" t="s">
        <v>287</v>
      </c>
      <c r="P507" s="192" t="s">
        <v>24</v>
      </c>
    </row>
    <row r="508" spans="1:16" s="196" customFormat="1" ht="75" x14ac:dyDescent="0.2">
      <c r="A508" s="2">
        <v>2023543</v>
      </c>
      <c r="B508" s="2">
        <v>7658</v>
      </c>
      <c r="C508" s="118" t="s">
        <v>143</v>
      </c>
      <c r="D508" s="191" t="s">
        <v>282</v>
      </c>
      <c r="E508" s="198">
        <v>80111600</v>
      </c>
      <c r="F508" s="191" t="s">
        <v>309</v>
      </c>
      <c r="G508" s="213">
        <v>44973</v>
      </c>
      <c r="H508" s="213">
        <v>44973</v>
      </c>
      <c r="I508" s="191">
        <v>7</v>
      </c>
      <c r="J508" s="191" t="s">
        <v>20</v>
      </c>
      <c r="K508" s="197" t="s">
        <v>21</v>
      </c>
      <c r="L508" s="191" t="s">
        <v>27</v>
      </c>
      <c r="M508" s="188">
        <f>18000000-75000-3350000-1075000</f>
        <v>13500000</v>
      </c>
      <c r="N508" s="192" t="s">
        <v>286</v>
      </c>
      <c r="O508" s="198" t="s">
        <v>287</v>
      </c>
      <c r="P508" s="192" t="s">
        <v>24</v>
      </c>
    </row>
    <row r="509" spans="1:16" s="196" customFormat="1" ht="75" x14ac:dyDescent="0.2">
      <c r="A509" s="4">
        <v>2023544</v>
      </c>
      <c r="B509" s="2">
        <v>7658</v>
      </c>
      <c r="C509" s="118" t="s">
        <v>143</v>
      </c>
      <c r="D509" s="191" t="s">
        <v>282</v>
      </c>
      <c r="E509" s="198">
        <v>80111600</v>
      </c>
      <c r="F509" s="191" t="s">
        <v>311</v>
      </c>
      <c r="G509" s="213">
        <v>44973</v>
      </c>
      <c r="H509" s="213">
        <v>44973</v>
      </c>
      <c r="I509" s="191">
        <v>4</v>
      </c>
      <c r="J509" s="191" t="s">
        <v>20</v>
      </c>
      <c r="K509" s="197" t="s">
        <v>21</v>
      </c>
      <c r="L509" s="191" t="s">
        <v>27</v>
      </c>
      <c r="M509" s="188">
        <f>18000000-18000000</f>
        <v>0</v>
      </c>
      <c r="N509" s="192" t="s">
        <v>286</v>
      </c>
      <c r="O509" s="198" t="s">
        <v>287</v>
      </c>
      <c r="P509" s="192" t="s">
        <v>24</v>
      </c>
    </row>
    <row r="510" spans="1:16" s="196" customFormat="1" ht="75" x14ac:dyDescent="0.2">
      <c r="A510" s="4">
        <v>2023545</v>
      </c>
      <c r="B510" s="2">
        <v>7658</v>
      </c>
      <c r="C510" s="118" t="s">
        <v>143</v>
      </c>
      <c r="D510" s="191" t="s">
        <v>282</v>
      </c>
      <c r="E510" s="198">
        <v>80111600</v>
      </c>
      <c r="F510" s="191" t="s">
        <v>318</v>
      </c>
      <c r="G510" s="213">
        <v>44973</v>
      </c>
      <c r="H510" s="213">
        <v>44973</v>
      </c>
      <c r="I510" s="191">
        <v>4</v>
      </c>
      <c r="J510" s="191" t="s">
        <v>20</v>
      </c>
      <c r="K510" s="197" t="s">
        <v>21</v>
      </c>
      <c r="L510" s="191" t="s">
        <v>27</v>
      </c>
      <c r="M510" s="188">
        <f>15400000-15400000</f>
        <v>0</v>
      </c>
      <c r="N510" s="192" t="s">
        <v>286</v>
      </c>
      <c r="O510" s="198" t="s">
        <v>287</v>
      </c>
      <c r="P510" s="192" t="s">
        <v>24</v>
      </c>
    </row>
    <row r="511" spans="1:16" s="196" customFormat="1" ht="75" x14ac:dyDescent="0.2">
      <c r="A511" s="4">
        <v>2023546</v>
      </c>
      <c r="B511" s="2">
        <v>7658</v>
      </c>
      <c r="C511" s="118" t="s">
        <v>143</v>
      </c>
      <c r="D511" s="191" t="s">
        <v>282</v>
      </c>
      <c r="E511" s="198">
        <v>80111600</v>
      </c>
      <c r="F511" s="198" t="s">
        <v>318</v>
      </c>
      <c r="G511" s="213">
        <v>44973</v>
      </c>
      <c r="H511" s="213">
        <v>44973</v>
      </c>
      <c r="I511" s="191">
        <v>4.5</v>
      </c>
      <c r="J511" s="191" t="s">
        <v>20</v>
      </c>
      <c r="K511" s="197" t="s">
        <v>21</v>
      </c>
      <c r="L511" s="191" t="s">
        <v>27</v>
      </c>
      <c r="M511" s="188">
        <f>17325000-17325000</f>
        <v>0</v>
      </c>
      <c r="N511" s="192" t="s">
        <v>286</v>
      </c>
      <c r="O511" s="198" t="s">
        <v>287</v>
      </c>
      <c r="P511" s="192" t="s">
        <v>24</v>
      </c>
    </row>
    <row r="512" spans="1:16" s="196" customFormat="1" ht="75" x14ac:dyDescent="0.2">
      <c r="A512" s="2">
        <v>2023547</v>
      </c>
      <c r="B512" s="2">
        <v>7655</v>
      </c>
      <c r="C512" s="118" t="s">
        <v>25</v>
      </c>
      <c r="D512" s="191" t="s">
        <v>18</v>
      </c>
      <c r="E512" s="198">
        <v>80111600</v>
      </c>
      <c r="F512" s="198" t="s">
        <v>481</v>
      </c>
      <c r="G512" s="213">
        <v>44927</v>
      </c>
      <c r="H512" s="213">
        <v>44941</v>
      </c>
      <c r="I512" s="191">
        <v>8.5</v>
      </c>
      <c r="J512" s="191" t="s">
        <v>20</v>
      </c>
      <c r="K512" s="197" t="s">
        <v>21</v>
      </c>
      <c r="L512" s="191" t="s">
        <v>27</v>
      </c>
      <c r="M512" s="230">
        <f>7000000*8.5</f>
        <v>59500000</v>
      </c>
      <c r="N512" s="198" t="s">
        <v>28</v>
      </c>
      <c r="O512" s="198" t="s">
        <v>29</v>
      </c>
      <c r="P512" s="192" t="s">
        <v>24</v>
      </c>
    </row>
    <row r="513" spans="1:16" s="196" customFormat="1" ht="60" x14ac:dyDescent="0.2">
      <c r="A513" s="4">
        <v>2023548</v>
      </c>
      <c r="B513" s="2">
        <v>7655</v>
      </c>
      <c r="C513" s="118" t="s">
        <v>25</v>
      </c>
      <c r="D513" s="191" t="s">
        <v>196</v>
      </c>
      <c r="E513" s="198">
        <v>80111600</v>
      </c>
      <c r="F513" s="198" t="s">
        <v>482</v>
      </c>
      <c r="G513" s="199">
        <v>45033</v>
      </c>
      <c r="H513" s="199">
        <v>45046</v>
      </c>
      <c r="I513" s="191">
        <v>8</v>
      </c>
      <c r="J513" s="191" t="s">
        <v>20</v>
      </c>
      <c r="K513" s="197" t="s">
        <v>21</v>
      </c>
      <c r="L513" s="191" t="s">
        <v>27</v>
      </c>
      <c r="M513" s="230">
        <f>28000000-7000000</f>
        <v>21000000</v>
      </c>
      <c r="N513" s="198" t="s">
        <v>28</v>
      </c>
      <c r="O513" s="198" t="s">
        <v>29</v>
      </c>
      <c r="P513" s="192" t="s">
        <v>24</v>
      </c>
    </row>
    <row r="514" spans="1:16" s="196" customFormat="1" ht="75" x14ac:dyDescent="0.2">
      <c r="A514" s="4">
        <v>2023549</v>
      </c>
      <c r="B514" s="2">
        <v>7655</v>
      </c>
      <c r="C514" s="118" t="s">
        <v>25</v>
      </c>
      <c r="D514" s="191" t="s">
        <v>196</v>
      </c>
      <c r="E514" s="198">
        <v>80111600</v>
      </c>
      <c r="F514" s="198" t="s">
        <v>483</v>
      </c>
      <c r="G514" s="199">
        <v>44986</v>
      </c>
      <c r="H514" s="199">
        <v>45015</v>
      </c>
      <c r="I514" s="191">
        <v>10</v>
      </c>
      <c r="J514" s="191" t="s">
        <v>20</v>
      </c>
      <c r="K514" s="197" t="s">
        <v>21</v>
      </c>
      <c r="L514" s="191" t="s">
        <v>27</v>
      </c>
      <c r="M514" s="230">
        <f>36380000+39123000+2469500-5158080-54420</f>
        <v>72760000</v>
      </c>
      <c r="N514" s="198" t="s">
        <v>28</v>
      </c>
      <c r="O514" s="198" t="s">
        <v>29</v>
      </c>
      <c r="P514" s="192" t="s">
        <v>24</v>
      </c>
    </row>
    <row r="515" spans="1:16" s="196" customFormat="1" ht="90" x14ac:dyDescent="0.2">
      <c r="A515" s="2">
        <v>2023550</v>
      </c>
      <c r="B515" s="2">
        <v>7658</v>
      </c>
      <c r="C515" s="3" t="s">
        <v>143</v>
      </c>
      <c r="D515" s="198" t="s">
        <v>222</v>
      </c>
      <c r="E515" s="198">
        <v>80111600</v>
      </c>
      <c r="F515" s="198" t="s">
        <v>484</v>
      </c>
      <c r="G515" s="199">
        <v>44986</v>
      </c>
      <c r="H515" s="199">
        <v>45000</v>
      </c>
      <c r="I515" s="191">
        <v>10</v>
      </c>
      <c r="J515" s="191" t="s">
        <v>20</v>
      </c>
      <c r="K515" s="197" t="s">
        <v>21</v>
      </c>
      <c r="L515" s="191" t="s">
        <v>27</v>
      </c>
      <c r="M515" s="188">
        <f>52034000-2034000</f>
        <v>50000000</v>
      </c>
      <c r="N515" s="211" t="s">
        <v>225</v>
      </c>
      <c r="O515" s="211" t="s">
        <v>164</v>
      </c>
      <c r="P515" s="192" t="s">
        <v>24</v>
      </c>
    </row>
    <row r="516" spans="1:16" s="196" customFormat="1" ht="90" x14ac:dyDescent="0.2">
      <c r="A516" s="2">
        <v>2023551</v>
      </c>
      <c r="B516" s="120">
        <v>7658</v>
      </c>
      <c r="C516" s="162" t="s">
        <v>143</v>
      </c>
      <c r="D516" s="198" t="s">
        <v>222</v>
      </c>
      <c r="E516" s="201">
        <v>80111600</v>
      </c>
      <c r="F516" s="201" t="s">
        <v>485</v>
      </c>
      <c r="G516" s="242">
        <v>45005</v>
      </c>
      <c r="H516" s="242">
        <v>45005</v>
      </c>
      <c r="I516" s="202">
        <v>8</v>
      </c>
      <c r="J516" s="202" t="s">
        <v>20</v>
      </c>
      <c r="K516" s="205" t="s">
        <v>21</v>
      </c>
      <c r="L516" s="191" t="s">
        <v>27</v>
      </c>
      <c r="M516" s="189">
        <v>32960000</v>
      </c>
      <c r="N516" s="243" t="s">
        <v>225</v>
      </c>
      <c r="O516" s="243" t="s">
        <v>164</v>
      </c>
      <c r="P516" s="192" t="s">
        <v>24</v>
      </c>
    </row>
    <row r="517" spans="1:16" s="196" customFormat="1" ht="105" x14ac:dyDescent="0.2">
      <c r="A517" s="4">
        <v>2023552</v>
      </c>
      <c r="B517" s="120">
        <v>7658</v>
      </c>
      <c r="C517" s="156" t="s">
        <v>143</v>
      </c>
      <c r="D517" s="191" t="s">
        <v>45</v>
      </c>
      <c r="E517" s="201">
        <v>80111600</v>
      </c>
      <c r="F517" s="202" t="s">
        <v>486</v>
      </c>
      <c r="G517" s="204">
        <v>44977</v>
      </c>
      <c r="H517" s="204">
        <v>44986</v>
      </c>
      <c r="I517" s="202">
        <v>4</v>
      </c>
      <c r="J517" s="202" t="s">
        <v>20</v>
      </c>
      <c r="K517" s="205" t="s">
        <v>21</v>
      </c>
      <c r="L517" s="191" t="s">
        <v>27</v>
      </c>
      <c r="M517" s="189">
        <f>4500000*I517</f>
        <v>18000000</v>
      </c>
      <c r="N517" s="201" t="s">
        <v>167</v>
      </c>
      <c r="O517" s="201" t="s">
        <v>164</v>
      </c>
      <c r="P517" s="192" t="s">
        <v>24</v>
      </c>
    </row>
    <row r="518" spans="1:16" s="196" customFormat="1" ht="90" x14ac:dyDescent="0.2">
      <c r="A518" s="4">
        <v>2023553</v>
      </c>
      <c r="B518" s="120">
        <v>7658</v>
      </c>
      <c r="C518" s="156" t="s">
        <v>143</v>
      </c>
      <c r="D518" s="191" t="s">
        <v>45</v>
      </c>
      <c r="E518" s="201">
        <v>80111600</v>
      </c>
      <c r="F518" s="202" t="s">
        <v>487</v>
      </c>
      <c r="G518" s="204">
        <v>44977</v>
      </c>
      <c r="H518" s="204">
        <v>44986</v>
      </c>
      <c r="I518" s="202">
        <v>10</v>
      </c>
      <c r="J518" s="202" t="s">
        <v>20</v>
      </c>
      <c r="K518" s="205" t="s">
        <v>21</v>
      </c>
      <c r="L518" s="202" t="s">
        <v>27</v>
      </c>
      <c r="M518" s="189">
        <f>6000000*I518</f>
        <v>60000000</v>
      </c>
      <c r="N518" s="201" t="s">
        <v>167</v>
      </c>
      <c r="O518" s="201" t="s">
        <v>164</v>
      </c>
      <c r="P518" s="192" t="s">
        <v>24</v>
      </c>
    </row>
    <row r="519" spans="1:16" s="196" customFormat="1" ht="90" x14ac:dyDescent="0.2">
      <c r="A519" s="4">
        <v>2023554</v>
      </c>
      <c r="B519" s="120">
        <v>7658</v>
      </c>
      <c r="C519" s="156" t="s">
        <v>143</v>
      </c>
      <c r="D519" s="191" t="s">
        <v>320</v>
      </c>
      <c r="E519" s="201">
        <v>80111600</v>
      </c>
      <c r="F519" s="202" t="s">
        <v>388</v>
      </c>
      <c r="G519" s="204">
        <v>45078</v>
      </c>
      <c r="H519" s="204">
        <v>45092</v>
      </c>
      <c r="I519" s="202">
        <v>6</v>
      </c>
      <c r="J519" s="202" t="s">
        <v>20</v>
      </c>
      <c r="K519" s="205" t="s">
        <v>21</v>
      </c>
      <c r="L519" s="202" t="s">
        <v>27</v>
      </c>
      <c r="M519" s="189">
        <f>(7300000*6)-3622480-18277520</f>
        <v>21900000</v>
      </c>
      <c r="N519" s="201" t="s">
        <v>341</v>
      </c>
      <c r="O519" s="201" t="s">
        <v>164</v>
      </c>
      <c r="P519" s="192" t="s">
        <v>24</v>
      </c>
    </row>
    <row r="520" spans="1:16" s="196" customFormat="1" ht="45" x14ac:dyDescent="0.2">
      <c r="A520" s="4">
        <v>2023555</v>
      </c>
      <c r="B520" s="120" t="s">
        <v>17</v>
      </c>
      <c r="C520" s="156" t="s">
        <v>17</v>
      </c>
      <c r="D520" s="191" t="s">
        <v>320</v>
      </c>
      <c r="E520" s="201" t="s">
        <v>408</v>
      </c>
      <c r="F520" s="202" t="s">
        <v>488</v>
      </c>
      <c r="G520" s="204">
        <v>44977</v>
      </c>
      <c r="H520" s="204">
        <v>44985</v>
      </c>
      <c r="I520" s="202">
        <v>1</v>
      </c>
      <c r="J520" s="202" t="s">
        <v>160</v>
      </c>
      <c r="K520" s="205" t="s">
        <v>21</v>
      </c>
      <c r="L520" s="202" t="s">
        <v>23</v>
      </c>
      <c r="M520" s="189">
        <f>280000000-43551200-31139234-30000000-16551200-36000000-5139234-58854956</f>
        <v>58764176</v>
      </c>
      <c r="N520" s="201" t="s">
        <v>23</v>
      </c>
      <c r="O520" s="201" t="s">
        <v>23</v>
      </c>
      <c r="P520" s="192" t="s">
        <v>365</v>
      </c>
    </row>
    <row r="521" spans="1:16" s="196" customFormat="1" ht="105" x14ac:dyDescent="0.2">
      <c r="A521" s="4">
        <v>2023556</v>
      </c>
      <c r="B521" s="120">
        <v>7658</v>
      </c>
      <c r="C521" s="156" t="s">
        <v>143</v>
      </c>
      <c r="D521" s="191" t="s">
        <v>320</v>
      </c>
      <c r="E521" s="201">
        <v>80111600</v>
      </c>
      <c r="F521" s="202" t="s">
        <v>489</v>
      </c>
      <c r="G521" s="204">
        <v>44977</v>
      </c>
      <c r="H521" s="204">
        <v>44986</v>
      </c>
      <c r="I521" s="202">
        <v>9</v>
      </c>
      <c r="J521" s="202" t="s">
        <v>20</v>
      </c>
      <c r="K521" s="205" t="s">
        <v>21</v>
      </c>
      <c r="L521" s="191" t="s">
        <v>27</v>
      </c>
      <c r="M521" s="189">
        <f>6000000*9</f>
        <v>54000000</v>
      </c>
      <c r="N521" s="201" t="s">
        <v>341</v>
      </c>
      <c r="O521" s="201" t="s">
        <v>164</v>
      </c>
      <c r="P521" s="192" t="s">
        <v>24</v>
      </c>
    </row>
    <row r="522" spans="1:16" s="196" customFormat="1" ht="60" x14ac:dyDescent="0.2">
      <c r="A522" s="4">
        <v>2023557</v>
      </c>
      <c r="B522" s="120">
        <v>7655</v>
      </c>
      <c r="C522" s="156" t="s">
        <v>25</v>
      </c>
      <c r="D522" s="191" t="s">
        <v>320</v>
      </c>
      <c r="E522" s="201">
        <v>80111600</v>
      </c>
      <c r="F522" s="202" t="s">
        <v>333</v>
      </c>
      <c r="G522" s="204">
        <v>44985</v>
      </c>
      <c r="H522" s="204">
        <v>44995</v>
      </c>
      <c r="I522" s="202">
        <v>8</v>
      </c>
      <c r="J522" s="202" t="s">
        <v>20</v>
      </c>
      <c r="K522" s="205" t="s">
        <v>21</v>
      </c>
      <c r="L522" s="202" t="s">
        <v>27</v>
      </c>
      <c r="M522" s="231">
        <f>2450000*8</f>
        <v>19600000</v>
      </c>
      <c r="N522" s="201" t="s">
        <v>28</v>
      </c>
      <c r="O522" s="201" t="s">
        <v>29</v>
      </c>
      <c r="P522" s="192" t="s">
        <v>24</v>
      </c>
    </row>
    <row r="523" spans="1:16" s="196" customFormat="1" ht="90" x14ac:dyDescent="0.2">
      <c r="A523" s="4">
        <v>2023558</v>
      </c>
      <c r="B523" s="120">
        <v>7658</v>
      </c>
      <c r="C523" s="156" t="s">
        <v>143</v>
      </c>
      <c r="D523" s="191" t="s">
        <v>320</v>
      </c>
      <c r="E523" s="201">
        <v>80111600</v>
      </c>
      <c r="F523" s="202" t="s">
        <v>490</v>
      </c>
      <c r="G523" s="204">
        <v>44977</v>
      </c>
      <c r="H523" s="204">
        <v>44986</v>
      </c>
      <c r="I523" s="202">
        <v>7</v>
      </c>
      <c r="J523" s="202" t="s">
        <v>20</v>
      </c>
      <c r="K523" s="205" t="s">
        <v>21</v>
      </c>
      <c r="L523" s="191" t="s">
        <v>27</v>
      </c>
      <c r="M523" s="189">
        <f>4500000*7</f>
        <v>31500000</v>
      </c>
      <c r="N523" s="201" t="s">
        <v>341</v>
      </c>
      <c r="O523" s="201" t="s">
        <v>164</v>
      </c>
      <c r="P523" s="192" t="s">
        <v>24</v>
      </c>
    </row>
    <row r="524" spans="1:16" s="196" customFormat="1" ht="60" x14ac:dyDescent="0.2">
      <c r="A524" s="4">
        <v>2023559</v>
      </c>
      <c r="B524" s="120">
        <v>7655</v>
      </c>
      <c r="C524" s="156" t="s">
        <v>25</v>
      </c>
      <c r="D524" s="191" t="s">
        <v>216</v>
      </c>
      <c r="E524" s="201">
        <v>80111600</v>
      </c>
      <c r="F524" s="202" t="s">
        <v>491</v>
      </c>
      <c r="G524" s="204">
        <v>44986</v>
      </c>
      <c r="H524" s="204">
        <v>44995</v>
      </c>
      <c r="I524" s="202">
        <v>8</v>
      </c>
      <c r="J524" s="202" t="s">
        <v>20</v>
      </c>
      <c r="K524" s="205" t="s">
        <v>21</v>
      </c>
      <c r="L524" s="202" t="s">
        <v>27</v>
      </c>
      <c r="M524" s="231">
        <f>44000000-11000000</f>
        <v>33000000</v>
      </c>
      <c r="N524" s="201" t="s">
        <v>28</v>
      </c>
      <c r="O524" s="201" t="s">
        <v>29</v>
      </c>
      <c r="P524" s="192" t="s">
        <v>24</v>
      </c>
    </row>
    <row r="525" spans="1:16" s="196" customFormat="1" ht="90" x14ac:dyDescent="0.2">
      <c r="A525" s="4">
        <v>2023560</v>
      </c>
      <c r="B525" s="120">
        <v>7658</v>
      </c>
      <c r="C525" s="156" t="s">
        <v>143</v>
      </c>
      <c r="D525" s="191" t="s">
        <v>320</v>
      </c>
      <c r="E525" s="201">
        <v>80111600</v>
      </c>
      <c r="F525" s="202" t="s">
        <v>374</v>
      </c>
      <c r="G525" s="204">
        <v>44977</v>
      </c>
      <c r="H525" s="204">
        <v>44986</v>
      </c>
      <c r="I525" s="202">
        <v>9</v>
      </c>
      <c r="J525" s="202" t="s">
        <v>20</v>
      </c>
      <c r="K525" s="205" t="s">
        <v>21</v>
      </c>
      <c r="L525" s="191" t="s">
        <v>27</v>
      </c>
      <c r="M525" s="189">
        <f>2450000*9</f>
        <v>22050000</v>
      </c>
      <c r="N525" s="198" t="s">
        <v>341</v>
      </c>
      <c r="O525" s="201" t="s">
        <v>164</v>
      </c>
      <c r="P525" s="192" t="s">
        <v>24</v>
      </c>
    </row>
    <row r="526" spans="1:16" s="196" customFormat="1" ht="120" x14ac:dyDescent="0.2">
      <c r="A526" s="4">
        <v>2023561</v>
      </c>
      <c r="B526" s="120">
        <v>7658</v>
      </c>
      <c r="C526" s="156" t="s">
        <v>143</v>
      </c>
      <c r="D526" s="191" t="s">
        <v>282</v>
      </c>
      <c r="E526" s="201" t="s">
        <v>284</v>
      </c>
      <c r="F526" s="202" t="s">
        <v>492</v>
      </c>
      <c r="G526" s="204">
        <v>44941</v>
      </c>
      <c r="H526" s="204">
        <v>45000</v>
      </c>
      <c r="I526" s="202">
        <v>2.2999999999999998</v>
      </c>
      <c r="J526" s="202" t="s">
        <v>155</v>
      </c>
      <c r="K526" s="205" t="s">
        <v>21</v>
      </c>
      <c r="L526" s="191" t="s">
        <v>27</v>
      </c>
      <c r="M526" s="189">
        <v>229931285</v>
      </c>
      <c r="N526" s="201" t="s">
        <v>286</v>
      </c>
      <c r="O526" s="201" t="s">
        <v>287</v>
      </c>
      <c r="P526" s="198" t="s">
        <v>365</v>
      </c>
    </row>
    <row r="527" spans="1:16" s="196" customFormat="1" ht="105" x14ac:dyDescent="0.2">
      <c r="A527" s="4">
        <v>2023562</v>
      </c>
      <c r="B527" s="120">
        <v>7655</v>
      </c>
      <c r="C527" s="156" t="s">
        <v>25</v>
      </c>
      <c r="D527" s="191" t="s">
        <v>320</v>
      </c>
      <c r="E527" s="201">
        <v>80111600</v>
      </c>
      <c r="F527" s="202" t="s">
        <v>489</v>
      </c>
      <c r="G527" s="204">
        <v>44986</v>
      </c>
      <c r="H527" s="204">
        <v>45000</v>
      </c>
      <c r="I527" s="202">
        <v>7</v>
      </c>
      <c r="J527" s="202" t="s">
        <v>20</v>
      </c>
      <c r="K527" s="205" t="s">
        <v>21</v>
      </c>
      <c r="L527" s="191" t="s">
        <v>51</v>
      </c>
      <c r="M527" s="231">
        <f>5500000*7</f>
        <v>38500000</v>
      </c>
      <c r="N527" s="201" t="s">
        <v>28</v>
      </c>
      <c r="O527" s="201" t="s">
        <v>29</v>
      </c>
      <c r="P527" s="192" t="s">
        <v>24</v>
      </c>
    </row>
    <row r="528" spans="1:16" s="196" customFormat="1" ht="75" x14ac:dyDescent="0.2">
      <c r="A528" s="4">
        <v>2023563</v>
      </c>
      <c r="B528" s="2">
        <v>7658</v>
      </c>
      <c r="C528" s="118" t="s">
        <v>143</v>
      </c>
      <c r="D528" s="191" t="s">
        <v>126</v>
      </c>
      <c r="E528" s="198">
        <v>80111600</v>
      </c>
      <c r="F528" s="191" t="s">
        <v>493</v>
      </c>
      <c r="G528" s="193">
        <v>44974</v>
      </c>
      <c r="H528" s="193">
        <v>44986</v>
      </c>
      <c r="I528" s="191">
        <v>10</v>
      </c>
      <c r="J528" s="191" t="s">
        <v>20</v>
      </c>
      <c r="K528" s="197" t="s">
        <v>21</v>
      </c>
      <c r="L528" s="191" t="s">
        <v>27</v>
      </c>
      <c r="M528" s="188">
        <f>38500000-5366000-4259000-17325000</f>
        <v>11550000</v>
      </c>
      <c r="N528" s="198" t="s">
        <v>145</v>
      </c>
      <c r="O528" s="198" t="s">
        <v>146</v>
      </c>
      <c r="P528" s="198" t="s">
        <v>24</v>
      </c>
    </row>
    <row r="529" spans="1:16" s="196" customFormat="1" ht="75" x14ac:dyDescent="0.2">
      <c r="A529" s="4">
        <v>2023564</v>
      </c>
      <c r="B529" s="2">
        <v>7658</v>
      </c>
      <c r="C529" s="118" t="s">
        <v>143</v>
      </c>
      <c r="D529" s="198" t="s">
        <v>126</v>
      </c>
      <c r="E529" s="198">
        <v>80111600</v>
      </c>
      <c r="F529" s="198" t="s">
        <v>148</v>
      </c>
      <c r="G529" s="199">
        <v>44974</v>
      </c>
      <c r="H529" s="199">
        <v>44986</v>
      </c>
      <c r="I529" s="191">
        <v>4</v>
      </c>
      <c r="J529" s="191" t="s">
        <v>20</v>
      </c>
      <c r="K529" s="197" t="s">
        <v>21</v>
      </c>
      <c r="L529" s="191" t="s">
        <v>27</v>
      </c>
      <c r="M529" s="188">
        <f>9800000+9800000-9800000</f>
        <v>9800000</v>
      </c>
      <c r="N529" s="198" t="s">
        <v>145</v>
      </c>
      <c r="O529" s="198" t="s">
        <v>146</v>
      </c>
      <c r="P529" s="192" t="s">
        <v>24</v>
      </c>
    </row>
    <row r="530" spans="1:16" s="196" customFormat="1" ht="45" x14ac:dyDescent="0.2">
      <c r="A530" s="4">
        <v>2023565</v>
      </c>
      <c r="B530" s="2" t="s">
        <v>17</v>
      </c>
      <c r="C530" s="118" t="s">
        <v>17</v>
      </c>
      <c r="D530" s="198" t="s">
        <v>126</v>
      </c>
      <c r="E530" s="198">
        <v>80111600</v>
      </c>
      <c r="F530" s="198" t="s">
        <v>442</v>
      </c>
      <c r="G530" s="199">
        <v>44977</v>
      </c>
      <c r="H530" s="199">
        <v>44986</v>
      </c>
      <c r="I530" s="191">
        <v>9</v>
      </c>
      <c r="J530" s="191" t="s">
        <v>20</v>
      </c>
      <c r="K530" s="197" t="s">
        <v>21</v>
      </c>
      <c r="L530" s="191" t="s">
        <v>23</v>
      </c>
      <c r="M530" s="188">
        <f>22050000-4900000-9800000</f>
        <v>7350000</v>
      </c>
      <c r="N530" s="198" t="s">
        <v>23</v>
      </c>
      <c r="O530" s="198" t="s">
        <v>23</v>
      </c>
      <c r="P530" s="192" t="s">
        <v>24</v>
      </c>
    </row>
    <row r="531" spans="1:16" s="196" customFormat="1" ht="45" x14ac:dyDescent="0.2">
      <c r="A531" s="2">
        <v>2023566</v>
      </c>
      <c r="B531" s="120" t="s">
        <v>17</v>
      </c>
      <c r="C531" s="118" t="s">
        <v>17</v>
      </c>
      <c r="D531" s="198" t="s">
        <v>126</v>
      </c>
      <c r="E531" s="198">
        <v>80111600</v>
      </c>
      <c r="F531" s="198" t="s">
        <v>494</v>
      </c>
      <c r="G531" s="199">
        <v>44977</v>
      </c>
      <c r="H531" s="199">
        <v>44986</v>
      </c>
      <c r="I531" s="191">
        <v>4</v>
      </c>
      <c r="J531" s="191" t="s">
        <v>20</v>
      </c>
      <c r="K531" s="197" t="s">
        <v>21</v>
      </c>
      <c r="L531" s="191" t="s">
        <v>23</v>
      </c>
      <c r="M531" s="188">
        <f>14000000+5348500+4900000+251500-14000000+900000</f>
        <v>11400000</v>
      </c>
      <c r="N531" s="198" t="s">
        <v>23</v>
      </c>
      <c r="O531" s="201" t="s">
        <v>23</v>
      </c>
      <c r="P531" s="192" t="s">
        <v>24</v>
      </c>
    </row>
    <row r="532" spans="1:16" s="196" customFormat="1" ht="60" x14ac:dyDescent="0.2">
      <c r="A532" s="2">
        <v>2023567</v>
      </c>
      <c r="B532" s="2">
        <v>7655</v>
      </c>
      <c r="C532" s="118" t="s">
        <v>25</v>
      </c>
      <c r="D532" s="198" t="s">
        <v>126</v>
      </c>
      <c r="E532" s="198">
        <v>80111600</v>
      </c>
      <c r="F532" s="198" t="s">
        <v>495</v>
      </c>
      <c r="G532" s="199">
        <v>44997</v>
      </c>
      <c r="H532" s="199">
        <v>45000</v>
      </c>
      <c r="I532" s="191">
        <v>3</v>
      </c>
      <c r="J532" s="191" t="s">
        <v>20</v>
      </c>
      <c r="K532" s="197" t="s">
        <v>21</v>
      </c>
      <c r="L532" s="191" t="s">
        <v>27</v>
      </c>
      <c r="M532" s="230">
        <f>11400000+5700000-1166667-2500000-1306000</f>
        <v>12127333</v>
      </c>
      <c r="N532" s="198" t="s">
        <v>28</v>
      </c>
      <c r="O532" s="198" t="s">
        <v>29</v>
      </c>
      <c r="P532" s="192" t="s">
        <v>24</v>
      </c>
    </row>
    <row r="533" spans="1:16" s="196" customFormat="1" ht="75" x14ac:dyDescent="0.2">
      <c r="A533" s="4">
        <v>2023568</v>
      </c>
      <c r="B533" s="2">
        <v>7658</v>
      </c>
      <c r="C533" s="118" t="s">
        <v>143</v>
      </c>
      <c r="D533" s="198" t="s">
        <v>126</v>
      </c>
      <c r="E533" s="198">
        <v>80111600</v>
      </c>
      <c r="F533" s="198" t="s">
        <v>148</v>
      </c>
      <c r="G533" s="199">
        <v>44974</v>
      </c>
      <c r="H533" s="199">
        <v>44986</v>
      </c>
      <c r="I533" s="191">
        <v>4</v>
      </c>
      <c r="J533" s="191" t="s">
        <v>20</v>
      </c>
      <c r="K533" s="197" t="s">
        <v>21</v>
      </c>
      <c r="L533" s="191" t="s">
        <v>27</v>
      </c>
      <c r="M533" s="188">
        <f>9800000-9800000</f>
        <v>0</v>
      </c>
      <c r="N533" s="198" t="s">
        <v>145</v>
      </c>
      <c r="O533" s="198" t="s">
        <v>146</v>
      </c>
      <c r="P533" s="192" t="s">
        <v>24</v>
      </c>
    </row>
    <row r="534" spans="1:16" s="196" customFormat="1" ht="45" x14ac:dyDescent="0.2">
      <c r="A534" s="4">
        <v>2023569</v>
      </c>
      <c r="B534" s="120" t="s">
        <v>17</v>
      </c>
      <c r="C534" s="118" t="s">
        <v>17</v>
      </c>
      <c r="D534" s="198" t="s">
        <v>126</v>
      </c>
      <c r="E534" s="198">
        <v>80111600</v>
      </c>
      <c r="F534" s="198" t="s">
        <v>442</v>
      </c>
      <c r="G534" s="199">
        <v>44977</v>
      </c>
      <c r="H534" s="199">
        <v>44986</v>
      </c>
      <c r="I534" s="191">
        <v>9</v>
      </c>
      <c r="J534" s="191" t="s">
        <v>20</v>
      </c>
      <c r="K534" s="197" t="s">
        <v>21</v>
      </c>
      <c r="L534" s="191" t="s">
        <v>23</v>
      </c>
      <c r="M534" s="188">
        <f>22050000-22050000</f>
        <v>0</v>
      </c>
      <c r="N534" s="198" t="s">
        <v>23</v>
      </c>
      <c r="O534" s="201" t="s">
        <v>23</v>
      </c>
      <c r="P534" s="192" t="s">
        <v>24</v>
      </c>
    </row>
    <row r="535" spans="1:16" s="196" customFormat="1" ht="75" x14ac:dyDescent="0.2">
      <c r="A535" s="2">
        <v>2023570</v>
      </c>
      <c r="B535" s="120">
        <v>7655</v>
      </c>
      <c r="C535" s="118" t="s">
        <v>25</v>
      </c>
      <c r="D535" s="198" t="s">
        <v>320</v>
      </c>
      <c r="E535" s="198">
        <v>80111600</v>
      </c>
      <c r="F535" s="198" t="s">
        <v>496</v>
      </c>
      <c r="G535" s="199">
        <v>44979</v>
      </c>
      <c r="H535" s="199">
        <v>44985</v>
      </c>
      <c r="I535" s="191">
        <v>2.5</v>
      </c>
      <c r="J535" s="191" t="s">
        <v>20</v>
      </c>
      <c r="K535" s="197" t="s">
        <v>21</v>
      </c>
      <c r="L535" s="191" t="s">
        <v>27</v>
      </c>
      <c r="M535" s="230">
        <f>9000000</f>
        <v>9000000</v>
      </c>
      <c r="N535" s="198" t="s">
        <v>28</v>
      </c>
      <c r="O535" s="201" t="s">
        <v>29</v>
      </c>
      <c r="P535" s="192" t="s">
        <v>365</v>
      </c>
    </row>
    <row r="536" spans="1:16" s="196" customFormat="1" ht="90" x14ac:dyDescent="0.2">
      <c r="A536" s="2">
        <v>2023571</v>
      </c>
      <c r="B536" s="120">
        <v>7655</v>
      </c>
      <c r="C536" s="118" t="s">
        <v>25</v>
      </c>
      <c r="D536" s="198" t="s">
        <v>320</v>
      </c>
      <c r="E536" s="198">
        <v>80111600</v>
      </c>
      <c r="F536" s="198" t="s">
        <v>497</v>
      </c>
      <c r="G536" s="199">
        <v>44979</v>
      </c>
      <c r="H536" s="199">
        <v>44985</v>
      </c>
      <c r="I536" s="191">
        <v>0.5</v>
      </c>
      <c r="J536" s="191" t="s">
        <v>20</v>
      </c>
      <c r="K536" s="197" t="s">
        <v>21</v>
      </c>
      <c r="L536" s="191" t="s">
        <v>27</v>
      </c>
      <c r="M536" s="230">
        <f>6800000/30*15</f>
        <v>3400000</v>
      </c>
      <c r="N536" s="198" t="s">
        <v>28</v>
      </c>
      <c r="O536" s="201" t="s">
        <v>29</v>
      </c>
      <c r="P536" s="192" t="s">
        <v>365</v>
      </c>
    </row>
    <row r="537" spans="1:16" s="196" customFormat="1" ht="60" x14ac:dyDescent="0.2">
      <c r="A537" s="4">
        <v>2023572</v>
      </c>
      <c r="B537" s="120">
        <v>7655</v>
      </c>
      <c r="C537" s="118" t="s">
        <v>25</v>
      </c>
      <c r="D537" s="198" t="s">
        <v>126</v>
      </c>
      <c r="E537" s="198">
        <v>80111600</v>
      </c>
      <c r="F537" s="198" t="s">
        <v>461</v>
      </c>
      <c r="G537" s="199">
        <v>45018</v>
      </c>
      <c r="H537" s="199">
        <v>45023</v>
      </c>
      <c r="I537" s="191">
        <v>4</v>
      </c>
      <c r="J537" s="191" t="s">
        <v>20</v>
      </c>
      <c r="K537" s="197" t="s">
        <v>21</v>
      </c>
      <c r="L537" s="191" t="s">
        <v>27</v>
      </c>
      <c r="M537" s="230">
        <f>17388000+2173500+1119000+4125000+7650000+4494000-8694000-8694000</f>
        <v>19561500</v>
      </c>
      <c r="N537" s="198" t="s">
        <v>28</v>
      </c>
      <c r="O537" s="201" t="s">
        <v>29</v>
      </c>
      <c r="P537" s="192" t="s">
        <v>24</v>
      </c>
    </row>
    <row r="538" spans="1:16" s="196" customFormat="1" ht="60" x14ac:dyDescent="0.2">
      <c r="A538" s="2">
        <v>2023573</v>
      </c>
      <c r="B538" s="120">
        <v>7655</v>
      </c>
      <c r="C538" s="156" t="s">
        <v>25</v>
      </c>
      <c r="D538" s="201" t="s">
        <v>126</v>
      </c>
      <c r="E538" s="201">
        <v>80111600</v>
      </c>
      <c r="F538" s="201" t="s">
        <v>498</v>
      </c>
      <c r="G538" s="242">
        <v>44985</v>
      </c>
      <c r="H538" s="242">
        <v>44986</v>
      </c>
      <c r="I538" s="202">
        <v>4</v>
      </c>
      <c r="J538" s="202" t="s">
        <v>20</v>
      </c>
      <c r="K538" s="205" t="s">
        <v>21</v>
      </c>
      <c r="L538" s="191" t="s">
        <v>27</v>
      </c>
      <c r="M538" s="231">
        <f>16000000+4347000+3200000+6732500+1720500-16000000</f>
        <v>16000000</v>
      </c>
      <c r="N538" s="201" t="s">
        <v>28</v>
      </c>
      <c r="O538" s="201" t="s">
        <v>29</v>
      </c>
      <c r="P538" s="192" t="s">
        <v>24</v>
      </c>
    </row>
    <row r="539" spans="1:16" s="196" customFormat="1" ht="90" x14ac:dyDescent="0.2">
      <c r="A539" s="4">
        <v>2023576</v>
      </c>
      <c r="B539" s="120">
        <v>7658</v>
      </c>
      <c r="C539" s="156" t="s">
        <v>143</v>
      </c>
      <c r="D539" s="202" t="s">
        <v>45</v>
      </c>
      <c r="E539" s="201" t="s">
        <v>761</v>
      </c>
      <c r="F539" s="214" t="s">
        <v>714</v>
      </c>
      <c r="G539" s="204">
        <v>45153</v>
      </c>
      <c r="H539" s="204">
        <v>45170</v>
      </c>
      <c r="I539" s="202">
        <v>6</v>
      </c>
      <c r="J539" s="202" t="s">
        <v>119</v>
      </c>
      <c r="K539" s="205" t="s">
        <v>21</v>
      </c>
      <c r="L539" s="191" t="s">
        <v>162</v>
      </c>
      <c r="M539" s="189">
        <f>28500000-7800000</f>
        <v>20700000</v>
      </c>
      <c r="N539" s="201" t="s">
        <v>167</v>
      </c>
      <c r="O539" s="201" t="s">
        <v>164</v>
      </c>
      <c r="P539" s="192" t="s">
        <v>24</v>
      </c>
    </row>
    <row r="540" spans="1:16" s="196" customFormat="1" ht="90" x14ac:dyDescent="0.2">
      <c r="A540" s="4">
        <v>2023577</v>
      </c>
      <c r="B540" s="120">
        <v>7658</v>
      </c>
      <c r="C540" s="156" t="s">
        <v>143</v>
      </c>
      <c r="D540" s="202" t="s">
        <v>45</v>
      </c>
      <c r="E540" s="198">
        <v>80111600</v>
      </c>
      <c r="F540" s="215" t="s">
        <v>176</v>
      </c>
      <c r="G540" s="193">
        <v>45000</v>
      </c>
      <c r="H540" s="193">
        <v>45017</v>
      </c>
      <c r="I540" s="191">
        <v>9.5</v>
      </c>
      <c r="J540" s="202" t="s">
        <v>20</v>
      </c>
      <c r="K540" s="205" t="s">
        <v>21</v>
      </c>
      <c r="L540" s="191" t="s">
        <v>27</v>
      </c>
      <c r="M540" s="188">
        <v>23275000</v>
      </c>
      <c r="N540" s="201" t="s">
        <v>167</v>
      </c>
      <c r="O540" s="201" t="s">
        <v>164</v>
      </c>
      <c r="P540" s="192" t="s">
        <v>24</v>
      </c>
    </row>
    <row r="541" spans="1:16" s="196" customFormat="1" ht="45" x14ac:dyDescent="0.2">
      <c r="A541" s="2">
        <v>2023578</v>
      </c>
      <c r="B541" s="120" t="s">
        <v>17</v>
      </c>
      <c r="C541" s="156" t="s">
        <v>17</v>
      </c>
      <c r="D541" s="202" t="s">
        <v>18</v>
      </c>
      <c r="E541" s="191">
        <v>43233205</v>
      </c>
      <c r="F541" s="215" t="s">
        <v>499</v>
      </c>
      <c r="G541" s="193">
        <v>45142</v>
      </c>
      <c r="H541" s="193">
        <v>45149</v>
      </c>
      <c r="I541" s="191">
        <v>2</v>
      </c>
      <c r="J541" s="202" t="s">
        <v>119</v>
      </c>
      <c r="K541" s="205" t="s">
        <v>21</v>
      </c>
      <c r="L541" s="191" t="s">
        <v>728</v>
      </c>
      <c r="M541" s="188">
        <v>1000000</v>
      </c>
      <c r="N541" s="201" t="s">
        <v>23</v>
      </c>
      <c r="O541" s="201" t="s">
        <v>23</v>
      </c>
      <c r="P541" s="192" t="s">
        <v>24</v>
      </c>
    </row>
    <row r="542" spans="1:16" s="196" customFormat="1" ht="75" x14ac:dyDescent="0.2">
      <c r="A542" s="2">
        <v>2023579</v>
      </c>
      <c r="B542" s="120" t="s">
        <v>17</v>
      </c>
      <c r="C542" s="156" t="s">
        <v>17</v>
      </c>
      <c r="D542" s="202" t="s">
        <v>18</v>
      </c>
      <c r="E542" s="198" t="s">
        <v>71</v>
      </c>
      <c r="F542" s="191" t="s">
        <v>500</v>
      </c>
      <c r="G542" s="193">
        <v>44999</v>
      </c>
      <c r="H542" s="193">
        <v>45009</v>
      </c>
      <c r="I542" s="191">
        <v>1</v>
      </c>
      <c r="J542" s="202" t="s">
        <v>20</v>
      </c>
      <c r="K542" s="205" t="s">
        <v>21</v>
      </c>
      <c r="L542" s="191" t="s">
        <v>73</v>
      </c>
      <c r="M542" s="188">
        <v>20000000</v>
      </c>
      <c r="N542" s="201" t="s">
        <v>23</v>
      </c>
      <c r="O542" s="201" t="s">
        <v>23</v>
      </c>
      <c r="P542" s="192" t="s">
        <v>365</v>
      </c>
    </row>
    <row r="543" spans="1:16" s="216" customFormat="1" ht="90" x14ac:dyDescent="0.25">
      <c r="A543" s="2">
        <v>2023580</v>
      </c>
      <c r="B543" s="120">
        <v>7658</v>
      </c>
      <c r="C543" s="156" t="s">
        <v>143</v>
      </c>
      <c r="D543" s="202" t="s">
        <v>222</v>
      </c>
      <c r="E543" s="191" t="s">
        <v>386</v>
      </c>
      <c r="F543" s="198" t="s">
        <v>501</v>
      </c>
      <c r="G543" s="199">
        <v>45000</v>
      </c>
      <c r="H543" s="199">
        <v>45000</v>
      </c>
      <c r="I543" s="191">
        <v>1</v>
      </c>
      <c r="J543" s="202" t="s">
        <v>386</v>
      </c>
      <c r="K543" s="205" t="s">
        <v>387</v>
      </c>
      <c r="L543" s="191" t="s">
        <v>235</v>
      </c>
      <c r="M543" s="188">
        <v>183600</v>
      </c>
      <c r="N543" s="201" t="s">
        <v>225</v>
      </c>
      <c r="O543" s="201" t="s">
        <v>164</v>
      </c>
      <c r="P543" s="192" t="s">
        <v>365</v>
      </c>
    </row>
    <row r="544" spans="1:16" s="196" customFormat="1" ht="75" x14ac:dyDescent="0.2">
      <c r="A544" s="4">
        <v>2023581</v>
      </c>
      <c r="B544" s="120">
        <v>7658</v>
      </c>
      <c r="C544" s="156" t="s">
        <v>143</v>
      </c>
      <c r="D544" s="191" t="s">
        <v>282</v>
      </c>
      <c r="E544" s="202" t="s">
        <v>288</v>
      </c>
      <c r="F544" s="201" t="s">
        <v>502</v>
      </c>
      <c r="G544" s="242">
        <v>45022</v>
      </c>
      <c r="H544" s="242">
        <v>45078</v>
      </c>
      <c r="I544" s="202">
        <v>6</v>
      </c>
      <c r="J544" s="202" t="s">
        <v>155</v>
      </c>
      <c r="K544" s="205" t="s">
        <v>21</v>
      </c>
      <c r="L544" s="202" t="s">
        <v>27</v>
      </c>
      <c r="M544" s="189">
        <f>83128962-55419308</f>
        <v>27709654</v>
      </c>
      <c r="N544" s="201" t="s">
        <v>286</v>
      </c>
      <c r="O544" s="201" t="s">
        <v>287</v>
      </c>
      <c r="P544" s="192" t="s">
        <v>365</v>
      </c>
    </row>
    <row r="545" spans="1:16" s="196" customFormat="1" ht="60" x14ac:dyDescent="0.2">
      <c r="A545" s="2">
        <v>2023582</v>
      </c>
      <c r="B545" s="120">
        <v>7655</v>
      </c>
      <c r="C545" s="118" t="s">
        <v>25</v>
      </c>
      <c r="D545" s="191" t="s">
        <v>320</v>
      </c>
      <c r="E545" s="201">
        <v>80111600</v>
      </c>
      <c r="F545" s="202" t="s">
        <v>333</v>
      </c>
      <c r="G545" s="204">
        <v>45078</v>
      </c>
      <c r="H545" s="204">
        <v>45087</v>
      </c>
      <c r="I545" s="202">
        <v>6</v>
      </c>
      <c r="J545" s="191" t="s">
        <v>20</v>
      </c>
      <c r="K545" s="205" t="s">
        <v>21</v>
      </c>
      <c r="L545" s="191" t="s">
        <v>27</v>
      </c>
      <c r="M545" s="231">
        <f>2450000*6</f>
        <v>14700000</v>
      </c>
      <c r="N545" s="201" t="s">
        <v>28</v>
      </c>
      <c r="O545" s="201" t="s">
        <v>29</v>
      </c>
      <c r="P545" s="198" t="s">
        <v>24</v>
      </c>
    </row>
    <row r="546" spans="1:16" s="196" customFormat="1" ht="75" x14ac:dyDescent="0.2">
      <c r="A546" s="2">
        <v>2023583</v>
      </c>
      <c r="B546" s="120">
        <v>7637</v>
      </c>
      <c r="C546" s="162" t="s">
        <v>74</v>
      </c>
      <c r="D546" s="191" t="s">
        <v>18</v>
      </c>
      <c r="E546" s="201">
        <v>81161712</v>
      </c>
      <c r="F546" s="202" t="s">
        <v>503</v>
      </c>
      <c r="G546" s="204">
        <v>45149</v>
      </c>
      <c r="H546" s="204">
        <v>45163</v>
      </c>
      <c r="I546" s="202">
        <v>12</v>
      </c>
      <c r="J546" s="202" t="s">
        <v>119</v>
      </c>
      <c r="K546" s="205" t="s">
        <v>21</v>
      </c>
      <c r="L546" s="202" t="s">
        <v>98</v>
      </c>
      <c r="M546" s="189">
        <f>40000000-10000000</f>
        <v>30000000</v>
      </c>
      <c r="N546" s="201" t="s">
        <v>76</v>
      </c>
      <c r="O546" s="201" t="s">
        <v>77</v>
      </c>
      <c r="P546" s="192" t="s">
        <v>24</v>
      </c>
    </row>
    <row r="547" spans="1:16" s="196" customFormat="1" ht="60" x14ac:dyDescent="0.2">
      <c r="A547" s="4">
        <v>2023584</v>
      </c>
      <c r="B547" s="2">
        <v>7655</v>
      </c>
      <c r="C547" s="118" t="s">
        <v>25</v>
      </c>
      <c r="D547" s="191" t="s">
        <v>320</v>
      </c>
      <c r="E547" s="198">
        <v>80111600</v>
      </c>
      <c r="F547" s="191" t="s">
        <v>504</v>
      </c>
      <c r="G547" s="193">
        <v>44986</v>
      </c>
      <c r="H547" s="193">
        <v>45000</v>
      </c>
      <c r="I547" s="191">
        <v>5</v>
      </c>
      <c r="J547" s="191" t="s">
        <v>20</v>
      </c>
      <c r="K547" s="197" t="s">
        <v>21</v>
      </c>
      <c r="L547" s="191" t="s">
        <v>27</v>
      </c>
      <c r="M547" s="230">
        <f>((6000000*5)-17150000)-5146960-1000000+29938667</f>
        <v>36641707</v>
      </c>
      <c r="N547" s="198" t="s">
        <v>28</v>
      </c>
      <c r="O547" s="198" t="s">
        <v>29</v>
      </c>
      <c r="P547" s="192" t="s">
        <v>24</v>
      </c>
    </row>
    <row r="548" spans="1:16" s="196" customFormat="1" ht="60" x14ac:dyDescent="0.2">
      <c r="A548" s="4">
        <v>2023585</v>
      </c>
      <c r="B548" s="2">
        <v>7655</v>
      </c>
      <c r="C548" s="118" t="s">
        <v>25</v>
      </c>
      <c r="D548" s="198" t="s">
        <v>126</v>
      </c>
      <c r="E548" s="201">
        <v>80111600</v>
      </c>
      <c r="F548" s="201" t="s">
        <v>144</v>
      </c>
      <c r="G548" s="242">
        <v>44986</v>
      </c>
      <c r="H548" s="242">
        <v>45017</v>
      </c>
      <c r="I548" s="202">
        <v>9</v>
      </c>
      <c r="J548" s="191" t="s">
        <v>20</v>
      </c>
      <c r="K548" s="197" t="s">
        <v>21</v>
      </c>
      <c r="L548" s="191" t="s">
        <v>27</v>
      </c>
      <c r="M548" s="231">
        <f>46675000-100000</f>
        <v>46575000</v>
      </c>
      <c r="N548" s="198" t="s">
        <v>28</v>
      </c>
      <c r="O548" s="198" t="s">
        <v>29</v>
      </c>
      <c r="P548" s="192" t="s">
        <v>24</v>
      </c>
    </row>
    <row r="549" spans="1:16" s="196" customFormat="1" ht="90" x14ac:dyDescent="0.2">
      <c r="A549" s="4">
        <v>2023586</v>
      </c>
      <c r="B549" s="2">
        <v>7658</v>
      </c>
      <c r="C549" s="118" t="s">
        <v>143</v>
      </c>
      <c r="D549" s="198" t="s">
        <v>45</v>
      </c>
      <c r="E549" s="201">
        <v>80111600</v>
      </c>
      <c r="F549" s="202" t="s">
        <v>176</v>
      </c>
      <c r="G549" s="204">
        <v>45017</v>
      </c>
      <c r="H549" s="204">
        <v>45031</v>
      </c>
      <c r="I549" s="202">
        <v>9</v>
      </c>
      <c r="J549" s="191" t="s">
        <v>20</v>
      </c>
      <c r="K549" s="197" t="s">
        <v>21</v>
      </c>
      <c r="L549" s="191" t="s">
        <v>27</v>
      </c>
      <c r="M549" s="189">
        <f>22050000-4900000</f>
        <v>17150000</v>
      </c>
      <c r="N549" s="198" t="s">
        <v>167</v>
      </c>
      <c r="O549" s="198" t="s">
        <v>164</v>
      </c>
      <c r="P549" s="192" t="s">
        <v>24</v>
      </c>
    </row>
    <row r="550" spans="1:16" s="196" customFormat="1" ht="105" x14ac:dyDescent="0.2">
      <c r="A550" s="4">
        <v>2023587</v>
      </c>
      <c r="B550" s="2" t="s">
        <v>17</v>
      </c>
      <c r="C550" s="118" t="s">
        <v>17</v>
      </c>
      <c r="D550" s="198" t="s">
        <v>320</v>
      </c>
      <c r="E550" s="201" t="s">
        <v>420</v>
      </c>
      <c r="F550" s="202" t="s">
        <v>505</v>
      </c>
      <c r="G550" s="204">
        <v>45000</v>
      </c>
      <c r="H550" s="204">
        <v>45007</v>
      </c>
      <c r="I550" s="202">
        <v>4</v>
      </c>
      <c r="J550" s="191" t="s">
        <v>155</v>
      </c>
      <c r="K550" s="197" t="s">
        <v>21</v>
      </c>
      <c r="L550" s="191" t="s">
        <v>23</v>
      </c>
      <c r="M550" s="189">
        <v>13362480</v>
      </c>
      <c r="N550" s="198" t="s">
        <v>23</v>
      </c>
      <c r="O550" s="198" t="s">
        <v>23</v>
      </c>
      <c r="P550" s="192" t="s">
        <v>365</v>
      </c>
    </row>
    <row r="551" spans="1:16" s="196" customFormat="1" ht="90" x14ac:dyDescent="0.2">
      <c r="A551" s="4">
        <v>2023589</v>
      </c>
      <c r="B551" s="2">
        <v>7658</v>
      </c>
      <c r="C551" s="118" t="s">
        <v>143</v>
      </c>
      <c r="D551" s="198" t="s">
        <v>320</v>
      </c>
      <c r="E551" s="201" t="s">
        <v>506</v>
      </c>
      <c r="F551" s="202" t="s">
        <v>507</v>
      </c>
      <c r="G551" s="204">
        <v>45005</v>
      </c>
      <c r="H551" s="204">
        <v>45036</v>
      </c>
      <c r="I551" s="202">
        <v>1</v>
      </c>
      <c r="J551" s="191" t="s">
        <v>20</v>
      </c>
      <c r="K551" s="197" t="s">
        <v>21</v>
      </c>
      <c r="L551" s="202" t="s">
        <v>684</v>
      </c>
      <c r="M551" s="189">
        <v>38376059</v>
      </c>
      <c r="N551" s="198" t="s">
        <v>382</v>
      </c>
      <c r="O551" s="198" t="s">
        <v>383</v>
      </c>
      <c r="P551" s="192" t="s">
        <v>365</v>
      </c>
    </row>
    <row r="552" spans="1:16" s="196" customFormat="1" ht="60" x14ac:dyDescent="0.2">
      <c r="A552" s="4">
        <v>2023591</v>
      </c>
      <c r="B552" s="2">
        <v>7655</v>
      </c>
      <c r="C552" s="118" t="s">
        <v>25</v>
      </c>
      <c r="D552" s="198" t="s">
        <v>320</v>
      </c>
      <c r="E552" s="201">
        <v>80111600</v>
      </c>
      <c r="F552" s="202" t="s">
        <v>431</v>
      </c>
      <c r="G552" s="204">
        <v>45017</v>
      </c>
      <c r="H552" s="204">
        <v>45031</v>
      </c>
      <c r="I552" s="202">
        <v>7</v>
      </c>
      <c r="J552" s="191" t="s">
        <v>20</v>
      </c>
      <c r="K552" s="197" t="s">
        <v>21</v>
      </c>
      <c r="L552" s="202" t="s">
        <v>27</v>
      </c>
      <c r="M552" s="231">
        <f>(2450000*6)-7216267</f>
        <v>7483733</v>
      </c>
      <c r="N552" s="198" t="s">
        <v>28</v>
      </c>
      <c r="O552" s="198" t="s">
        <v>29</v>
      </c>
      <c r="P552" s="192" t="s">
        <v>24</v>
      </c>
    </row>
    <row r="553" spans="1:16" s="196" customFormat="1" ht="60" x14ac:dyDescent="0.2">
      <c r="A553" s="4">
        <v>2023592</v>
      </c>
      <c r="B553" s="2">
        <v>7655</v>
      </c>
      <c r="C553" s="118" t="s">
        <v>25</v>
      </c>
      <c r="D553" s="198" t="s">
        <v>320</v>
      </c>
      <c r="E553" s="201">
        <v>80111600</v>
      </c>
      <c r="F553" s="202" t="s">
        <v>330</v>
      </c>
      <c r="G553" s="204">
        <v>45017</v>
      </c>
      <c r="H553" s="204">
        <v>45031</v>
      </c>
      <c r="I553" s="202">
        <v>7</v>
      </c>
      <c r="J553" s="191" t="s">
        <v>20</v>
      </c>
      <c r="K553" s="197" t="s">
        <v>21</v>
      </c>
      <c r="L553" s="202" t="s">
        <v>27</v>
      </c>
      <c r="M553" s="231">
        <f>6800000*6</f>
        <v>40800000</v>
      </c>
      <c r="N553" s="198" t="s">
        <v>28</v>
      </c>
      <c r="O553" s="198" t="s">
        <v>29</v>
      </c>
      <c r="P553" s="192" t="s">
        <v>24</v>
      </c>
    </row>
    <row r="554" spans="1:16" s="196" customFormat="1" ht="60" x14ac:dyDescent="0.2">
      <c r="A554" s="4">
        <v>2023593</v>
      </c>
      <c r="B554" s="2">
        <v>7655</v>
      </c>
      <c r="C554" s="118" t="s">
        <v>25</v>
      </c>
      <c r="D554" s="198" t="s">
        <v>320</v>
      </c>
      <c r="E554" s="201">
        <v>80111600</v>
      </c>
      <c r="F554" s="202" t="s">
        <v>431</v>
      </c>
      <c r="G554" s="204">
        <v>45017</v>
      </c>
      <c r="H554" s="204">
        <v>45031</v>
      </c>
      <c r="I554" s="202">
        <v>7</v>
      </c>
      <c r="J554" s="191" t="s">
        <v>20</v>
      </c>
      <c r="K554" s="197" t="s">
        <v>21</v>
      </c>
      <c r="L554" s="191" t="s">
        <v>27</v>
      </c>
      <c r="M554" s="231">
        <f>2450000*6</f>
        <v>14700000</v>
      </c>
      <c r="N554" s="198" t="s">
        <v>28</v>
      </c>
      <c r="O554" s="198" t="s">
        <v>29</v>
      </c>
      <c r="P554" s="192" t="s">
        <v>24</v>
      </c>
    </row>
    <row r="555" spans="1:16" s="196" customFormat="1" ht="75" x14ac:dyDescent="0.2">
      <c r="A555" s="4">
        <v>2023594</v>
      </c>
      <c r="B555" s="2">
        <v>7658</v>
      </c>
      <c r="C555" s="118" t="s">
        <v>143</v>
      </c>
      <c r="D555" s="198" t="s">
        <v>126</v>
      </c>
      <c r="E555" s="201">
        <v>80111600</v>
      </c>
      <c r="F555" s="202" t="s">
        <v>508</v>
      </c>
      <c r="G555" s="204">
        <v>45006</v>
      </c>
      <c r="H555" s="204">
        <v>45010</v>
      </c>
      <c r="I555" s="202">
        <v>9</v>
      </c>
      <c r="J555" s="191" t="s">
        <v>20</v>
      </c>
      <c r="K555" s="197" t="s">
        <v>21</v>
      </c>
      <c r="L555" s="191" t="s">
        <v>27</v>
      </c>
      <c r="M555" s="189">
        <f>22050000-295380-221287</f>
        <v>21533333</v>
      </c>
      <c r="N555" s="198" t="s">
        <v>145</v>
      </c>
      <c r="O555" s="198" t="s">
        <v>146</v>
      </c>
      <c r="P555" s="192" t="s">
        <v>24</v>
      </c>
    </row>
    <row r="556" spans="1:16" s="196" customFormat="1" ht="75" x14ac:dyDescent="0.2">
      <c r="A556" s="4">
        <v>2023595</v>
      </c>
      <c r="B556" s="2">
        <v>7658</v>
      </c>
      <c r="C556" s="118" t="s">
        <v>143</v>
      </c>
      <c r="D556" s="198" t="s">
        <v>126</v>
      </c>
      <c r="E556" s="201">
        <v>80111600</v>
      </c>
      <c r="F556" s="202" t="s">
        <v>509</v>
      </c>
      <c r="G556" s="204">
        <v>45005</v>
      </c>
      <c r="H556" s="204">
        <v>45008</v>
      </c>
      <c r="I556" s="202">
        <v>3</v>
      </c>
      <c r="J556" s="191" t="s">
        <v>20</v>
      </c>
      <c r="K556" s="197" t="s">
        <v>21</v>
      </c>
      <c r="L556" s="191" t="s">
        <v>27</v>
      </c>
      <c r="M556" s="189">
        <f>6665500+7000000+1859500+5707000+7000000+13472620+295380-30000000</f>
        <v>12000000</v>
      </c>
      <c r="N556" s="198" t="s">
        <v>145</v>
      </c>
      <c r="O556" s="198" t="s">
        <v>146</v>
      </c>
      <c r="P556" s="192" t="s">
        <v>24</v>
      </c>
    </row>
    <row r="557" spans="1:16" s="196" customFormat="1" ht="75" x14ac:dyDescent="0.2">
      <c r="A557" s="4">
        <v>2023596</v>
      </c>
      <c r="B557" s="2">
        <v>7658</v>
      </c>
      <c r="C557" s="118" t="s">
        <v>143</v>
      </c>
      <c r="D557" s="198" t="s">
        <v>126</v>
      </c>
      <c r="E557" s="201">
        <v>80111600</v>
      </c>
      <c r="F557" s="202" t="s">
        <v>495</v>
      </c>
      <c r="G557" s="204">
        <v>45005</v>
      </c>
      <c r="H557" s="204">
        <v>45008</v>
      </c>
      <c r="I557" s="202">
        <v>3</v>
      </c>
      <c r="J557" s="191" t="s">
        <v>20</v>
      </c>
      <c r="K557" s="197" t="s">
        <v>21</v>
      </c>
      <c r="L557" s="191" t="s">
        <v>27</v>
      </c>
      <c r="M557" s="189">
        <f>3142000+8258000-5693000-5707000</f>
        <v>0</v>
      </c>
      <c r="N557" s="198" t="s">
        <v>145</v>
      </c>
      <c r="O557" s="198" t="s">
        <v>146</v>
      </c>
      <c r="P557" s="192" t="s">
        <v>24</v>
      </c>
    </row>
    <row r="558" spans="1:16" s="196" customFormat="1" ht="75" x14ac:dyDescent="0.2">
      <c r="A558" s="4">
        <v>2023597</v>
      </c>
      <c r="B558" s="120">
        <v>7658</v>
      </c>
      <c r="C558" s="156" t="s">
        <v>143</v>
      </c>
      <c r="D558" s="201" t="s">
        <v>126</v>
      </c>
      <c r="E558" s="201">
        <v>80111600</v>
      </c>
      <c r="F558" s="202" t="s">
        <v>510</v>
      </c>
      <c r="G558" s="204">
        <v>45018</v>
      </c>
      <c r="H558" s="204">
        <v>45021</v>
      </c>
      <c r="I558" s="202">
        <v>1</v>
      </c>
      <c r="J558" s="202" t="s">
        <v>20</v>
      </c>
      <c r="K558" s="205" t="s">
        <v>21</v>
      </c>
      <c r="L558" s="202" t="s">
        <v>27</v>
      </c>
      <c r="M558" s="189">
        <f>4347000/30*22</f>
        <v>3187800</v>
      </c>
      <c r="N558" s="201" t="s">
        <v>145</v>
      </c>
      <c r="O558" s="201" t="s">
        <v>146</v>
      </c>
      <c r="P558" s="192" t="s">
        <v>365</v>
      </c>
    </row>
    <row r="559" spans="1:16" s="196" customFormat="1" ht="105" x14ac:dyDescent="0.2">
      <c r="A559" s="2">
        <v>2023598</v>
      </c>
      <c r="B559" s="120">
        <v>7655</v>
      </c>
      <c r="C559" s="156" t="s">
        <v>25</v>
      </c>
      <c r="D559" s="202" t="s">
        <v>45</v>
      </c>
      <c r="E559" s="201">
        <v>80111600</v>
      </c>
      <c r="F559" s="214" t="s">
        <v>511</v>
      </c>
      <c r="G559" s="204">
        <v>45017</v>
      </c>
      <c r="H559" s="204">
        <v>45031</v>
      </c>
      <c r="I559" s="202">
        <v>5</v>
      </c>
      <c r="J559" s="202" t="s">
        <v>20</v>
      </c>
      <c r="K559" s="205" t="s">
        <v>21</v>
      </c>
      <c r="L559" s="202" t="s">
        <v>27</v>
      </c>
      <c r="M559" s="231">
        <v>29775000</v>
      </c>
      <c r="N559" s="201" t="s">
        <v>47</v>
      </c>
      <c r="O559" s="201" t="s">
        <v>29</v>
      </c>
      <c r="P559" s="192" t="s">
        <v>24</v>
      </c>
    </row>
    <row r="560" spans="1:16" s="196" customFormat="1" ht="90" x14ac:dyDescent="0.2">
      <c r="A560" s="2">
        <v>2023599</v>
      </c>
      <c r="B560" s="120">
        <v>7655</v>
      </c>
      <c r="C560" s="156" t="s">
        <v>25</v>
      </c>
      <c r="D560" s="202" t="s">
        <v>45</v>
      </c>
      <c r="E560" s="201">
        <v>80111600</v>
      </c>
      <c r="F560" s="214" t="s">
        <v>512</v>
      </c>
      <c r="G560" s="204">
        <v>45017</v>
      </c>
      <c r="H560" s="204">
        <v>45031</v>
      </c>
      <c r="I560" s="202">
        <v>5</v>
      </c>
      <c r="J560" s="202" t="s">
        <v>20</v>
      </c>
      <c r="K560" s="205" t="s">
        <v>21</v>
      </c>
      <c r="L560" s="202" t="s">
        <v>27</v>
      </c>
      <c r="M560" s="231">
        <v>29775000</v>
      </c>
      <c r="N560" s="201" t="s">
        <v>47</v>
      </c>
      <c r="O560" s="201" t="s">
        <v>29</v>
      </c>
      <c r="P560" s="192" t="s">
        <v>24</v>
      </c>
    </row>
    <row r="561" spans="1:16" s="196" customFormat="1" ht="90" x14ac:dyDescent="0.2">
      <c r="A561" s="4">
        <v>2023600</v>
      </c>
      <c r="B561" s="120">
        <v>7655</v>
      </c>
      <c r="C561" s="156" t="s">
        <v>25</v>
      </c>
      <c r="D561" s="202" t="s">
        <v>45</v>
      </c>
      <c r="E561" s="201">
        <v>80111600</v>
      </c>
      <c r="F561" s="214" t="s">
        <v>512</v>
      </c>
      <c r="G561" s="204">
        <v>45017</v>
      </c>
      <c r="H561" s="204">
        <v>45031</v>
      </c>
      <c r="I561" s="202">
        <v>5</v>
      </c>
      <c r="J561" s="202" t="s">
        <v>20</v>
      </c>
      <c r="K561" s="205" t="s">
        <v>21</v>
      </c>
      <c r="L561" s="202" t="s">
        <v>27</v>
      </c>
      <c r="M561" s="231">
        <v>29775000</v>
      </c>
      <c r="N561" s="201" t="s">
        <v>47</v>
      </c>
      <c r="O561" s="201" t="s">
        <v>29</v>
      </c>
      <c r="P561" s="192" t="s">
        <v>24</v>
      </c>
    </row>
    <row r="562" spans="1:16" s="196" customFormat="1" ht="90" x14ac:dyDescent="0.2">
      <c r="A562" s="4">
        <v>2023601</v>
      </c>
      <c r="B562" s="120">
        <v>7655</v>
      </c>
      <c r="C562" s="156" t="s">
        <v>25</v>
      </c>
      <c r="D562" s="202" t="s">
        <v>45</v>
      </c>
      <c r="E562" s="201">
        <v>80111600</v>
      </c>
      <c r="F562" s="214" t="s">
        <v>512</v>
      </c>
      <c r="G562" s="204">
        <v>45017</v>
      </c>
      <c r="H562" s="204">
        <v>45031</v>
      </c>
      <c r="I562" s="202">
        <v>5</v>
      </c>
      <c r="J562" s="202" t="s">
        <v>20</v>
      </c>
      <c r="K562" s="205" t="s">
        <v>21</v>
      </c>
      <c r="L562" s="202" t="s">
        <v>27</v>
      </c>
      <c r="M562" s="231">
        <v>29775000</v>
      </c>
      <c r="N562" s="201" t="s">
        <v>47</v>
      </c>
      <c r="O562" s="201" t="s">
        <v>29</v>
      </c>
      <c r="P562" s="192" t="s">
        <v>24</v>
      </c>
    </row>
    <row r="563" spans="1:16" s="196" customFormat="1" ht="150" x14ac:dyDescent="0.2">
      <c r="A563" s="2">
        <v>2023602</v>
      </c>
      <c r="B563" s="120">
        <v>7658</v>
      </c>
      <c r="C563" s="156" t="s">
        <v>143</v>
      </c>
      <c r="D563" s="202" t="s">
        <v>45</v>
      </c>
      <c r="E563" s="201">
        <v>80111600</v>
      </c>
      <c r="F563" s="214" t="s">
        <v>513</v>
      </c>
      <c r="G563" s="204">
        <v>45017</v>
      </c>
      <c r="H563" s="204">
        <v>45031</v>
      </c>
      <c r="I563" s="202">
        <v>6</v>
      </c>
      <c r="J563" s="202" t="s">
        <v>20</v>
      </c>
      <c r="K563" s="205" t="s">
        <v>21</v>
      </c>
      <c r="L563" s="202" t="s">
        <v>27</v>
      </c>
      <c r="M563" s="189">
        <f>22800000+2100000+2100000+2100000+2100000+2100000+2100000+2100000+2100000</f>
        <v>39600000</v>
      </c>
      <c r="N563" s="201" t="s">
        <v>167</v>
      </c>
      <c r="O563" s="201" t="s">
        <v>164</v>
      </c>
      <c r="P563" s="192" t="s">
        <v>24</v>
      </c>
    </row>
    <row r="564" spans="1:16" s="196" customFormat="1" ht="105" x14ac:dyDescent="0.2">
      <c r="A564" s="2">
        <v>2023603</v>
      </c>
      <c r="B564" s="120">
        <v>7658</v>
      </c>
      <c r="C564" s="156" t="s">
        <v>143</v>
      </c>
      <c r="D564" s="191" t="s">
        <v>45</v>
      </c>
      <c r="E564" s="198">
        <v>80111600</v>
      </c>
      <c r="F564" s="215" t="s">
        <v>514</v>
      </c>
      <c r="G564" s="193">
        <v>45017</v>
      </c>
      <c r="H564" s="193">
        <v>45031</v>
      </c>
      <c r="I564" s="191">
        <v>8.5</v>
      </c>
      <c r="J564" s="202" t="s">
        <v>20</v>
      </c>
      <c r="K564" s="205" t="s">
        <v>21</v>
      </c>
      <c r="L564" s="191" t="s">
        <v>27</v>
      </c>
      <c r="M564" s="188">
        <v>32725000</v>
      </c>
      <c r="N564" s="198" t="s">
        <v>167</v>
      </c>
      <c r="O564" s="198" t="s">
        <v>164</v>
      </c>
      <c r="P564" s="192" t="s">
        <v>24</v>
      </c>
    </row>
    <row r="565" spans="1:16" s="217" customFormat="1" ht="60" x14ac:dyDescent="0.2">
      <c r="A565" s="4">
        <v>2023604</v>
      </c>
      <c r="B565" s="120">
        <v>7655</v>
      </c>
      <c r="C565" s="156" t="s">
        <v>25</v>
      </c>
      <c r="D565" s="198" t="s">
        <v>216</v>
      </c>
      <c r="E565" s="241">
        <v>80111600</v>
      </c>
      <c r="F565" s="191" t="s">
        <v>515</v>
      </c>
      <c r="G565" s="193">
        <v>45026</v>
      </c>
      <c r="H565" s="193">
        <v>45019</v>
      </c>
      <c r="I565" s="191">
        <v>6</v>
      </c>
      <c r="J565" s="191" t="s">
        <v>20</v>
      </c>
      <c r="K565" s="205" t="s">
        <v>21</v>
      </c>
      <c r="L565" s="191" t="s">
        <v>27</v>
      </c>
      <c r="M565" s="230">
        <v>33000000</v>
      </c>
      <c r="N565" s="198" t="s">
        <v>28</v>
      </c>
      <c r="O565" s="198" t="s">
        <v>29</v>
      </c>
      <c r="P565" s="192" t="s">
        <v>24</v>
      </c>
    </row>
    <row r="566" spans="1:16" s="196" customFormat="1" ht="90" x14ac:dyDescent="0.2">
      <c r="A566" s="4">
        <v>2023605</v>
      </c>
      <c r="B566" s="2">
        <v>7658</v>
      </c>
      <c r="C566" s="118" t="s">
        <v>143</v>
      </c>
      <c r="D566" s="198" t="s">
        <v>222</v>
      </c>
      <c r="E566" s="240">
        <v>25172500</v>
      </c>
      <c r="F566" s="191" t="s">
        <v>516</v>
      </c>
      <c r="G566" s="193">
        <v>45017</v>
      </c>
      <c r="H566" s="193">
        <v>45021</v>
      </c>
      <c r="I566" s="191">
        <v>10</v>
      </c>
      <c r="J566" s="191" t="s">
        <v>102</v>
      </c>
      <c r="K566" s="197" t="s">
        <v>21</v>
      </c>
      <c r="L566" s="191" t="s">
        <v>162</v>
      </c>
      <c r="M566" s="188">
        <v>30000000</v>
      </c>
      <c r="N566" s="198" t="s">
        <v>225</v>
      </c>
      <c r="O566" s="198" t="s">
        <v>164</v>
      </c>
      <c r="P566" s="192" t="s">
        <v>365</v>
      </c>
    </row>
    <row r="567" spans="1:16" s="196" customFormat="1" ht="60" x14ac:dyDescent="0.2">
      <c r="A567" s="2">
        <v>2023606</v>
      </c>
      <c r="B567" s="2">
        <v>7655</v>
      </c>
      <c r="C567" s="118" t="s">
        <v>25</v>
      </c>
      <c r="D567" s="198" t="s">
        <v>126</v>
      </c>
      <c r="E567" s="198">
        <v>80111600</v>
      </c>
      <c r="F567" s="198" t="s">
        <v>142</v>
      </c>
      <c r="G567" s="199">
        <v>45019</v>
      </c>
      <c r="H567" s="199">
        <v>45026</v>
      </c>
      <c r="I567" s="191">
        <v>7</v>
      </c>
      <c r="J567" s="191" t="s">
        <v>20</v>
      </c>
      <c r="K567" s="197" t="s">
        <v>21</v>
      </c>
      <c r="L567" s="191" t="s">
        <v>27</v>
      </c>
      <c r="M567" s="230">
        <f>24500000-1700000</f>
        <v>22800000</v>
      </c>
      <c r="N567" s="211" t="s">
        <v>28</v>
      </c>
      <c r="O567" s="198" t="s">
        <v>29</v>
      </c>
      <c r="P567" s="192" t="s">
        <v>24</v>
      </c>
    </row>
    <row r="568" spans="1:16" s="196" customFormat="1" ht="60" x14ac:dyDescent="0.2">
      <c r="A568" s="2">
        <v>2023607</v>
      </c>
      <c r="B568" s="2">
        <v>7655</v>
      </c>
      <c r="C568" s="118" t="s">
        <v>25</v>
      </c>
      <c r="D568" s="198" t="s">
        <v>18</v>
      </c>
      <c r="E568" s="198">
        <v>80111600</v>
      </c>
      <c r="F568" s="191" t="s">
        <v>517</v>
      </c>
      <c r="G568" s="193">
        <v>45017</v>
      </c>
      <c r="H568" s="193">
        <v>45031</v>
      </c>
      <c r="I568" s="191">
        <v>4</v>
      </c>
      <c r="J568" s="191" t="s">
        <v>20</v>
      </c>
      <c r="K568" s="197" t="s">
        <v>21</v>
      </c>
      <c r="L568" s="191" t="s">
        <v>27</v>
      </c>
      <c r="M568" s="230">
        <v>20000000</v>
      </c>
      <c r="N568" s="198" t="s">
        <v>28</v>
      </c>
      <c r="O568" s="198" t="s">
        <v>29</v>
      </c>
      <c r="P568" s="192" t="s">
        <v>24</v>
      </c>
    </row>
    <row r="569" spans="1:16" s="196" customFormat="1" ht="75" x14ac:dyDescent="0.2">
      <c r="A569" s="2">
        <v>2023608</v>
      </c>
      <c r="B569" s="2">
        <v>7655</v>
      </c>
      <c r="C569" s="118" t="s">
        <v>25</v>
      </c>
      <c r="D569" s="198" t="s">
        <v>126</v>
      </c>
      <c r="E569" s="198">
        <v>80111600</v>
      </c>
      <c r="F569" s="191" t="s">
        <v>518</v>
      </c>
      <c r="G569" s="193">
        <v>45032</v>
      </c>
      <c r="H569" s="193">
        <v>45034</v>
      </c>
      <c r="I569" s="191">
        <v>1</v>
      </c>
      <c r="J569" s="191" t="s">
        <v>20</v>
      </c>
      <c r="K569" s="197" t="s">
        <v>21</v>
      </c>
      <c r="L569" s="191" t="s">
        <v>27</v>
      </c>
      <c r="M569" s="230">
        <v>5693000</v>
      </c>
      <c r="N569" s="192" t="s">
        <v>28</v>
      </c>
      <c r="O569" s="192" t="s">
        <v>29</v>
      </c>
      <c r="P569" s="192" t="s">
        <v>365</v>
      </c>
    </row>
    <row r="570" spans="1:16" s="196" customFormat="1" ht="75" x14ac:dyDescent="0.2">
      <c r="A570" s="2">
        <v>2023609</v>
      </c>
      <c r="B570" s="2">
        <v>7658</v>
      </c>
      <c r="C570" s="118" t="s">
        <v>458</v>
      </c>
      <c r="D570" s="198" t="s">
        <v>126</v>
      </c>
      <c r="E570" s="198">
        <v>80111600</v>
      </c>
      <c r="F570" s="191" t="s">
        <v>519</v>
      </c>
      <c r="G570" s="193">
        <v>45032</v>
      </c>
      <c r="H570" s="193">
        <v>45034</v>
      </c>
      <c r="I570" s="191">
        <v>1</v>
      </c>
      <c r="J570" s="191" t="s">
        <v>20</v>
      </c>
      <c r="K570" s="197" t="s">
        <v>21</v>
      </c>
      <c r="L570" s="191" t="s">
        <v>27</v>
      </c>
      <c r="M570" s="188">
        <v>5693000</v>
      </c>
      <c r="N570" s="198" t="s">
        <v>145</v>
      </c>
      <c r="O570" s="198" t="s">
        <v>146</v>
      </c>
      <c r="P570" s="192" t="s">
        <v>365</v>
      </c>
    </row>
    <row r="571" spans="1:16" s="196" customFormat="1" ht="60" x14ac:dyDescent="0.2">
      <c r="A571" s="2">
        <v>2023610</v>
      </c>
      <c r="B571" s="2">
        <v>7655</v>
      </c>
      <c r="C571" s="118" t="s">
        <v>25</v>
      </c>
      <c r="D571" s="198" t="s">
        <v>196</v>
      </c>
      <c r="E571" s="198">
        <v>80111600</v>
      </c>
      <c r="F571" s="191" t="s">
        <v>520</v>
      </c>
      <c r="G571" s="193">
        <v>45031</v>
      </c>
      <c r="H571" s="193">
        <v>45046</v>
      </c>
      <c r="I571" s="191">
        <v>5</v>
      </c>
      <c r="J571" s="191" t="s">
        <v>20</v>
      </c>
      <c r="K571" s="197" t="s">
        <v>21</v>
      </c>
      <c r="L571" s="191" t="s">
        <v>27</v>
      </c>
      <c r="M571" s="230">
        <f>17800000+11266667+1000000-66667</f>
        <v>30000000</v>
      </c>
      <c r="N571" s="198" t="s">
        <v>28</v>
      </c>
      <c r="O571" s="198" t="s">
        <v>29</v>
      </c>
      <c r="P571" s="192" t="s">
        <v>24</v>
      </c>
    </row>
    <row r="572" spans="1:16" s="196" customFormat="1" ht="75" x14ac:dyDescent="0.2">
      <c r="A572" s="2">
        <v>2023611</v>
      </c>
      <c r="B572" s="2">
        <v>7655</v>
      </c>
      <c r="C572" s="118" t="s">
        <v>25</v>
      </c>
      <c r="D572" s="198" t="s">
        <v>196</v>
      </c>
      <c r="E572" s="198">
        <v>80111600</v>
      </c>
      <c r="F572" s="191" t="s">
        <v>521</v>
      </c>
      <c r="G572" s="193">
        <v>45031</v>
      </c>
      <c r="H572" s="193">
        <v>45046</v>
      </c>
      <c r="I572" s="191">
        <v>5</v>
      </c>
      <c r="J572" s="191" t="s">
        <v>20</v>
      </c>
      <c r="K572" s="197" t="s">
        <v>21</v>
      </c>
      <c r="L572" s="191" t="s">
        <v>27</v>
      </c>
      <c r="M572" s="230">
        <f>25050000+11746333-296333</f>
        <v>36500000</v>
      </c>
      <c r="N572" s="198" t="s">
        <v>28</v>
      </c>
      <c r="O572" s="198" t="s">
        <v>29</v>
      </c>
      <c r="P572" s="192" t="s">
        <v>24</v>
      </c>
    </row>
    <row r="573" spans="1:16" s="196" customFormat="1" ht="75" x14ac:dyDescent="0.2">
      <c r="A573" s="4">
        <v>2023612</v>
      </c>
      <c r="B573" s="2">
        <v>7655</v>
      </c>
      <c r="C573" s="118" t="s">
        <v>25</v>
      </c>
      <c r="D573" s="198" t="s">
        <v>196</v>
      </c>
      <c r="E573" s="198">
        <v>80111600</v>
      </c>
      <c r="F573" s="191" t="s">
        <v>521</v>
      </c>
      <c r="G573" s="193">
        <v>45031</v>
      </c>
      <c r="H573" s="193">
        <v>45046</v>
      </c>
      <c r="I573" s="191">
        <v>4</v>
      </c>
      <c r="J573" s="191" t="s">
        <v>20</v>
      </c>
      <c r="K573" s="197" t="s">
        <v>21</v>
      </c>
      <c r="L573" s="191" t="s">
        <v>27</v>
      </c>
      <c r="M573" s="230">
        <f>21000000+8035400-4235400</f>
        <v>24800000</v>
      </c>
      <c r="N573" s="198" t="s">
        <v>28</v>
      </c>
      <c r="O573" s="198" t="s">
        <v>29</v>
      </c>
      <c r="P573" s="192" t="s">
        <v>24</v>
      </c>
    </row>
    <row r="574" spans="1:16" s="196" customFormat="1" ht="90" x14ac:dyDescent="0.2">
      <c r="A574" s="4">
        <v>2023613</v>
      </c>
      <c r="B574" s="2">
        <v>7658</v>
      </c>
      <c r="C574" s="3" t="s">
        <v>143</v>
      </c>
      <c r="D574" s="198" t="s">
        <v>222</v>
      </c>
      <c r="E574" s="198">
        <v>80111600</v>
      </c>
      <c r="F574" s="191" t="s">
        <v>522</v>
      </c>
      <c r="G574" s="193">
        <v>45036</v>
      </c>
      <c r="H574" s="193">
        <v>45036</v>
      </c>
      <c r="I574" s="191">
        <v>9</v>
      </c>
      <c r="J574" s="191" t="s">
        <v>20</v>
      </c>
      <c r="K574" s="197" t="s">
        <v>21</v>
      </c>
      <c r="L574" s="191" t="s">
        <v>27</v>
      </c>
      <c r="M574" s="188">
        <v>63000000</v>
      </c>
      <c r="N574" s="192" t="s">
        <v>230</v>
      </c>
      <c r="O574" s="192" t="s">
        <v>164</v>
      </c>
      <c r="P574" s="192" t="s">
        <v>24</v>
      </c>
    </row>
    <row r="575" spans="1:16" s="196" customFormat="1" ht="90" x14ac:dyDescent="0.2">
      <c r="A575" s="2">
        <v>2023614</v>
      </c>
      <c r="B575" s="2">
        <v>7658</v>
      </c>
      <c r="C575" s="3" t="s">
        <v>143</v>
      </c>
      <c r="D575" s="198" t="s">
        <v>222</v>
      </c>
      <c r="E575" s="198">
        <v>80111600</v>
      </c>
      <c r="F575" s="191" t="s">
        <v>523</v>
      </c>
      <c r="G575" s="193">
        <v>45036</v>
      </c>
      <c r="H575" s="193">
        <v>45036</v>
      </c>
      <c r="I575" s="191">
        <v>7</v>
      </c>
      <c r="J575" s="191" t="s">
        <v>20</v>
      </c>
      <c r="K575" s="197" t="s">
        <v>21</v>
      </c>
      <c r="L575" s="191" t="s">
        <v>27</v>
      </c>
      <c r="M575" s="188">
        <v>21000000</v>
      </c>
      <c r="N575" s="192" t="s">
        <v>225</v>
      </c>
      <c r="O575" s="192" t="s">
        <v>164</v>
      </c>
      <c r="P575" s="192" t="s">
        <v>24</v>
      </c>
    </row>
    <row r="576" spans="1:16" s="196" customFormat="1" ht="90" x14ac:dyDescent="0.2">
      <c r="A576" s="2">
        <v>2023615</v>
      </c>
      <c r="B576" s="2">
        <v>7658</v>
      </c>
      <c r="C576" s="3" t="s">
        <v>143</v>
      </c>
      <c r="D576" s="198" t="s">
        <v>222</v>
      </c>
      <c r="E576" s="192">
        <v>78181505</v>
      </c>
      <c r="F576" s="191" t="s">
        <v>524</v>
      </c>
      <c r="G576" s="193">
        <v>45041</v>
      </c>
      <c r="H576" s="193">
        <v>45041</v>
      </c>
      <c r="I576" s="191">
        <v>8</v>
      </c>
      <c r="J576" s="191" t="s">
        <v>20</v>
      </c>
      <c r="K576" s="197" t="s">
        <v>21</v>
      </c>
      <c r="L576" s="191" t="s">
        <v>162</v>
      </c>
      <c r="M576" s="188">
        <v>110000000</v>
      </c>
      <c r="N576" s="192" t="s">
        <v>225</v>
      </c>
      <c r="O576" s="192" t="s">
        <v>164</v>
      </c>
      <c r="P576" s="192" t="s">
        <v>24</v>
      </c>
    </row>
    <row r="577" spans="1:16" s="196" customFormat="1" ht="135" x14ac:dyDescent="0.2">
      <c r="A577" s="4">
        <v>2023616</v>
      </c>
      <c r="B577" s="2">
        <v>7655</v>
      </c>
      <c r="C577" s="118" t="s">
        <v>25</v>
      </c>
      <c r="D577" s="198" t="s">
        <v>193</v>
      </c>
      <c r="E577" s="198">
        <v>80111600</v>
      </c>
      <c r="F577" s="198" t="s">
        <v>525</v>
      </c>
      <c r="G577" s="199">
        <v>45062</v>
      </c>
      <c r="H577" s="199">
        <v>45069</v>
      </c>
      <c r="I577" s="191">
        <v>6</v>
      </c>
      <c r="J577" s="191" t="s">
        <v>20</v>
      </c>
      <c r="K577" s="197" t="s">
        <v>21</v>
      </c>
      <c r="L577" s="191" t="s">
        <v>27</v>
      </c>
      <c r="M577" s="230">
        <v>22848498</v>
      </c>
      <c r="N577" s="198" t="s">
        <v>28</v>
      </c>
      <c r="O577" s="198" t="s">
        <v>29</v>
      </c>
      <c r="P577" s="192" t="s">
        <v>24</v>
      </c>
    </row>
    <row r="578" spans="1:16" s="196" customFormat="1" ht="60" x14ac:dyDescent="0.2">
      <c r="A578" s="4">
        <v>2023617</v>
      </c>
      <c r="B578" s="2">
        <v>7655</v>
      </c>
      <c r="C578" s="118" t="s">
        <v>25</v>
      </c>
      <c r="D578" s="198" t="s">
        <v>193</v>
      </c>
      <c r="E578" s="198">
        <v>80111600</v>
      </c>
      <c r="F578" s="198" t="s">
        <v>195</v>
      </c>
      <c r="G578" s="199">
        <v>45062</v>
      </c>
      <c r="H578" s="199">
        <v>45069</v>
      </c>
      <c r="I578" s="191">
        <v>6</v>
      </c>
      <c r="J578" s="191" t="s">
        <v>20</v>
      </c>
      <c r="K578" s="197" t="s">
        <v>21</v>
      </c>
      <c r="L578" s="191" t="s">
        <v>27</v>
      </c>
      <c r="M578" s="230">
        <v>39675498</v>
      </c>
      <c r="N578" s="198" t="s">
        <v>28</v>
      </c>
      <c r="O578" s="198" t="s">
        <v>29</v>
      </c>
      <c r="P578" s="192" t="s">
        <v>24</v>
      </c>
    </row>
    <row r="579" spans="1:16" s="196" customFormat="1" ht="60" x14ac:dyDescent="0.2">
      <c r="A579" s="4">
        <v>2023618</v>
      </c>
      <c r="B579" s="120">
        <v>7655</v>
      </c>
      <c r="C579" s="118" t="s">
        <v>25</v>
      </c>
      <c r="D579" s="198" t="s">
        <v>193</v>
      </c>
      <c r="E579" s="198">
        <v>80111600</v>
      </c>
      <c r="F579" s="198" t="s">
        <v>195</v>
      </c>
      <c r="G579" s="199">
        <v>45078</v>
      </c>
      <c r="H579" s="199">
        <v>45085</v>
      </c>
      <c r="I579" s="191">
        <v>6</v>
      </c>
      <c r="J579" s="191" t="s">
        <v>20</v>
      </c>
      <c r="K579" s="197" t="s">
        <v>21</v>
      </c>
      <c r="L579" s="191" t="s">
        <v>27</v>
      </c>
      <c r="M579" s="230">
        <v>39675498</v>
      </c>
      <c r="N579" s="198" t="s">
        <v>28</v>
      </c>
      <c r="O579" s="198" t="s">
        <v>29</v>
      </c>
      <c r="P579" s="192" t="s">
        <v>24</v>
      </c>
    </row>
    <row r="580" spans="1:16" s="196" customFormat="1" ht="75" x14ac:dyDescent="0.2">
      <c r="A580" s="4">
        <v>2023619</v>
      </c>
      <c r="B580" s="120">
        <v>7658</v>
      </c>
      <c r="C580" s="118" t="s">
        <v>143</v>
      </c>
      <c r="D580" s="198" t="s">
        <v>320</v>
      </c>
      <c r="E580" s="198" t="s">
        <v>526</v>
      </c>
      <c r="F580" s="198" t="s">
        <v>527</v>
      </c>
      <c r="G580" s="199">
        <v>45060</v>
      </c>
      <c r="H580" s="199">
        <v>45107</v>
      </c>
      <c r="I580" s="191">
        <v>1</v>
      </c>
      <c r="J580" s="191" t="s">
        <v>155</v>
      </c>
      <c r="K580" s="197" t="s">
        <v>21</v>
      </c>
      <c r="L580" s="191" t="s">
        <v>684</v>
      </c>
      <c r="M580" s="188">
        <v>150000000</v>
      </c>
      <c r="N580" s="198" t="s">
        <v>390</v>
      </c>
      <c r="O580" s="198" t="s">
        <v>391</v>
      </c>
      <c r="P580" s="192" t="s">
        <v>365</v>
      </c>
    </row>
    <row r="581" spans="1:16" s="196" customFormat="1" ht="105" x14ac:dyDescent="0.2">
      <c r="A581" s="4">
        <v>2023620</v>
      </c>
      <c r="B581" s="120">
        <v>7658</v>
      </c>
      <c r="C581" s="118" t="s">
        <v>143</v>
      </c>
      <c r="D581" s="198" t="s">
        <v>320</v>
      </c>
      <c r="E581" s="198" t="s">
        <v>528</v>
      </c>
      <c r="F581" s="198" t="s">
        <v>529</v>
      </c>
      <c r="G581" s="199">
        <v>45060</v>
      </c>
      <c r="H581" s="199">
        <v>45107</v>
      </c>
      <c r="I581" s="191">
        <v>1</v>
      </c>
      <c r="J581" s="191" t="s">
        <v>358</v>
      </c>
      <c r="K581" s="197" t="s">
        <v>21</v>
      </c>
      <c r="L581" s="191" t="s">
        <v>684</v>
      </c>
      <c r="M581" s="188">
        <f>17600000-9639+100</f>
        <v>17590461</v>
      </c>
      <c r="N581" s="198" t="s">
        <v>390</v>
      </c>
      <c r="O581" s="198" t="s">
        <v>391</v>
      </c>
      <c r="P581" s="192" t="s">
        <v>365</v>
      </c>
    </row>
    <row r="582" spans="1:16" s="196" customFormat="1" ht="90" x14ac:dyDescent="0.2">
      <c r="A582" s="4">
        <v>2023621</v>
      </c>
      <c r="B582" s="120">
        <v>7658</v>
      </c>
      <c r="C582" s="118" t="s">
        <v>143</v>
      </c>
      <c r="D582" s="198" t="s">
        <v>320</v>
      </c>
      <c r="E582" s="198">
        <v>80111600</v>
      </c>
      <c r="F582" s="198" t="s">
        <v>374</v>
      </c>
      <c r="G582" s="199">
        <v>45060</v>
      </c>
      <c r="H582" s="199">
        <v>45107</v>
      </c>
      <c r="I582" s="191">
        <v>6</v>
      </c>
      <c r="J582" s="191" t="s">
        <v>20</v>
      </c>
      <c r="K582" s="197" t="s">
        <v>21</v>
      </c>
      <c r="L582" s="191" t="s">
        <v>27</v>
      </c>
      <c r="M582" s="188">
        <v>14700000</v>
      </c>
      <c r="N582" s="198" t="s">
        <v>341</v>
      </c>
      <c r="O582" s="198" t="s">
        <v>164</v>
      </c>
      <c r="P582" s="192" t="s">
        <v>24</v>
      </c>
    </row>
    <row r="583" spans="1:16" s="196" customFormat="1" ht="90" x14ac:dyDescent="0.2">
      <c r="A583" s="4">
        <v>2023622</v>
      </c>
      <c r="B583" s="120">
        <v>7658</v>
      </c>
      <c r="C583" s="118" t="s">
        <v>143</v>
      </c>
      <c r="D583" s="198" t="s">
        <v>320</v>
      </c>
      <c r="E583" s="198">
        <v>80111600</v>
      </c>
      <c r="F583" s="198" t="s">
        <v>374</v>
      </c>
      <c r="G583" s="199">
        <v>45060</v>
      </c>
      <c r="H583" s="199">
        <v>45107</v>
      </c>
      <c r="I583" s="191">
        <v>6</v>
      </c>
      <c r="J583" s="191" t="s">
        <v>20</v>
      </c>
      <c r="K583" s="197" t="s">
        <v>21</v>
      </c>
      <c r="L583" s="191" t="s">
        <v>27</v>
      </c>
      <c r="M583" s="188">
        <v>14700000</v>
      </c>
      <c r="N583" s="198" t="s">
        <v>341</v>
      </c>
      <c r="O583" s="198" t="s">
        <v>164</v>
      </c>
      <c r="P583" s="192" t="s">
        <v>24</v>
      </c>
    </row>
    <row r="584" spans="1:16" s="196" customFormat="1" ht="75" x14ac:dyDescent="0.2">
      <c r="A584" s="4">
        <v>2023623</v>
      </c>
      <c r="B584" s="120">
        <v>7658</v>
      </c>
      <c r="C584" s="118" t="s">
        <v>143</v>
      </c>
      <c r="D584" s="198" t="s">
        <v>320</v>
      </c>
      <c r="E584" s="198" t="s">
        <v>348</v>
      </c>
      <c r="F584" s="198" t="s">
        <v>530</v>
      </c>
      <c r="G584" s="199">
        <v>45060</v>
      </c>
      <c r="H584" s="199">
        <v>45107</v>
      </c>
      <c r="I584" s="191">
        <v>1</v>
      </c>
      <c r="J584" s="191" t="s">
        <v>160</v>
      </c>
      <c r="K584" s="197" t="s">
        <v>21</v>
      </c>
      <c r="L584" s="191" t="s">
        <v>684</v>
      </c>
      <c r="M584" s="188">
        <v>44621436</v>
      </c>
      <c r="N584" s="198" t="s">
        <v>382</v>
      </c>
      <c r="O584" s="198" t="s">
        <v>383</v>
      </c>
      <c r="P584" s="192" t="s">
        <v>365</v>
      </c>
    </row>
    <row r="585" spans="1:16" s="196" customFormat="1" ht="120" x14ac:dyDescent="0.2">
      <c r="A585" s="4">
        <v>2023624</v>
      </c>
      <c r="B585" s="120">
        <v>7658</v>
      </c>
      <c r="C585" s="118" t="s">
        <v>143</v>
      </c>
      <c r="D585" s="198" t="s">
        <v>320</v>
      </c>
      <c r="E585" s="198" t="s">
        <v>357</v>
      </c>
      <c r="F585" s="198" t="s">
        <v>531</v>
      </c>
      <c r="G585" s="199">
        <v>45060</v>
      </c>
      <c r="H585" s="199">
        <v>45107</v>
      </c>
      <c r="I585" s="191">
        <v>1</v>
      </c>
      <c r="J585" s="191" t="s">
        <v>358</v>
      </c>
      <c r="K585" s="197" t="s">
        <v>21</v>
      </c>
      <c r="L585" s="191" t="s">
        <v>684</v>
      </c>
      <c r="M585" s="188">
        <f>12339643-1</f>
        <v>12339642</v>
      </c>
      <c r="N585" s="198" t="s">
        <v>382</v>
      </c>
      <c r="O585" s="198" t="s">
        <v>383</v>
      </c>
      <c r="P585" s="192" t="s">
        <v>365</v>
      </c>
    </row>
    <row r="586" spans="1:16" s="196" customFormat="1" ht="135" x14ac:dyDescent="0.2">
      <c r="A586" s="4">
        <v>2023625</v>
      </c>
      <c r="B586" s="120">
        <v>7658</v>
      </c>
      <c r="C586" s="118" t="s">
        <v>143</v>
      </c>
      <c r="D586" s="198" t="s">
        <v>320</v>
      </c>
      <c r="E586" s="198" t="s">
        <v>357</v>
      </c>
      <c r="F586" s="198" t="s">
        <v>532</v>
      </c>
      <c r="G586" s="199">
        <v>45060</v>
      </c>
      <c r="H586" s="199">
        <v>45107</v>
      </c>
      <c r="I586" s="191">
        <v>1</v>
      </c>
      <c r="J586" s="191" t="s">
        <v>358</v>
      </c>
      <c r="K586" s="197" t="s">
        <v>21</v>
      </c>
      <c r="L586" s="191" t="s">
        <v>684</v>
      </c>
      <c r="M586" s="188">
        <v>21099937</v>
      </c>
      <c r="N586" s="198" t="s">
        <v>382</v>
      </c>
      <c r="O586" s="198" t="s">
        <v>383</v>
      </c>
      <c r="P586" s="192" t="s">
        <v>365</v>
      </c>
    </row>
    <row r="587" spans="1:16" s="196" customFormat="1" ht="75" x14ac:dyDescent="0.2">
      <c r="A587" s="4">
        <v>2023626</v>
      </c>
      <c r="B587" s="120" t="s">
        <v>17</v>
      </c>
      <c r="C587" s="118" t="s">
        <v>17</v>
      </c>
      <c r="D587" s="198" t="s">
        <v>320</v>
      </c>
      <c r="E587" s="198" t="s">
        <v>533</v>
      </c>
      <c r="F587" s="198" t="s">
        <v>534</v>
      </c>
      <c r="G587" s="199">
        <v>45060</v>
      </c>
      <c r="H587" s="199">
        <v>45107</v>
      </c>
      <c r="I587" s="191">
        <v>2</v>
      </c>
      <c r="J587" s="191" t="s">
        <v>119</v>
      </c>
      <c r="K587" s="197" t="s">
        <v>21</v>
      </c>
      <c r="L587" s="191" t="s">
        <v>23</v>
      </c>
      <c r="M587" s="188">
        <v>1685516</v>
      </c>
      <c r="N587" s="198" t="s">
        <v>23</v>
      </c>
      <c r="O587" s="198" t="s">
        <v>23</v>
      </c>
      <c r="P587" s="192" t="s">
        <v>24</v>
      </c>
    </row>
    <row r="588" spans="1:16" s="196" customFormat="1" ht="75" x14ac:dyDescent="0.2">
      <c r="A588" s="4">
        <v>2023627</v>
      </c>
      <c r="B588" s="120" t="s">
        <v>17</v>
      </c>
      <c r="C588" s="118" t="s">
        <v>17</v>
      </c>
      <c r="D588" s="198" t="s">
        <v>320</v>
      </c>
      <c r="E588" s="198">
        <v>80111600</v>
      </c>
      <c r="F588" s="198" t="s">
        <v>428</v>
      </c>
      <c r="G588" s="199">
        <v>45107</v>
      </c>
      <c r="H588" s="199">
        <v>45092</v>
      </c>
      <c r="I588" s="191">
        <v>6</v>
      </c>
      <c r="J588" s="191" t="s">
        <v>20</v>
      </c>
      <c r="K588" s="197" t="s">
        <v>21</v>
      </c>
      <c r="L588" s="191" t="s">
        <v>23</v>
      </c>
      <c r="M588" s="188">
        <f>(4500000*6)+16551200</f>
        <v>43551200</v>
      </c>
      <c r="N588" s="198" t="s">
        <v>23</v>
      </c>
      <c r="O588" s="198" t="s">
        <v>23</v>
      </c>
      <c r="P588" s="192" t="s">
        <v>24</v>
      </c>
    </row>
    <row r="589" spans="1:16" s="196" customFormat="1" ht="75" x14ac:dyDescent="0.2">
      <c r="A589" s="4">
        <v>2023628</v>
      </c>
      <c r="B589" s="120" t="s">
        <v>17</v>
      </c>
      <c r="C589" s="118" t="s">
        <v>17</v>
      </c>
      <c r="D589" s="198" t="s">
        <v>320</v>
      </c>
      <c r="E589" s="198">
        <v>80111600</v>
      </c>
      <c r="F589" s="198" t="s">
        <v>428</v>
      </c>
      <c r="G589" s="199">
        <v>45107</v>
      </c>
      <c r="H589" s="199">
        <v>45092</v>
      </c>
      <c r="I589" s="191">
        <v>6</v>
      </c>
      <c r="J589" s="191" t="s">
        <v>20</v>
      </c>
      <c r="K589" s="197" t="s">
        <v>21</v>
      </c>
      <c r="L589" s="191" t="s">
        <v>23</v>
      </c>
      <c r="M589" s="188">
        <f>3850000*6</f>
        <v>23100000</v>
      </c>
      <c r="N589" s="198" t="s">
        <v>23</v>
      </c>
      <c r="O589" s="198" t="s">
        <v>23</v>
      </c>
      <c r="P589" s="192" t="s">
        <v>24</v>
      </c>
    </row>
    <row r="590" spans="1:16" s="196" customFormat="1" ht="45" x14ac:dyDescent="0.2">
      <c r="A590" s="4">
        <v>2023629</v>
      </c>
      <c r="B590" s="120" t="s">
        <v>17</v>
      </c>
      <c r="C590" s="118" t="s">
        <v>17</v>
      </c>
      <c r="D590" s="198" t="s">
        <v>320</v>
      </c>
      <c r="E590" s="198">
        <v>80111600</v>
      </c>
      <c r="F590" s="198" t="s">
        <v>333</v>
      </c>
      <c r="G590" s="199">
        <v>45107</v>
      </c>
      <c r="H590" s="199">
        <v>45092</v>
      </c>
      <c r="I590" s="191">
        <v>6</v>
      </c>
      <c r="J590" s="191" t="s">
        <v>20</v>
      </c>
      <c r="K590" s="197" t="s">
        <v>21</v>
      </c>
      <c r="L590" s="191" t="s">
        <v>23</v>
      </c>
      <c r="M590" s="188">
        <f>2450000*7</f>
        <v>17150000</v>
      </c>
      <c r="N590" s="198" t="s">
        <v>23</v>
      </c>
      <c r="O590" s="198" t="s">
        <v>23</v>
      </c>
      <c r="P590" s="192" t="s">
        <v>24</v>
      </c>
    </row>
    <row r="591" spans="1:16" s="196" customFormat="1" ht="60" x14ac:dyDescent="0.2">
      <c r="A591" s="4">
        <v>2023631</v>
      </c>
      <c r="B591" s="120">
        <v>7655</v>
      </c>
      <c r="C591" s="118" t="s">
        <v>25</v>
      </c>
      <c r="D591" s="198" t="s">
        <v>320</v>
      </c>
      <c r="E591" s="198">
        <v>80111600</v>
      </c>
      <c r="F591" s="198" t="s">
        <v>335</v>
      </c>
      <c r="G591" s="199">
        <v>45047</v>
      </c>
      <c r="H591" s="199">
        <v>45061</v>
      </c>
      <c r="I591" s="191">
        <v>5</v>
      </c>
      <c r="J591" s="191" t="s">
        <v>20</v>
      </c>
      <c r="K591" s="197" t="s">
        <v>21</v>
      </c>
      <c r="L591" s="191" t="s">
        <v>27</v>
      </c>
      <c r="M591" s="230">
        <f>2450000*5</f>
        <v>12250000</v>
      </c>
      <c r="N591" s="198" t="s">
        <v>28</v>
      </c>
      <c r="O591" s="198" t="s">
        <v>29</v>
      </c>
      <c r="P591" s="192" t="s">
        <v>24</v>
      </c>
    </row>
    <row r="592" spans="1:16" s="196" customFormat="1" ht="60" x14ac:dyDescent="0.2">
      <c r="A592" s="4">
        <v>2023632</v>
      </c>
      <c r="B592" s="120">
        <v>7655</v>
      </c>
      <c r="C592" s="118" t="s">
        <v>25</v>
      </c>
      <c r="D592" s="198" t="s">
        <v>320</v>
      </c>
      <c r="E592" s="198">
        <v>80111600</v>
      </c>
      <c r="F592" s="198" t="s">
        <v>335</v>
      </c>
      <c r="G592" s="199">
        <v>45047</v>
      </c>
      <c r="H592" s="199">
        <v>45061</v>
      </c>
      <c r="I592" s="191">
        <v>5</v>
      </c>
      <c r="J592" s="191" t="s">
        <v>20</v>
      </c>
      <c r="K592" s="197" t="s">
        <v>21</v>
      </c>
      <c r="L592" s="191" t="s">
        <v>27</v>
      </c>
      <c r="M592" s="230">
        <f>2450000*5</f>
        <v>12250000</v>
      </c>
      <c r="N592" s="198" t="s">
        <v>28</v>
      </c>
      <c r="O592" s="198" t="s">
        <v>29</v>
      </c>
      <c r="P592" s="192" t="s">
        <v>24</v>
      </c>
    </row>
    <row r="593" spans="1:16" s="196" customFormat="1" ht="60" x14ac:dyDescent="0.2">
      <c r="A593" s="4">
        <v>2023633</v>
      </c>
      <c r="B593" s="120">
        <v>7655</v>
      </c>
      <c r="C593" s="118" t="s">
        <v>25</v>
      </c>
      <c r="D593" s="198" t="s">
        <v>320</v>
      </c>
      <c r="E593" s="198">
        <v>80111600</v>
      </c>
      <c r="F593" s="198" t="s">
        <v>335</v>
      </c>
      <c r="G593" s="199">
        <v>45047</v>
      </c>
      <c r="H593" s="199">
        <v>45061</v>
      </c>
      <c r="I593" s="191">
        <v>5</v>
      </c>
      <c r="J593" s="191" t="s">
        <v>20</v>
      </c>
      <c r="K593" s="197" t="s">
        <v>21</v>
      </c>
      <c r="L593" s="191" t="s">
        <v>27</v>
      </c>
      <c r="M593" s="230">
        <f>2450000*5</f>
        <v>12250000</v>
      </c>
      <c r="N593" s="198" t="s">
        <v>28</v>
      </c>
      <c r="O593" s="198" t="s">
        <v>29</v>
      </c>
      <c r="P593" s="192" t="s">
        <v>24</v>
      </c>
    </row>
    <row r="594" spans="1:16" s="196" customFormat="1" ht="60" x14ac:dyDescent="0.2">
      <c r="A594" s="4">
        <v>2023634</v>
      </c>
      <c r="B594" s="120">
        <v>7655</v>
      </c>
      <c r="C594" s="118" t="s">
        <v>25</v>
      </c>
      <c r="D594" s="198" t="s">
        <v>320</v>
      </c>
      <c r="E594" s="198">
        <v>80111600</v>
      </c>
      <c r="F594" s="198" t="s">
        <v>335</v>
      </c>
      <c r="G594" s="199">
        <v>45047</v>
      </c>
      <c r="H594" s="199">
        <v>45061</v>
      </c>
      <c r="I594" s="191">
        <v>5</v>
      </c>
      <c r="J594" s="191" t="s">
        <v>20</v>
      </c>
      <c r="K594" s="197" t="s">
        <v>21</v>
      </c>
      <c r="L594" s="191" t="s">
        <v>27</v>
      </c>
      <c r="M594" s="230">
        <f>2450000*5</f>
        <v>12250000</v>
      </c>
      <c r="N594" s="198" t="s">
        <v>28</v>
      </c>
      <c r="O594" s="198" t="s">
        <v>29</v>
      </c>
      <c r="P594" s="192" t="s">
        <v>24</v>
      </c>
    </row>
    <row r="595" spans="1:16" s="196" customFormat="1" ht="60" x14ac:dyDescent="0.2">
      <c r="A595" s="4">
        <v>2023635</v>
      </c>
      <c r="B595" s="120">
        <v>7655</v>
      </c>
      <c r="C595" s="118" t="s">
        <v>25</v>
      </c>
      <c r="D595" s="198" t="s">
        <v>320</v>
      </c>
      <c r="E595" s="198">
        <v>80111600</v>
      </c>
      <c r="F595" s="198" t="s">
        <v>335</v>
      </c>
      <c r="G595" s="199">
        <v>45047</v>
      </c>
      <c r="H595" s="199">
        <v>45061</v>
      </c>
      <c r="I595" s="191">
        <v>5</v>
      </c>
      <c r="J595" s="191" t="s">
        <v>20</v>
      </c>
      <c r="K595" s="197" t="s">
        <v>21</v>
      </c>
      <c r="L595" s="191" t="s">
        <v>27</v>
      </c>
      <c r="M595" s="230">
        <f>2450000*5</f>
        <v>12250000</v>
      </c>
      <c r="N595" s="198" t="s">
        <v>28</v>
      </c>
      <c r="O595" s="198" t="s">
        <v>29</v>
      </c>
      <c r="P595" s="192" t="s">
        <v>24</v>
      </c>
    </row>
    <row r="596" spans="1:16" s="196" customFormat="1" ht="105" x14ac:dyDescent="0.2">
      <c r="A596" s="4">
        <v>2023636</v>
      </c>
      <c r="B596" s="120">
        <v>7655</v>
      </c>
      <c r="C596" s="118" t="s">
        <v>25</v>
      </c>
      <c r="D596" s="198" t="s">
        <v>320</v>
      </c>
      <c r="E596" s="198">
        <v>80111600</v>
      </c>
      <c r="F596" s="198" t="s">
        <v>331</v>
      </c>
      <c r="G596" s="199">
        <v>45047</v>
      </c>
      <c r="H596" s="199">
        <v>45061</v>
      </c>
      <c r="I596" s="191">
        <v>5</v>
      </c>
      <c r="J596" s="191" t="s">
        <v>20</v>
      </c>
      <c r="K596" s="197" t="s">
        <v>21</v>
      </c>
      <c r="L596" s="191" t="s">
        <v>51</v>
      </c>
      <c r="M596" s="230">
        <f>((7300000*5)-14500000)+7000000+54420+66667+296333+4235400+3661480</f>
        <v>37314300</v>
      </c>
      <c r="N596" s="198" t="s">
        <v>28</v>
      </c>
      <c r="O596" s="198" t="s">
        <v>29</v>
      </c>
      <c r="P596" s="192" t="s">
        <v>24</v>
      </c>
    </row>
    <row r="597" spans="1:16" s="196" customFormat="1" ht="75" x14ac:dyDescent="0.2">
      <c r="A597" s="4">
        <v>2023637</v>
      </c>
      <c r="B597" s="2">
        <v>7655</v>
      </c>
      <c r="C597" s="118" t="s">
        <v>25</v>
      </c>
      <c r="D597" s="198" t="s">
        <v>320</v>
      </c>
      <c r="E597" s="198">
        <v>80111600</v>
      </c>
      <c r="F597" s="198" t="s">
        <v>535</v>
      </c>
      <c r="G597" s="199">
        <v>45047</v>
      </c>
      <c r="H597" s="199">
        <v>45061</v>
      </c>
      <c r="I597" s="191">
        <v>3</v>
      </c>
      <c r="J597" s="191" t="s">
        <v>20</v>
      </c>
      <c r="K597" s="197" t="s">
        <v>21</v>
      </c>
      <c r="L597" s="191" t="s">
        <v>27</v>
      </c>
      <c r="M597" s="230">
        <f>5000000*3</f>
        <v>15000000</v>
      </c>
      <c r="N597" s="198" t="s">
        <v>28</v>
      </c>
      <c r="O597" s="198" t="s">
        <v>29</v>
      </c>
      <c r="P597" s="192" t="s">
        <v>365</v>
      </c>
    </row>
    <row r="598" spans="1:16" s="196" customFormat="1" ht="90" x14ac:dyDescent="0.2">
      <c r="A598" s="2">
        <v>2023638</v>
      </c>
      <c r="B598" s="2">
        <v>7658</v>
      </c>
      <c r="C598" s="3" t="s">
        <v>143</v>
      </c>
      <c r="D598" s="191" t="s">
        <v>222</v>
      </c>
      <c r="E598" s="198">
        <v>80111600</v>
      </c>
      <c r="F598" s="191" t="s">
        <v>536</v>
      </c>
      <c r="G598" s="193">
        <v>45047</v>
      </c>
      <c r="H598" s="193">
        <v>45047</v>
      </c>
      <c r="I598" s="191">
        <v>8</v>
      </c>
      <c r="J598" s="191" t="s">
        <v>20</v>
      </c>
      <c r="K598" s="197" t="s">
        <v>21</v>
      </c>
      <c r="L598" s="191" t="s">
        <v>27</v>
      </c>
      <c r="M598" s="188">
        <f>25805000+4435000</f>
        <v>30240000</v>
      </c>
      <c r="N598" s="198" t="s">
        <v>230</v>
      </c>
      <c r="O598" s="198" t="s">
        <v>164</v>
      </c>
      <c r="P598" s="192" t="s">
        <v>24</v>
      </c>
    </row>
    <row r="599" spans="1:16" s="196" customFormat="1" ht="90" x14ac:dyDescent="0.2">
      <c r="A599" s="2">
        <v>2023639</v>
      </c>
      <c r="B599" s="2">
        <v>7658</v>
      </c>
      <c r="C599" s="3" t="s">
        <v>143</v>
      </c>
      <c r="D599" s="191" t="s">
        <v>222</v>
      </c>
      <c r="E599" s="198">
        <v>80111600</v>
      </c>
      <c r="F599" s="191" t="s">
        <v>537</v>
      </c>
      <c r="G599" s="193">
        <v>45078</v>
      </c>
      <c r="H599" s="193">
        <v>45078</v>
      </c>
      <c r="I599" s="191">
        <v>7</v>
      </c>
      <c r="J599" s="191" t="s">
        <v>20</v>
      </c>
      <c r="K599" s="197" t="s">
        <v>21</v>
      </c>
      <c r="L599" s="191" t="s">
        <v>27</v>
      </c>
      <c r="M599" s="188">
        <f>22330000-6970000</f>
        <v>15360000</v>
      </c>
      <c r="N599" s="198" t="s">
        <v>230</v>
      </c>
      <c r="O599" s="198" t="s">
        <v>164</v>
      </c>
      <c r="P599" s="192" t="s">
        <v>24</v>
      </c>
    </row>
    <row r="600" spans="1:16" s="196" customFormat="1" ht="90" x14ac:dyDescent="0.2">
      <c r="A600" s="4">
        <v>2023640</v>
      </c>
      <c r="B600" s="2">
        <v>7658</v>
      </c>
      <c r="C600" s="3" t="s">
        <v>143</v>
      </c>
      <c r="D600" s="191" t="s">
        <v>222</v>
      </c>
      <c r="E600" s="198">
        <v>80111600</v>
      </c>
      <c r="F600" s="191" t="s">
        <v>538</v>
      </c>
      <c r="G600" s="193">
        <v>45078</v>
      </c>
      <c r="H600" s="193">
        <v>45078</v>
      </c>
      <c r="I600" s="191">
        <v>7</v>
      </c>
      <c r="J600" s="191" t="s">
        <v>20</v>
      </c>
      <c r="K600" s="197" t="s">
        <v>21</v>
      </c>
      <c r="L600" s="191" t="s">
        <v>27</v>
      </c>
      <c r="M600" s="188">
        <f>25805000+1295000-33334</f>
        <v>27066666</v>
      </c>
      <c r="N600" s="241" t="s">
        <v>230</v>
      </c>
      <c r="O600" s="198" t="s">
        <v>164</v>
      </c>
      <c r="P600" s="192" t="s">
        <v>24</v>
      </c>
    </row>
    <row r="601" spans="1:16" s="196" customFormat="1" ht="90" x14ac:dyDescent="0.2">
      <c r="A601" s="4">
        <v>2023641</v>
      </c>
      <c r="B601" s="2">
        <v>7658</v>
      </c>
      <c r="C601" s="3" t="s">
        <v>143</v>
      </c>
      <c r="D601" s="191" t="s">
        <v>222</v>
      </c>
      <c r="E601" s="198">
        <v>80111600</v>
      </c>
      <c r="F601" s="191" t="s">
        <v>265</v>
      </c>
      <c r="G601" s="193">
        <v>45078</v>
      </c>
      <c r="H601" s="193">
        <v>45078</v>
      </c>
      <c r="I601" s="191">
        <v>7</v>
      </c>
      <c r="J601" s="191" t="s">
        <v>20</v>
      </c>
      <c r="K601" s="197" t="s">
        <v>21</v>
      </c>
      <c r="L601" s="191" t="s">
        <v>27</v>
      </c>
      <c r="M601" s="188">
        <f>20735000-5115000</f>
        <v>15620000</v>
      </c>
      <c r="N601" s="195" t="s">
        <v>225</v>
      </c>
      <c r="O601" s="198" t="s">
        <v>164</v>
      </c>
      <c r="P601" s="192" t="s">
        <v>24</v>
      </c>
    </row>
    <row r="602" spans="1:16" s="196" customFormat="1" ht="90" x14ac:dyDescent="0.2">
      <c r="A602" s="2">
        <v>2023642</v>
      </c>
      <c r="B602" s="2">
        <v>7658</v>
      </c>
      <c r="C602" s="3" t="s">
        <v>143</v>
      </c>
      <c r="D602" s="191" t="s">
        <v>222</v>
      </c>
      <c r="E602" s="198">
        <v>80111600</v>
      </c>
      <c r="F602" s="191" t="s">
        <v>539</v>
      </c>
      <c r="G602" s="193">
        <v>45078</v>
      </c>
      <c r="H602" s="193">
        <v>45078</v>
      </c>
      <c r="I602" s="191">
        <v>7</v>
      </c>
      <c r="J602" s="191" t="s">
        <v>20</v>
      </c>
      <c r="K602" s="197" t="s">
        <v>21</v>
      </c>
      <c r="L602" s="191" t="s">
        <v>27</v>
      </c>
      <c r="M602" s="188">
        <f>25025000+1775000</f>
        <v>26800000</v>
      </c>
      <c r="N602" s="198" t="s">
        <v>230</v>
      </c>
      <c r="O602" s="198" t="s">
        <v>164</v>
      </c>
      <c r="P602" s="192" t="s">
        <v>24</v>
      </c>
    </row>
    <row r="603" spans="1:16" s="196" customFormat="1" ht="90" x14ac:dyDescent="0.2">
      <c r="A603" s="2">
        <v>2023643</v>
      </c>
      <c r="B603" s="2">
        <v>7658</v>
      </c>
      <c r="C603" s="3" t="s">
        <v>143</v>
      </c>
      <c r="D603" s="191" t="s">
        <v>222</v>
      </c>
      <c r="E603" s="198">
        <v>80111600</v>
      </c>
      <c r="F603" s="191" t="s">
        <v>540</v>
      </c>
      <c r="G603" s="193">
        <v>45078</v>
      </c>
      <c r="H603" s="193">
        <v>45078</v>
      </c>
      <c r="I603" s="191">
        <v>7</v>
      </c>
      <c r="J603" s="191" t="s">
        <v>20</v>
      </c>
      <c r="K603" s="197" t="s">
        <v>21</v>
      </c>
      <c r="L603" s="191" t="s">
        <v>27</v>
      </c>
      <c r="M603" s="188">
        <f>53560000+1648000</f>
        <v>55208000</v>
      </c>
      <c r="N603" s="198" t="s">
        <v>230</v>
      </c>
      <c r="O603" s="198" t="s">
        <v>164</v>
      </c>
      <c r="P603" s="192" t="s">
        <v>24</v>
      </c>
    </row>
    <row r="604" spans="1:16" s="196" customFormat="1" ht="90" x14ac:dyDescent="0.2">
      <c r="A604" s="4">
        <v>2023644</v>
      </c>
      <c r="B604" s="2">
        <v>7658</v>
      </c>
      <c r="C604" s="3" t="s">
        <v>143</v>
      </c>
      <c r="D604" s="191" t="s">
        <v>222</v>
      </c>
      <c r="E604" s="198">
        <v>80111600</v>
      </c>
      <c r="F604" s="191" t="s">
        <v>541</v>
      </c>
      <c r="G604" s="193">
        <v>45078</v>
      </c>
      <c r="H604" s="193">
        <v>45078</v>
      </c>
      <c r="I604" s="191">
        <v>7</v>
      </c>
      <c r="J604" s="191" t="s">
        <v>20</v>
      </c>
      <c r="K604" s="197" t="s">
        <v>21</v>
      </c>
      <c r="L604" s="191" t="s">
        <v>27</v>
      </c>
      <c r="M604" s="188">
        <f>15925000+825000</f>
        <v>16750000</v>
      </c>
      <c r="N604" s="195" t="s">
        <v>225</v>
      </c>
      <c r="O604" s="198" t="s">
        <v>164</v>
      </c>
      <c r="P604" s="192" t="s">
        <v>24</v>
      </c>
    </row>
    <row r="605" spans="1:16" s="196" customFormat="1" ht="90" x14ac:dyDescent="0.2">
      <c r="A605" s="4">
        <v>2023645</v>
      </c>
      <c r="B605" s="2">
        <v>7658</v>
      </c>
      <c r="C605" s="3" t="s">
        <v>143</v>
      </c>
      <c r="D605" s="191" t="s">
        <v>222</v>
      </c>
      <c r="E605" s="198">
        <v>80111600</v>
      </c>
      <c r="F605" s="191" t="s">
        <v>542</v>
      </c>
      <c r="G605" s="193">
        <v>45078</v>
      </c>
      <c r="H605" s="193">
        <v>45078</v>
      </c>
      <c r="I605" s="191">
        <v>7</v>
      </c>
      <c r="J605" s="191" t="s">
        <v>20</v>
      </c>
      <c r="K605" s="197" t="s">
        <v>21</v>
      </c>
      <c r="L605" s="191" t="s">
        <v>27</v>
      </c>
      <c r="M605" s="188">
        <v>22171520</v>
      </c>
      <c r="N605" s="195" t="s">
        <v>225</v>
      </c>
      <c r="O605" s="198" t="s">
        <v>164</v>
      </c>
      <c r="P605" s="192" t="s">
        <v>24</v>
      </c>
    </row>
    <row r="606" spans="1:16" s="196" customFormat="1" ht="90" x14ac:dyDescent="0.2">
      <c r="A606" s="2">
        <v>2023646</v>
      </c>
      <c r="B606" s="2">
        <v>7658</v>
      </c>
      <c r="C606" s="3" t="s">
        <v>143</v>
      </c>
      <c r="D606" s="191" t="s">
        <v>222</v>
      </c>
      <c r="E606" s="198">
        <v>80111600</v>
      </c>
      <c r="F606" s="191" t="s">
        <v>543</v>
      </c>
      <c r="G606" s="193">
        <v>45078</v>
      </c>
      <c r="H606" s="193">
        <v>45078</v>
      </c>
      <c r="I606" s="191">
        <v>7</v>
      </c>
      <c r="J606" s="191" t="s">
        <v>20</v>
      </c>
      <c r="K606" s="197" t="s">
        <v>21</v>
      </c>
      <c r="L606" s="191" t="s">
        <v>27</v>
      </c>
      <c r="M606" s="188">
        <f>30000000-2530000</f>
        <v>27470000</v>
      </c>
      <c r="N606" s="195" t="s">
        <v>225</v>
      </c>
      <c r="O606" s="198" t="s">
        <v>164</v>
      </c>
      <c r="P606" s="192" t="s">
        <v>24</v>
      </c>
    </row>
    <row r="607" spans="1:16" s="196" customFormat="1" ht="90" x14ac:dyDescent="0.2">
      <c r="A607" s="4">
        <v>2023647</v>
      </c>
      <c r="B607" s="2">
        <v>7658</v>
      </c>
      <c r="C607" s="3" t="s">
        <v>143</v>
      </c>
      <c r="D607" s="191" t="s">
        <v>222</v>
      </c>
      <c r="E607" s="198">
        <v>80111600</v>
      </c>
      <c r="F607" s="191" t="s">
        <v>544</v>
      </c>
      <c r="G607" s="193">
        <v>45078</v>
      </c>
      <c r="H607" s="193">
        <v>45078</v>
      </c>
      <c r="I607" s="191">
        <v>7</v>
      </c>
      <c r="J607" s="191" t="s">
        <v>20</v>
      </c>
      <c r="K607" s="197" t="s">
        <v>21</v>
      </c>
      <c r="L607" s="191" t="s">
        <v>27</v>
      </c>
      <c r="M607" s="188">
        <v>29250000</v>
      </c>
      <c r="N607" s="195" t="s">
        <v>225</v>
      </c>
      <c r="O607" s="198" t="s">
        <v>164</v>
      </c>
      <c r="P607" s="192" t="s">
        <v>24</v>
      </c>
    </row>
    <row r="608" spans="1:16" s="196" customFormat="1" ht="90" x14ac:dyDescent="0.2">
      <c r="A608" s="4">
        <v>2023649</v>
      </c>
      <c r="B608" s="2">
        <v>7658</v>
      </c>
      <c r="C608" s="3" t="s">
        <v>143</v>
      </c>
      <c r="D608" s="191" t="s">
        <v>222</v>
      </c>
      <c r="E608" s="198">
        <v>80111600</v>
      </c>
      <c r="F608" s="191" t="s">
        <v>545</v>
      </c>
      <c r="G608" s="193">
        <v>45078</v>
      </c>
      <c r="H608" s="193">
        <v>45078</v>
      </c>
      <c r="I608" s="191">
        <v>7</v>
      </c>
      <c r="J608" s="191" t="s">
        <v>20</v>
      </c>
      <c r="K608" s="197" t="s">
        <v>21</v>
      </c>
      <c r="L608" s="191" t="s">
        <v>27</v>
      </c>
      <c r="M608" s="188">
        <f>30550000-6550000-1500000</f>
        <v>22500000</v>
      </c>
      <c r="N608" s="198" t="s">
        <v>230</v>
      </c>
      <c r="O608" s="198" t="s">
        <v>164</v>
      </c>
      <c r="P608" s="192" t="s">
        <v>24</v>
      </c>
    </row>
    <row r="609" spans="1:16" s="196" customFormat="1" ht="90" x14ac:dyDescent="0.2">
      <c r="A609" s="2">
        <v>2023650</v>
      </c>
      <c r="B609" s="2">
        <v>7658</v>
      </c>
      <c r="C609" s="3" t="s">
        <v>143</v>
      </c>
      <c r="D609" s="191" t="s">
        <v>222</v>
      </c>
      <c r="E609" s="198">
        <v>80111600</v>
      </c>
      <c r="F609" s="191" t="s">
        <v>546</v>
      </c>
      <c r="G609" s="193">
        <v>45078</v>
      </c>
      <c r="H609" s="193">
        <v>45078</v>
      </c>
      <c r="I609" s="191">
        <v>7</v>
      </c>
      <c r="J609" s="191" t="s">
        <v>20</v>
      </c>
      <c r="K609" s="197" t="s">
        <v>21</v>
      </c>
      <c r="L609" s="191" t="s">
        <v>27</v>
      </c>
      <c r="M609" s="188">
        <f>20735000-4235000-1500000</f>
        <v>15000000</v>
      </c>
      <c r="N609" s="195" t="s">
        <v>225</v>
      </c>
      <c r="O609" s="198" t="s">
        <v>164</v>
      </c>
      <c r="P609" s="192" t="s">
        <v>24</v>
      </c>
    </row>
    <row r="610" spans="1:16" s="196" customFormat="1" ht="90" x14ac:dyDescent="0.2">
      <c r="A610" s="2">
        <v>2023651</v>
      </c>
      <c r="B610" s="2">
        <v>7658</v>
      </c>
      <c r="C610" s="3" t="s">
        <v>143</v>
      </c>
      <c r="D610" s="191" t="s">
        <v>222</v>
      </c>
      <c r="E610" s="198">
        <v>80111600</v>
      </c>
      <c r="F610" s="191" t="s">
        <v>547</v>
      </c>
      <c r="G610" s="193">
        <v>45078</v>
      </c>
      <c r="H610" s="193">
        <v>45078</v>
      </c>
      <c r="I610" s="191">
        <v>7</v>
      </c>
      <c r="J610" s="191" t="s">
        <v>20</v>
      </c>
      <c r="K610" s="197" t="s">
        <v>21</v>
      </c>
      <c r="L610" s="191" t="s">
        <v>27</v>
      </c>
      <c r="M610" s="188">
        <f>20800000-6150000-36667</f>
        <v>14613333</v>
      </c>
      <c r="N610" s="195" t="s">
        <v>225</v>
      </c>
      <c r="O610" s="198" t="s">
        <v>164</v>
      </c>
      <c r="P610" s="192" t="s">
        <v>24</v>
      </c>
    </row>
    <row r="611" spans="1:16" s="196" customFormat="1" ht="90" x14ac:dyDescent="0.2">
      <c r="A611" s="4">
        <v>2023652</v>
      </c>
      <c r="B611" s="2">
        <v>7658</v>
      </c>
      <c r="C611" s="3" t="s">
        <v>143</v>
      </c>
      <c r="D611" s="191" t="s">
        <v>222</v>
      </c>
      <c r="E611" s="198">
        <v>80111600</v>
      </c>
      <c r="F611" s="191" t="s">
        <v>548</v>
      </c>
      <c r="G611" s="193">
        <v>45078</v>
      </c>
      <c r="H611" s="193">
        <v>45078</v>
      </c>
      <c r="I611" s="191">
        <v>7</v>
      </c>
      <c r="J611" s="191" t="s">
        <v>20</v>
      </c>
      <c r="K611" s="197" t="s">
        <v>21</v>
      </c>
      <c r="L611" s="191" t="s">
        <v>27</v>
      </c>
      <c r="M611" s="188">
        <f>25805000-7655000-16667</f>
        <v>18133333</v>
      </c>
      <c r="N611" s="195" t="s">
        <v>225</v>
      </c>
      <c r="O611" s="198" t="s">
        <v>164</v>
      </c>
      <c r="P611" s="192" t="s">
        <v>24</v>
      </c>
    </row>
    <row r="612" spans="1:16" s="196" customFormat="1" ht="90" x14ac:dyDescent="0.2">
      <c r="A612" s="4">
        <v>2023653</v>
      </c>
      <c r="B612" s="2">
        <v>7658</v>
      </c>
      <c r="C612" s="3" t="s">
        <v>143</v>
      </c>
      <c r="D612" s="191" t="s">
        <v>222</v>
      </c>
      <c r="E612" s="198">
        <v>80111600</v>
      </c>
      <c r="F612" s="191" t="s">
        <v>549</v>
      </c>
      <c r="G612" s="193">
        <v>45078</v>
      </c>
      <c r="H612" s="193">
        <v>45078</v>
      </c>
      <c r="I612" s="191">
        <v>7</v>
      </c>
      <c r="J612" s="191" t="s">
        <v>20</v>
      </c>
      <c r="K612" s="197" t="s">
        <v>21</v>
      </c>
      <c r="L612" s="191" t="s">
        <v>27</v>
      </c>
      <c r="M612" s="188">
        <f>20735000+715000</f>
        <v>21450000</v>
      </c>
      <c r="N612" s="195" t="s">
        <v>225</v>
      </c>
      <c r="O612" s="198" t="s">
        <v>164</v>
      </c>
      <c r="P612" s="192" t="s">
        <v>24</v>
      </c>
    </row>
    <row r="613" spans="1:16" s="196" customFormat="1" ht="90" x14ac:dyDescent="0.2">
      <c r="A613" s="2">
        <v>2023654</v>
      </c>
      <c r="B613" s="2">
        <v>7658</v>
      </c>
      <c r="C613" s="3" t="s">
        <v>143</v>
      </c>
      <c r="D613" s="191" t="s">
        <v>222</v>
      </c>
      <c r="E613" s="198">
        <v>80111600</v>
      </c>
      <c r="F613" s="191" t="s">
        <v>550</v>
      </c>
      <c r="G613" s="193">
        <v>45078</v>
      </c>
      <c r="H613" s="193">
        <v>45078</v>
      </c>
      <c r="I613" s="191">
        <v>7</v>
      </c>
      <c r="J613" s="191" t="s">
        <v>20</v>
      </c>
      <c r="K613" s="197" t="s">
        <v>21</v>
      </c>
      <c r="L613" s="191" t="s">
        <v>27</v>
      </c>
      <c r="M613" s="188">
        <f>30550000+1950000</f>
        <v>32500000</v>
      </c>
      <c r="N613" s="195" t="s">
        <v>225</v>
      </c>
      <c r="O613" s="198" t="s">
        <v>164</v>
      </c>
      <c r="P613" s="192" t="s">
        <v>24</v>
      </c>
    </row>
    <row r="614" spans="1:16" s="196" customFormat="1" ht="90" x14ac:dyDescent="0.2">
      <c r="A614" s="2">
        <v>2023655</v>
      </c>
      <c r="B614" s="2">
        <v>7658</v>
      </c>
      <c r="C614" s="3" t="s">
        <v>143</v>
      </c>
      <c r="D614" s="191" t="s">
        <v>222</v>
      </c>
      <c r="E614" s="198">
        <v>80111600</v>
      </c>
      <c r="F614" s="191" t="s">
        <v>551</v>
      </c>
      <c r="G614" s="193">
        <v>45078</v>
      </c>
      <c r="H614" s="193">
        <v>45078</v>
      </c>
      <c r="I614" s="191">
        <v>7</v>
      </c>
      <c r="J614" s="191" t="s">
        <v>20</v>
      </c>
      <c r="K614" s="197" t="s">
        <v>21</v>
      </c>
      <c r="L614" s="191" t="s">
        <v>27</v>
      </c>
      <c r="M614" s="188">
        <f>54925000-16900000</f>
        <v>38025000</v>
      </c>
      <c r="N614" s="195" t="s">
        <v>225</v>
      </c>
      <c r="O614" s="198" t="s">
        <v>164</v>
      </c>
      <c r="P614" s="192" t="s">
        <v>24</v>
      </c>
    </row>
    <row r="615" spans="1:16" s="196" customFormat="1" ht="90" x14ac:dyDescent="0.2">
      <c r="A615" s="4">
        <v>2023656</v>
      </c>
      <c r="B615" s="2">
        <v>7658</v>
      </c>
      <c r="C615" s="3" t="s">
        <v>143</v>
      </c>
      <c r="D615" s="191" t="s">
        <v>222</v>
      </c>
      <c r="E615" s="198">
        <v>80111600</v>
      </c>
      <c r="F615" s="191" t="s">
        <v>552</v>
      </c>
      <c r="G615" s="193">
        <v>45078</v>
      </c>
      <c r="H615" s="193">
        <v>45078</v>
      </c>
      <c r="I615" s="191">
        <v>7</v>
      </c>
      <c r="J615" s="191" t="s">
        <v>20</v>
      </c>
      <c r="K615" s="197" t="s">
        <v>21</v>
      </c>
      <c r="L615" s="191" t="s">
        <v>27</v>
      </c>
      <c r="M615" s="188">
        <f>29250000-600000</f>
        <v>28650000</v>
      </c>
      <c r="N615" s="195" t="s">
        <v>225</v>
      </c>
      <c r="O615" s="198" t="s">
        <v>164</v>
      </c>
      <c r="P615" s="192" t="s">
        <v>24</v>
      </c>
    </row>
    <row r="616" spans="1:16" s="196" customFormat="1" ht="90" x14ac:dyDescent="0.2">
      <c r="A616" s="4">
        <v>2023657</v>
      </c>
      <c r="B616" s="2">
        <v>7658</v>
      </c>
      <c r="C616" s="3" t="s">
        <v>143</v>
      </c>
      <c r="D616" s="191" t="s">
        <v>222</v>
      </c>
      <c r="E616" s="198">
        <v>80111600</v>
      </c>
      <c r="F616" s="191" t="s">
        <v>542</v>
      </c>
      <c r="G616" s="193">
        <v>45078</v>
      </c>
      <c r="H616" s="193">
        <v>45078</v>
      </c>
      <c r="I616" s="191">
        <v>7</v>
      </c>
      <c r="J616" s="191" t="s">
        <v>20</v>
      </c>
      <c r="K616" s="197" t="s">
        <v>21</v>
      </c>
      <c r="L616" s="191" t="s">
        <v>27</v>
      </c>
      <c r="M616" s="188">
        <f>18000000-4750000-23334</f>
        <v>13226666</v>
      </c>
      <c r="N616" s="195" t="s">
        <v>225</v>
      </c>
      <c r="O616" s="198" t="s">
        <v>164</v>
      </c>
      <c r="P616" s="192" t="s">
        <v>24</v>
      </c>
    </row>
    <row r="617" spans="1:16" s="196" customFormat="1" ht="90" x14ac:dyDescent="0.2">
      <c r="A617" s="2">
        <v>2023658</v>
      </c>
      <c r="B617" s="2">
        <v>7658</v>
      </c>
      <c r="C617" s="3" t="s">
        <v>143</v>
      </c>
      <c r="D617" s="191" t="s">
        <v>222</v>
      </c>
      <c r="E617" s="198">
        <v>80111600</v>
      </c>
      <c r="F617" s="191" t="s">
        <v>553</v>
      </c>
      <c r="G617" s="193">
        <v>45078</v>
      </c>
      <c r="H617" s="193">
        <v>45078</v>
      </c>
      <c r="I617" s="191">
        <v>7</v>
      </c>
      <c r="J617" s="191" t="s">
        <v>20</v>
      </c>
      <c r="K617" s="197" t="s">
        <v>21</v>
      </c>
      <c r="L617" s="191" t="s">
        <v>27</v>
      </c>
      <c r="M617" s="188">
        <f>44200000+7600000</f>
        <v>51800000</v>
      </c>
      <c r="N617" s="195" t="s">
        <v>225</v>
      </c>
      <c r="O617" s="198" t="s">
        <v>164</v>
      </c>
      <c r="P617" s="192" t="s">
        <v>24</v>
      </c>
    </row>
    <row r="618" spans="1:16" s="196" customFormat="1" ht="90" x14ac:dyDescent="0.2">
      <c r="A618" s="2">
        <v>2023659</v>
      </c>
      <c r="B618" s="2">
        <v>7658</v>
      </c>
      <c r="C618" s="3" t="s">
        <v>143</v>
      </c>
      <c r="D618" s="191" t="s">
        <v>222</v>
      </c>
      <c r="E618" s="198">
        <v>80111600</v>
      </c>
      <c r="F618" s="191" t="s">
        <v>554</v>
      </c>
      <c r="G618" s="193">
        <v>45078</v>
      </c>
      <c r="H618" s="193">
        <v>45078</v>
      </c>
      <c r="I618" s="191">
        <v>7</v>
      </c>
      <c r="J618" s="191" t="s">
        <v>20</v>
      </c>
      <c r="K618" s="197" t="s">
        <v>21</v>
      </c>
      <c r="L618" s="191" t="s">
        <v>27</v>
      </c>
      <c r="M618" s="188">
        <f>36000000+800000</f>
        <v>36800000</v>
      </c>
      <c r="N618" s="198" t="s">
        <v>230</v>
      </c>
      <c r="O618" s="198" t="s">
        <v>164</v>
      </c>
      <c r="P618" s="192" t="s">
        <v>24</v>
      </c>
    </row>
    <row r="619" spans="1:16" s="196" customFormat="1" ht="90" x14ac:dyDescent="0.2">
      <c r="A619" s="4">
        <v>2023660</v>
      </c>
      <c r="B619" s="2">
        <v>7658</v>
      </c>
      <c r="C619" s="3" t="s">
        <v>143</v>
      </c>
      <c r="D619" s="191" t="s">
        <v>222</v>
      </c>
      <c r="E619" s="198">
        <v>80111600</v>
      </c>
      <c r="F619" s="191" t="s">
        <v>555</v>
      </c>
      <c r="G619" s="193">
        <v>45078</v>
      </c>
      <c r="H619" s="193">
        <v>45078</v>
      </c>
      <c r="I619" s="191">
        <v>7</v>
      </c>
      <c r="J619" s="191" t="s">
        <v>20</v>
      </c>
      <c r="K619" s="197" t="s">
        <v>21</v>
      </c>
      <c r="L619" s="191" t="s">
        <v>27</v>
      </c>
      <c r="M619" s="188">
        <f>30550000-1750000</f>
        <v>28800000</v>
      </c>
      <c r="N619" s="195" t="s">
        <v>225</v>
      </c>
      <c r="O619" s="198" t="s">
        <v>164</v>
      </c>
      <c r="P619" s="192" t="s">
        <v>24</v>
      </c>
    </row>
    <row r="620" spans="1:16" s="196" customFormat="1" ht="90" x14ac:dyDescent="0.2">
      <c r="A620" s="4">
        <v>2023661</v>
      </c>
      <c r="B620" s="2">
        <v>7658</v>
      </c>
      <c r="C620" s="3" t="s">
        <v>143</v>
      </c>
      <c r="D620" s="191" t="s">
        <v>222</v>
      </c>
      <c r="E620" s="198">
        <v>80111600</v>
      </c>
      <c r="F620" s="191" t="s">
        <v>556</v>
      </c>
      <c r="G620" s="193">
        <v>45078</v>
      </c>
      <c r="H620" s="193">
        <v>45078</v>
      </c>
      <c r="I620" s="191">
        <v>7</v>
      </c>
      <c r="J620" s="191" t="s">
        <v>20</v>
      </c>
      <c r="K620" s="197" t="s">
        <v>21</v>
      </c>
      <c r="L620" s="191" t="s">
        <v>27</v>
      </c>
      <c r="M620" s="188">
        <f>22330000-2530000-4800000</f>
        <v>15000000</v>
      </c>
      <c r="N620" s="195" t="s">
        <v>225</v>
      </c>
      <c r="O620" s="198" t="s">
        <v>164</v>
      </c>
      <c r="P620" s="192" t="s">
        <v>24</v>
      </c>
    </row>
    <row r="621" spans="1:16" s="196" customFormat="1" ht="90" x14ac:dyDescent="0.2">
      <c r="A621" s="4">
        <v>2023662</v>
      </c>
      <c r="B621" s="2">
        <v>7658</v>
      </c>
      <c r="C621" s="3" t="s">
        <v>143</v>
      </c>
      <c r="D621" s="191" t="s">
        <v>222</v>
      </c>
      <c r="E621" s="198">
        <v>80111600</v>
      </c>
      <c r="F621" s="191" t="s">
        <v>557</v>
      </c>
      <c r="G621" s="193">
        <v>45078</v>
      </c>
      <c r="H621" s="193">
        <v>45078</v>
      </c>
      <c r="I621" s="191">
        <v>7</v>
      </c>
      <c r="J621" s="191" t="s">
        <v>20</v>
      </c>
      <c r="K621" s="197" t="s">
        <v>21</v>
      </c>
      <c r="L621" s="191" t="s">
        <v>27</v>
      </c>
      <c r="M621" s="188">
        <f>25600000-9600000</f>
        <v>16000000</v>
      </c>
      <c r="N621" s="198" t="s">
        <v>230</v>
      </c>
      <c r="O621" s="198" t="s">
        <v>164</v>
      </c>
      <c r="P621" s="192" t="s">
        <v>24</v>
      </c>
    </row>
    <row r="622" spans="1:16" s="196" customFormat="1" ht="105" x14ac:dyDescent="0.2">
      <c r="A622" s="4">
        <v>2023663</v>
      </c>
      <c r="B622" s="2">
        <v>7658</v>
      </c>
      <c r="C622" s="3" t="s">
        <v>143</v>
      </c>
      <c r="D622" s="191" t="s">
        <v>45</v>
      </c>
      <c r="E622" s="198">
        <v>80111600</v>
      </c>
      <c r="F622" s="191" t="s">
        <v>558</v>
      </c>
      <c r="G622" s="193">
        <v>45047</v>
      </c>
      <c r="H622" s="193">
        <v>45061</v>
      </c>
      <c r="I622" s="191">
        <v>8</v>
      </c>
      <c r="J622" s="191" t="s">
        <v>20</v>
      </c>
      <c r="K622" s="197" t="s">
        <v>21</v>
      </c>
      <c r="L622" s="191" t="s">
        <v>27</v>
      </c>
      <c r="M622" s="188">
        <f>(5382000*8)</f>
        <v>43056000</v>
      </c>
      <c r="N622" s="198" t="s">
        <v>167</v>
      </c>
      <c r="O622" s="198" t="s">
        <v>164</v>
      </c>
      <c r="P622" s="192" t="s">
        <v>24</v>
      </c>
    </row>
    <row r="623" spans="1:16" s="196" customFormat="1" ht="105" x14ac:dyDescent="0.2">
      <c r="A623" s="4">
        <v>2023664</v>
      </c>
      <c r="B623" s="2">
        <v>7658</v>
      </c>
      <c r="C623" s="3" t="s">
        <v>143</v>
      </c>
      <c r="D623" s="191" t="s">
        <v>45</v>
      </c>
      <c r="E623" s="198">
        <v>80111600</v>
      </c>
      <c r="F623" s="191" t="s">
        <v>558</v>
      </c>
      <c r="G623" s="193">
        <v>45047</v>
      </c>
      <c r="H623" s="193">
        <v>45061</v>
      </c>
      <c r="I623" s="191">
        <v>8</v>
      </c>
      <c r="J623" s="191" t="s">
        <v>20</v>
      </c>
      <c r="K623" s="197" t="s">
        <v>21</v>
      </c>
      <c r="L623" s="191" t="s">
        <v>27</v>
      </c>
      <c r="M623" s="188">
        <f>(5382000*8)</f>
        <v>43056000</v>
      </c>
      <c r="N623" s="198" t="s">
        <v>167</v>
      </c>
      <c r="O623" s="198" t="s">
        <v>164</v>
      </c>
      <c r="P623" s="192" t="s">
        <v>24</v>
      </c>
    </row>
    <row r="624" spans="1:16" s="196" customFormat="1" ht="135" x14ac:dyDescent="0.2">
      <c r="A624" s="4">
        <v>2023665</v>
      </c>
      <c r="B624" s="2" t="s">
        <v>17</v>
      </c>
      <c r="C624" s="3" t="s">
        <v>17</v>
      </c>
      <c r="D624" s="191" t="s">
        <v>126</v>
      </c>
      <c r="E624" s="192" t="s">
        <v>450</v>
      </c>
      <c r="F624" s="191" t="s">
        <v>559</v>
      </c>
      <c r="G624" s="193">
        <v>45047</v>
      </c>
      <c r="H624" s="193">
        <v>45047</v>
      </c>
      <c r="I624" s="191">
        <v>2</v>
      </c>
      <c r="J624" s="191" t="s">
        <v>155</v>
      </c>
      <c r="K624" s="197" t="s">
        <v>21</v>
      </c>
      <c r="L624" s="191" t="s">
        <v>684</v>
      </c>
      <c r="M624" s="188">
        <v>32000000</v>
      </c>
      <c r="N624" s="192" t="s">
        <v>23</v>
      </c>
      <c r="O624" s="192" t="s">
        <v>23</v>
      </c>
      <c r="P624" s="192" t="s">
        <v>365</v>
      </c>
    </row>
    <row r="625" spans="1:16" s="196" customFormat="1" ht="90" x14ac:dyDescent="0.2">
      <c r="A625" s="2">
        <v>2023666</v>
      </c>
      <c r="B625" s="2">
        <v>7658</v>
      </c>
      <c r="C625" s="3" t="s">
        <v>143</v>
      </c>
      <c r="D625" s="191" t="s">
        <v>222</v>
      </c>
      <c r="E625" s="192">
        <v>72101509</v>
      </c>
      <c r="F625" s="191" t="s">
        <v>560</v>
      </c>
      <c r="G625" s="193">
        <v>45061</v>
      </c>
      <c r="H625" s="193">
        <v>45061</v>
      </c>
      <c r="I625" s="191">
        <v>6</v>
      </c>
      <c r="J625" s="191" t="s">
        <v>102</v>
      </c>
      <c r="K625" s="197" t="s">
        <v>21</v>
      </c>
      <c r="L625" s="191" t="s">
        <v>162</v>
      </c>
      <c r="M625" s="188">
        <v>25000000</v>
      </c>
      <c r="N625" s="192" t="s">
        <v>225</v>
      </c>
      <c r="O625" s="192" t="s">
        <v>164</v>
      </c>
      <c r="P625" s="192" t="s">
        <v>365</v>
      </c>
    </row>
    <row r="626" spans="1:16" s="196" customFormat="1" ht="60" x14ac:dyDescent="0.2">
      <c r="A626" s="2">
        <v>2023667</v>
      </c>
      <c r="B626" s="2" t="s">
        <v>17</v>
      </c>
      <c r="C626" s="3" t="s">
        <v>17</v>
      </c>
      <c r="D626" s="191" t="s">
        <v>320</v>
      </c>
      <c r="E626" s="192" t="s">
        <v>561</v>
      </c>
      <c r="F626" s="191" t="s">
        <v>562</v>
      </c>
      <c r="G626" s="193">
        <v>45078</v>
      </c>
      <c r="H626" s="193">
        <v>45093</v>
      </c>
      <c r="I626" s="191">
        <v>12</v>
      </c>
      <c r="J626" s="191" t="s">
        <v>119</v>
      </c>
      <c r="K626" s="197" t="s">
        <v>21</v>
      </c>
      <c r="L626" s="191" t="s">
        <v>23</v>
      </c>
      <c r="M626" s="188">
        <v>30000000</v>
      </c>
      <c r="N626" s="192" t="s">
        <v>23</v>
      </c>
      <c r="O626" s="192" t="s">
        <v>23</v>
      </c>
      <c r="P626" s="192" t="s">
        <v>24</v>
      </c>
    </row>
    <row r="627" spans="1:16" s="196" customFormat="1" ht="75" x14ac:dyDescent="0.2">
      <c r="A627" s="4">
        <v>2023668</v>
      </c>
      <c r="B627" s="2">
        <v>7637</v>
      </c>
      <c r="C627" s="3" t="s">
        <v>74</v>
      </c>
      <c r="D627" s="191" t="s">
        <v>18</v>
      </c>
      <c r="E627" s="198">
        <v>80111600</v>
      </c>
      <c r="F627" s="191" t="s">
        <v>563</v>
      </c>
      <c r="G627" s="193">
        <v>45078</v>
      </c>
      <c r="H627" s="193">
        <v>45092</v>
      </c>
      <c r="I627" s="191">
        <v>6</v>
      </c>
      <c r="J627" s="191" t="s">
        <v>20</v>
      </c>
      <c r="K627" s="197" t="s">
        <v>21</v>
      </c>
      <c r="L627" s="191" t="s">
        <v>27</v>
      </c>
      <c r="M627" s="188">
        <v>40800000</v>
      </c>
      <c r="N627" s="198" t="s">
        <v>76</v>
      </c>
      <c r="O627" s="198" t="s">
        <v>77</v>
      </c>
      <c r="P627" s="198" t="s">
        <v>24</v>
      </c>
    </row>
    <row r="628" spans="1:16" s="196" customFormat="1" ht="90" x14ac:dyDescent="0.2">
      <c r="A628" s="2">
        <v>2023669</v>
      </c>
      <c r="B628" s="2">
        <v>7637</v>
      </c>
      <c r="C628" s="3" t="s">
        <v>74</v>
      </c>
      <c r="D628" s="191" t="s">
        <v>18</v>
      </c>
      <c r="E628" s="198">
        <v>80111600</v>
      </c>
      <c r="F628" s="191" t="s">
        <v>564</v>
      </c>
      <c r="G628" s="193">
        <v>45078</v>
      </c>
      <c r="H628" s="193">
        <v>45092</v>
      </c>
      <c r="I628" s="191">
        <v>5</v>
      </c>
      <c r="J628" s="191" t="s">
        <v>20</v>
      </c>
      <c r="K628" s="197" t="s">
        <v>21</v>
      </c>
      <c r="L628" s="191" t="s">
        <v>27</v>
      </c>
      <c r="M628" s="188">
        <f>52000000-26000000+6500000</f>
        <v>32500000</v>
      </c>
      <c r="N628" s="198" t="s">
        <v>76</v>
      </c>
      <c r="O628" s="198" t="s">
        <v>77</v>
      </c>
      <c r="P628" s="198" t="s">
        <v>24</v>
      </c>
    </row>
    <row r="629" spans="1:16" s="196" customFormat="1" ht="105" x14ac:dyDescent="0.2">
      <c r="A629" s="4">
        <v>2023672</v>
      </c>
      <c r="B629" s="2">
        <v>7637</v>
      </c>
      <c r="C629" s="3" t="s">
        <v>74</v>
      </c>
      <c r="D629" s="191" t="s">
        <v>18</v>
      </c>
      <c r="E629" s="198">
        <v>80111600</v>
      </c>
      <c r="F629" s="191" t="s">
        <v>565</v>
      </c>
      <c r="G629" s="193">
        <v>45078</v>
      </c>
      <c r="H629" s="193">
        <v>45092</v>
      </c>
      <c r="I629" s="191">
        <v>4</v>
      </c>
      <c r="J629" s="191" t="s">
        <v>20</v>
      </c>
      <c r="K629" s="197" t="s">
        <v>21</v>
      </c>
      <c r="L629" s="191" t="s">
        <v>27</v>
      </c>
      <c r="M629" s="188">
        <f>20400000+34000000-27200000</f>
        <v>27200000</v>
      </c>
      <c r="N629" s="198" t="s">
        <v>95</v>
      </c>
      <c r="O629" s="198" t="s">
        <v>77</v>
      </c>
      <c r="P629" s="198" t="s">
        <v>24</v>
      </c>
    </row>
    <row r="630" spans="1:16" s="196" customFormat="1" ht="90" x14ac:dyDescent="0.2">
      <c r="A630" s="4">
        <v>2023673</v>
      </c>
      <c r="B630" s="2">
        <v>7655</v>
      </c>
      <c r="C630" s="3" t="s">
        <v>25</v>
      </c>
      <c r="D630" s="191" t="s">
        <v>18</v>
      </c>
      <c r="E630" s="198">
        <v>80111600</v>
      </c>
      <c r="F630" s="195" t="s">
        <v>26</v>
      </c>
      <c r="G630" s="193">
        <v>45078</v>
      </c>
      <c r="H630" s="193">
        <v>45092</v>
      </c>
      <c r="I630" s="209">
        <v>5</v>
      </c>
      <c r="J630" s="191" t="s">
        <v>20</v>
      </c>
      <c r="K630" s="191" t="s">
        <v>21</v>
      </c>
      <c r="L630" s="191" t="s">
        <v>27</v>
      </c>
      <c r="M630" s="230">
        <f>16500000-1000000-500000</f>
        <v>15000000</v>
      </c>
      <c r="N630" s="198" t="s">
        <v>28</v>
      </c>
      <c r="O630" s="198" t="s">
        <v>29</v>
      </c>
      <c r="P630" s="195" t="s">
        <v>24</v>
      </c>
    </row>
    <row r="631" spans="1:16" s="196" customFormat="1" ht="75" x14ac:dyDescent="0.2">
      <c r="A631" s="2">
        <v>2023674</v>
      </c>
      <c r="B631" s="2">
        <v>7655</v>
      </c>
      <c r="C631" s="3" t="s">
        <v>25</v>
      </c>
      <c r="D631" s="191" t="s">
        <v>18</v>
      </c>
      <c r="E631" s="198">
        <v>80111600</v>
      </c>
      <c r="F631" s="195" t="s">
        <v>566</v>
      </c>
      <c r="G631" s="193">
        <v>45078</v>
      </c>
      <c r="H631" s="193">
        <v>45092</v>
      </c>
      <c r="I631" s="209">
        <v>5</v>
      </c>
      <c r="J631" s="191" t="s">
        <v>20</v>
      </c>
      <c r="K631" s="191" t="s">
        <v>21</v>
      </c>
      <c r="L631" s="191" t="s">
        <v>27</v>
      </c>
      <c r="M631" s="230">
        <v>30000000</v>
      </c>
      <c r="N631" s="198" t="s">
        <v>28</v>
      </c>
      <c r="O631" s="198" t="s">
        <v>29</v>
      </c>
      <c r="P631" s="195" t="s">
        <v>24</v>
      </c>
    </row>
    <row r="632" spans="1:16" s="196" customFormat="1" ht="75" x14ac:dyDescent="0.2">
      <c r="A632" s="2">
        <v>2023675</v>
      </c>
      <c r="B632" s="2">
        <v>7655</v>
      </c>
      <c r="C632" s="3" t="s">
        <v>25</v>
      </c>
      <c r="D632" s="191" t="s">
        <v>18</v>
      </c>
      <c r="E632" s="198">
        <v>80111600</v>
      </c>
      <c r="F632" s="195" t="s">
        <v>567</v>
      </c>
      <c r="G632" s="193">
        <v>45078</v>
      </c>
      <c r="H632" s="193">
        <v>45092</v>
      </c>
      <c r="I632" s="209">
        <v>6</v>
      </c>
      <c r="J632" s="191" t="s">
        <v>20</v>
      </c>
      <c r="K632" s="191" t="s">
        <v>21</v>
      </c>
      <c r="L632" s="191" t="s">
        <v>27</v>
      </c>
      <c r="M632" s="230">
        <f>31200000-31200000</f>
        <v>0</v>
      </c>
      <c r="N632" s="198" t="s">
        <v>28</v>
      </c>
      <c r="O632" s="198" t="s">
        <v>29</v>
      </c>
      <c r="P632" s="195" t="s">
        <v>24</v>
      </c>
    </row>
    <row r="633" spans="1:16" s="196" customFormat="1" ht="60" x14ac:dyDescent="0.2">
      <c r="A633" s="4">
        <v>2023676</v>
      </c>
      <c r="B633" s="2" t="s">
        <v>17</v>
      </c>
      <c r="C633" s="3" t="s">
        <v>17</v>
      </c>
      <c r="D633" s="191" t="s">
        <v>18</v>
      </c>
      <c r="E633" s="192" t="s">
        <v>568</v>
      </c>
      <c r="F633" s="191" t="s">
        <v>569</v>
      </c>
      <c r="G633" s="193">
        <v>45204</v>
      </c>
      <c r="H633" s="193">
        <v>45222</v>
      </c>
      <c r="I633" s="191">
        <v>2</v>
      </c>
      <c r="J633" s="191" t="s">
        <v>119</v>
      </c>
      <c r="K633" s="197" t="s">
        <v>21</v>
      </c>
      <c r="L633" s="191" t="s">
        <v>73</v>
      </c>
      <c r="M633" s="188">
        <f>4103000+3209200</f>
        <v>7312200</v>
      </c>
      <c r="N633" s="192" t="s">
        <v>23</v>
      </c>
      <c r="O633" s="192" t="s">
        <v>23</v>
      </c>
      <c r="P633" s="195" t="s">
        <v>24</v>
      </c>
    </row>
    <row r="634" spans="1:16" s="196" customFormat="1" ht="75" x14ac:dyDescent="0.2">
      <c r="A634" s="4">
        <v>2023677</v>
      </c>
      <c r="B634" s="2">
        <v>7637</v>
      </c>
      <c r="C634" s="3" t="s">
        <v>74</v>
      </c>
      <c r="D634" s="191" t="s">
        <v>18</v>
      </c>
      <c r="E634" s="198">
        <v>80111600</v>
      </c>
      <c r="F634" s="191" t="s">
        <v>570</v>
      </c>
      <c r="G634" s="193">
        <v>45078</v>
      </c>
      <c r="H634" s="193">
        <v>45092</v>
      </c>
      <c r="I634" s="191">
        <v>7</v>
      </c>
      <c r="J634" s="191" t="s">
        <v>20</v>
      </c>
      <c r="K634" s="197" t="s">
        <v>21</v>
      </c>
      <c r="L634" s="191" t="s">
        <v>27</v>
      </c>
      <c r="M634" s="188">
        <v>52500000</v>
      </c>
      <c r="N634" s="198" t="s">
        <v>76</v>
      </c>
      <c r="O634" s="198" t="s">
        <v>77</v>
      </c>
      <c r="P634" s="198" t="s">
        <v>24</v>
      </c>
    </row>
    <row r="635" spans="1:16" s="196" customFormat="1" ht="75" x14ac:dyDescent="0.2">
      <c r="A635" s="2">
        <v>2023678</v>
      </c>
      <c r="B635" s="2">
        <v>7637</v>
      </c>
      <c r="C635" s="3" t="s">
        <v>74</v>
      </c>
      <c r="D635" s="191" t="s">
        <v>18</v>
      </c>
      <c r="E635" s="192">
        <v>80111600</v>
      </c>
      <c r="F635" s="191" t="s">
        <v>571</v>
      </c>
      <c r="G635" s="193">
        <v>45078</v>
      </c>
      <c r="H635" s="193">
        <v>45092</v>
      </c>
      <c r="I635" s="191">
        <v>6</v>
      </c>
      <c r="J635" s="202" t="s">
        <v>20</v>
      </c>
      <c r="K635" s="197" t="s">
        <v>21</v>
      </c>
      <c r="L635" s="191" t="s">
        <v>27</v>
      </c>
      <c r="M635" s="188">
        <v>39000000</v>
      </c>
      <c r="N635" s="192" t="s">
        <v>76</v>
      </c>
      <c r="O635" s="192" t="s">
        <v>77</v>
      </c>
      <c r="P635" s="192" t="s">
        <v>24</v>
      </c>
    </row>
    <row r="636" spans="1:16" s="196" customFormat="1" ht="75" x14ac:dyDescent="0.2">
      <c r="A636" s="2">
        <v>2023679</v>
      </c>
      <c r="B636" s="2">
        <v>7658</v>
      </c>
      <c r="C636" s="118" t="s">
        <v>143</v>
      </c>
      <c r="D636" s="191" t="s">
        <v>282</v>
      </c>
      <c r="E636" s="198">
        <v>80111600</v>
      </c>
      <c r="F636" s="191" t="s">
        <v>301</v>
      </c>
      <c r="G636" s="193">
        <v>45092</v>
      </c>
      <c r="H636" s="218">
        <v>45091</v>
      </c>
      <c r="I636" s="191">
        <v>8</v>
      </c>
      <c r="J636" s="202" t="s">
        <v>20</v>
      </c>
      <c r="K636" s="197" t="s">
        <v>21</v>
      </c>
      <c r="L636" s="191" t="s">
        <v>27</v>
      </c>
      <c r="M636" s="188">
        <v>29600000</v>
      </c>
      <c r="N636" s="198" t="s">
        <v>286</v>
      </c>
      <c r="O636" s="198" t="s">
        <v>287</v>
      </c>
      <c r="P636" s="192" t="s">
        <v>24</v>
      </c>
    </row>
    <row r="637" spans="1:16" s="196" customFormat="1" ht="75" x14ac:dyDescent="0.2">
      <c r="A637" s="2">
        <v>2023680</v>
      </c>
      <c r="B637" s="2">
        <v>7658</v>
      </c>
      <c r="C637" s="118" t="s">
        <v>143</v>
      </c>
      <c r="D637" s="191" t="s">
        <v>282</v>
      </c>
      <c r="E637" s="198">
        <v>80111600</v>
      </c>
      <c r="F637" s="191" t="s">
        <v>309</v>
      </c>
      <c r="G637" s="193">
        <v>45100</v>
      </c>
      <c r="H637" s="218">
        <v>45099</v>
      </c>
      <c r="I637" s="191">
        <v>6</v>
      </c>
      <c r="J637" s="202" t="s">
        <v>20</v>
      </c>
      <c r="K637" s="197" t="s">
        <v>21</v>
      </c>
      <c r="L637" s="191" t="s">
        <v>27</v>
      </c>
      <c r="M637" s="188">
        <v>27000000</v>
      </c>
      <c r="N637" s="198" t="s">
        <v>286</v>
      </c>
      <c r="O637" s="198" t="s">
        <v>287</v>
      </c>
      <c r="P637" s="192" t="s">
        <v>24</v>
      </c>
    </row>
    <row r="638" spans="1:16" s="196" customFormat="1" ht="75" x14ac:dyDescent="0.2">
      <c r="A638" s="2">
        <v>2023681</v>
      </c>
      <c r="B638" s="2">
        <v>7658</v>
      </c>
      <c r="C638" s="118" t="s">
        <v>143</v>
      </c>
      <c r="D638" s="191" t="s">
        <v>282</v>
      </c>
      <c r="E638" s="198">
        <v>80111600</v>
      </c>
      <c r="F638" s="191" t="s">
        <v>319</v>
      </c>
      <c r="G638" s="193">
        <v>45069</v>
      </c>
      <c r="H638" s="218">
        <v>45068</v>
      </c>
      <c r="I638" s="191">
        <v>8</v>
      </c>
      <c r="J638" s="202" t="s">
        <v>20</v>
      </c>
      <c r="K638" s="197" t="s">
        <v>21</v>
      </c>
      <c r="L638" s="191" t="s">
        <v>27</v>
      </c>
      <c r="M638" s="188">
        <v>40000000</v>
      </c>
      <c r="N638" s="198" t="s">
        <v>286</v>
      </c>
      <c r="O638" s="198" t="s">
        <v>287</v>
      </c>
      <c r="P638" s="192" t="s">
        <v>24</v>
      </c>
    </row>
    <row r="639" spans="1:16" s="196" customFormat="1" ht="75" x14ac:dyDescent="0.2">
      <c r="A639" s="2">
        <v>2023682</v>
      </c>
      <c r="B639" s="2">
        <v>7658</v>
      </c>
      <c r="C639" s="118" t="s">
        <v>143</v>
      </c>
      <c r="D639" s="191" t="s">
        <v>282</v>
      </c>
      <c r="E639" s="198">
        <v>80111600</v>
      </c>
      <c r="F639" s="191" t="s">
        <v>299</v>
      </c>
      <c r="G639" s="193">
        <v>45253</v>
      </c>
      <c r="H639" s="218">
        <v>45258</v>
      </c>
      <c r="I639" s="191">
        <v>1</v>
      </c>
      <c r="J639" s="202" t="s">
        <v>20</v>
      </c>
      <c r="K639" s="197" t="s">
        <v>21</v>
      </c>
      <c r="L639" s="191" t="s">
        <v>27</v>
      </c>
      <c r="M639" s="188">
        <f>9000000-9000000</f>
        <v>0</v>
      </c>
      <c r="N639" s="198" t="s">
        <v>286</v>
      </c>
      <c r="O639" s="198" t="s">
        <v>287</v>
      </c>
      <c r="P639" s="192" t="s">
        <v>24</v>
      </c>
    </row>
    <row r="640" spans="1:16" s="196" customFormat="1" ht="75" x14ac:dyDescent="0.2">
      <c r="A640" s="2">
        <v>2023683</v>
      </c>
      <c r="B640" s="2">
        <v>7658</v>
      </c>
      <c r="C640" s="118" t="s">
        <v>143</v>
      </c>
      <c r="D640" s="191" t="s">
        <v>282</v>
      </c>
      <c r="E640" s="198">
        <v>80111600</v>
      </c>
      <c r="F640" s="191" t="s">
        <v>572</v>
      </c>
      <c r="G640" s="193">
        <v>45281</v>
      </c>
      <c r="H640" s="218">
        <v>45280</v>
      </c>
      <c r="I640" s="191">
        <v>1</v>
      </c>
      <c r="J640" s="202" t="s">
        <v>20</v>
      </c>
      <c r="K640" s="197" t="s">
        <v>21</v>
      </c>
      <c r="L640" s="191" t="s">
        <v>27</v>
      </c>
      <c r="M640" s="188">
        <v>4850000</v>
      </c>
      <c r="N640" s="198" t="s">
        <v>286</v>
      </c>
      <c r="O640" s="198" t="s">
        <v>287</v>
      </c>
      <c r="P640" s="192" t="s">
        <v>365</v>
      </c>
    </row>
    <row r="641" spans="1:16" s="196" customFormat="1" ht="75" x14ac:dyDescent="0.2">
      <c r="A641" s="2">
        <v>2023684</v>
      </c>
      <c r="B641" s="2">
        <v>7658</v>
      </c>
      <c r="C641" s="118" t="s">
        <v>143</v>
      </c>
      <c r="D641" s="191" t="s">
        <v>282</v>
      </c>
      <c r="E641" s="198">
        <v>80111600</v>
      </c>
      <c r="F641" s="191" t="s">
        <v>573</v>
      </c>
      <c r="G641" s="193">
        <v>45280</v>
      </c>
      <c r="H641" s="218">
        <v>45279</v>
      </c>
      <c r="I641" s="191">
        <v>1</v>
      </c>
      <c r="J641" s="202" t="s">
        <v>20</v>
      </c>
      <c r="K641" s="197" t="s">
        <v>21</v>
      </c>
      <c r="L641" s="191" t="s">
        <v>27</v>
      </c>
      <c r="M641" s="188">
        <v>3350000</v>
      </c>
      <c r="N641" s="198" t="s">
        <v>286</v>
      </c>
      <c r="O641" s="198" t="s">
        <v>287</v>
      </c>
      <c r="P641" s="192" t="s">
        <v>365</v>
      </c>
    </row>
    <row r="642" spans="1:16" s="196" customFormat="1" ht="90" x14ac:dyDescent="0.2">
      <c r="A642" s="2">
        <v>2023685</v>
      </c>
      <c r="B642" s="2">
        <v>7658</v>
      </c>
      <c r="C642" s="118" t="s">
        <v>143</v>
      </c>
      <c r="D642" s="191" t="s">
        <v>222</v>
      </c>
      <c r="E642" s="198">
        <v>80111600</v>
      </c>
      <c r="F642" s="191" t="s">
        <v>574</v>
      </c>
      <c r="G642" s="193">
        <v>45076</v>
      </c>
      <c r="H642" s="218">
        <v>45078</v>
      </c>
      <c r="I642" s="191">
        <v>6</v>
      </c>
      <c r="J642" s="202" t="s">
        <v>20</v>
      </c>
      <c r="K642" s="197" t="s">
        <v>21</v>
      </c>
      <c r="L642" s="191" t="s">
        <v>27</v>
      </c>
      <c r="M642" s="188">
        <f>26950000+27050000</f>
        <v>54000000</v>
      </c>
      <c r="N642" s="198" t="s">
        <v>225</v>
      </c>
      <c r="O642" s="198" t="s">
        <v>164</v>
      </c>
      <c r="P642" s="192" t="s">
        <v>24</v>
      </c>
    </row>
    <row r="643" spans="1:16" s="196" customFormat="1" ht="120" x14ac:dyDescent="0.2">
      <c r="A643" s="2">
        <v>2023686</v>
      </c>
      <c r="B643" s="2">
        <v>7658</v>
      </c>
      <c r="C643" s="118" t="s">
        <v>143</v>
      </c>
      <c r="D643" s="191" t="s">
        <v>222</v>
      </c>
      <c r="E643" s="198">
        <v>80111600</v>
      </c>
      <c r="F643" s="191" t="s">
        <v>575</v>
      </c>
      <c r="G643" s="193">
        <v>45061</v>
      </c>
      <c r="H643" s="218">
        <v>45072</v>
      </c>
      <c r="I643" s="191">
        <v>2</v>
      </c>
      <c r="J643" s="202" t="s">
        <v>160</v>
      </c>
      <c r="K643" s="197" t="s">
        <v>21</v>
      </c>
      <c r="L643" s="191" t="s">
        <v>224</v>
      </c>
      <c r="M643" s="188">
        <v>100000000</v>
      </c>
      <c r="N643" s="198" t="s">
        <v>225</v>
      </c>
      <c r="O643" s="198" t="s">
        <v>164</v>
      </c>
      <c r="P643" s="192" t="s">
        <v>365</v>
      </c>
    </row>
    <row r="644" spans="1:16" s="196" customFormat="1" ht="75" x14ac:dyDescent="0.2">
      <c r="A644" s="2">
        <v>2023687</v>
      </c>
      <c r="B644" s="2">
        <v>7658</v>
      </c>
      <c r="C644" s="118" t="s">
        <v>143</v>
      </c>
      <c r="D644" s="191" t="s">
        <v>282</v>
      </c>
      <c r="E644" s="198">
        <v>80111600</v>
      </c>
      <c r="F644" s="191" t="s">
        <v>316</v>
      </c>
      <c r="G644" s="193">
        <v>45089</v>
      </c>
      <c r="H644" s="218">
        <v>45088</v>
      </c>
      <c r="I644" s="191">
        <v>5</v>
      </c>
      <c r="J644" s="191" t="s">
        <v>20</v>
      </c>
      <c r="K644" s="197" t="s">
        <v>21</v>
      </c>
      <c r="L644" s="191" t="s">
        <v>27</v>
      </c>
      <c r="M644" s="188">
        <v>22500000</v>
      </c>
      <c r="N644" s="198" t="s">
        <v>286</v>
      </c>
      <c r="O644" s="198" t="s">
        <v>287</v>
      </c>
      <c r="P644" s="192" t="s">
        <v>24</v>
      </c>
    </row>
    <row r="645" spans="1:16" s="196" customFormat="1" ht="75" x14ac:dyDescent="0.2">
      <c r="A645" s="2">
        <v>2023688</v>
      </c>
      <c r="B645" s="2" t="s">
        <v>17</v>
      </c>
      <c r="C645" s="118" t="s">
        <v>17</v>
      </c>
      <c r="D645" s="191" t="s">
        <v>320</v>
      </c>
      <c r="E645" s="198">
        <v>80111600</v>
      </c>
      <c r="F645" s="191" t="s">
        <v>430</v>
      </c>
      <c r="G645" s="193">
        <v>45078</v>
      </c>
      <c r="H645" s="218">
        <v>45087</v>
      </c>
      <c r="I645" s="191">
        <v>7</v>
      </c>
      <c r="J645" s="202" t="s">
        <v>20</v>
      </c>
      <c r="K645" s="197" t="s">
        <v>21</v>
      </c>
      <c r="L645" s="191" t="s">
        <v>23</v>
      </c>
      <c r="M645" s="188">
        <f>((6000000*6)-9870000)+15870000</f>
        <v>42000000</v>
      </c>
      <c r="N645" s="198" t="s">
        <v>23</v>
      </c>
      <c r="O645" s="198" t="s">
        <v>23</v>
      </c>
      <c r="P645" s="192" t="s">
        <v>24</v>
      </c>
    </row>
    <row r="646" spans="1:16" s="196" customFormat="1" ht="60" x14ac:dyDescent="0.2">
      <c r="A646" s="4">
        <v>2023689</v>
      </c>
      <c r="B646" s="2">
        <v>7655</v>
      </c>
      <c r="C646" s="118" t="s">
        <v>25</v>
      </c>
      <c r="D646" s="191" t="s">
        <v>320</v>
      </c>
      <c r="E646" s="198">
        <v>80111600</v>
      </c>
      <c r="F646" s="191" t="s">
        <v>335</v>
      </c>
      <c r="G646" s="193">
        <v>44927</v>
      </c>
      <c r="H646" s="218">
        <v>44941</v>
      </c>
      <c r="I646" s="191">
        <v>11</v>
      </c>
      <c r="J646" s="191" t="s">
        <v>20</v>
      </c>
      <c r="K646" s="197" t="s">
        <v>21</v>
      </c>
      <c r="L646" s="191" t="s">
        <v>27</v>
      </c>
      <c r="M646" s="230">
        <f>2450000*7</f>
        <v>17150000</v>
      </c>
      <c r="N646" s="198" t="s">
        <v>28</v>
      </c>
      <c r="O646" s="198" t="s">
        <v>29</v>
      </c>
      <c r="P646" s="192" t="s">
        <v>24</v>
      </c>
    </row>
    <row r="647" spans="1:16" s="196" customFormat="1" ht="60" x14ac:dyDescent="0.2">
      <c r="A647" s="4">
        <v>2023690</v>
      </c>
      <c r="B647" s="2">
        <v>7655</v>
      </c>
      <c r="C647" s="3" t="s">
        <v>25</v>
      </c>
      <c r="D647" s="191" t="s">
        <v>18</v>
      </c>
      <c r="E647" s="198">
        <v>80111600</v>
      </c>
      <c r="F647" s="191" t="s">
        <v>30</v>
      </c>
      <c r="G647" s="193">
        <v>45078</v>
      </c>
      <c r="H647" s="193">
        <v>45092</v>
      </c>
      <c r="I647" s="191">
        <v>4</v>
      </c>
      <c r="J647" s="191" t="s">
        <v>20</v>
      </c>
      <c r="K647" s="197" t="s">
        <v>21</v>
      </c>
      <c r="L647" s="191" t="s">
        <v>27</v>
      </c>
      <c r="M647" s="230">
        <f>18900000+6100000-12600000+1000000-1000000-1161227</f>
        <v>11238773</v>
      </c>
      <c r="N647" s="198" t="s">
        <v>28</v>
      </c>
      <c r="O647" s="198" t="s">
        <v>29</v>
      </c>
      <c r="P647" s="198" t="s">
        <v>24</v>
      </c>
    </row>
    <row r="648" spans="1:16" s="196" customFormat="1" ht="45" x14ac:dyDescent="0.2">
      <c r="A648" s="2">
        <v>2023691</v>
      </c>
      <c r="B648" s="2" t="s">
        <v>17</v>
      </c>
      <c r="C648" s="3" t="s">
        <v>17</v>
      </c>
      <c r="D648" s="191" t="s">
        <v>18</v>
      </c>
      <c r="E648" s="198">
        <v>80111600</v>
      </c>
      <c r="F648" s="191" t="s">
        <v>31</v>
      </c>
      <c r="G648" s="193">
        <v>45078</v>
      </c>
      <c r="H648" s="193">
        <v>45092</v>
      </c>
      <c r="I648" s="191">
        <v>6</v>
      </c>
      <c r="J648" s="191" t="s">
        <v>20</v>
      </c>
      <c r="K648" s="197" t="s">
        <v>21</v>
      </c>
      <c r="L648" s="191" t="s">
        <v>32</v>
      </c>
      <c r="M648" s="188">
        <v>19800000</v>
      </c>
      <c r="N648" s="198" t="s">
        <v>23</v>
      </c>
      <c r="O648" s="198" t="s">
        <v>23</v>
      </c>
      <c r="P648" s="198" t="s">
        <v>24</v>
      </c>
    </row>
    <row r="649" spans="1:16" s="196" customFormat="1" ht="90" x14ac:dyDescent="0.2">
      <c r="A649" s="2">
        <v>2023692</v>
      </c>
      <c r="B649" s="2">
        <v>7658</v>
      </c>
      <c r="C649" s="118" t="s">
        <v>143</v>
      </c>
      <c r="D649" s="191" t="s">
        <v>45</v>
      </c>
      <c r="E649" s="198">
        <v>80111600</v>
      </c>
      <c r="F649" s="191" t="s">
        <v>576</v>
      </c>
      <c r="G649" s="193">
        <v>45078</v>
      </c>
      <c r="H649" s="193">
        <v>45092</v>
      </c>
      <c r="I649" s="191">
        <v>8</v>
      </c>
      <c r="J649" s="191" t="s">
        <v>20</v>
      </c>
      <c r="K649" s="197" t="s">
        <v>21</v>
      </c>
      <c r="L649" s="191" t="s">
        <v>27</v>
      </c>
      <c r="M649" s="188">
        <f>4800000*7</f>
        <v>33600000</v>
      </c>
      <c r="N649" s="191" t="s">
        <v>167</v>
      </c>
      <c r="O649" s="191" t="s">
        <v>164</v>
      </c>
      <c r="P649" s="198" t="s">
        <v>24</v>
      </c>
    </row>
    <row r="650" spans="1:16" s="196" customFormat="1" ht="90" x14ac:dyDescent="0.2">
      <c r="A650" s="2">
        <v>2023693</v>
      </c>
      <c r="B650" s="2">
        <v>7658</v>
      </c>
      <c r="C650" s="118" t="s">
        <v>143</v>
      </c>
      <c r="D650" s="191" t="s">
        <v>45</v>
      </c>
      <c r="E650" s="198">
        <v>80111600</v>
      </c>
      <c r="F650" s="191" t="s">
        <v>176</v>
      </c>
      <c r="G650" s="193">
        <v>45078</v>
      </c>
      <c r="H650" s="193">
        <v>45092</v>
      </c>
      <c r="I650" s="191">
        <v>8</v>
      </c>
      <c r="J650" s="191" t="s">
        <v>20</v>
      </c>
      <c r="K650" s="197" t="s">
        <v>21</v>
      </c>
      <c r="L650" s="191" t="s">
        <v>27</v>
      </c>
      <c r="M650" s="188">
        <f>2450000*7</f>
        <v>17150000</v>
      </c>
      <c r="N650" s="191" t="s">
        <v>167</v>
      </c>
      <c r="O650" s="191" t="s">
        <v>164</v>
      </c>
      <c r="P650" s="198" t="s">
        <v>24</v>
      </c>
    </row>
    <row r="651" spans="1:16" s="196" customFormat="1" ht="75" x14ac:dyDescent="0.2">
      <c r="A651" s="2">
        <v>2023694</v>
      </c>
      <c r="B651" s="2" t="s">
        <v>17</v>
      </c>
      <c r="C651" s="118" t="s">
        <v>17</v>
      </c>
      <c r="D651" s="191" t="s">
        <v>320</v>
      </c>
      <c r="E651" s="198" t="s">
        <v>401</v>
      </c>
      <c r="F651" s="191" t="s">
        <v>400</v>
      </c>
      <c r="G651" s="193">
        <v>44942</v>
      </c>
      <c r="H651" s="193">
        <v>45066</v>
      </c>
      <c r="I651" s="191">
        <v>1</v>
      </c>
      <c r="J651" s="191" t="s">
        <v>160</v>
      </c>
      <c r="K651" s="197" t="s">
        <v>21</v>
      </c>
      <c r="L651" s="191" t="s">
        <v>23</v>
      </c>
      <c r="M651" s="188">
        <v>5139234</v>
      </c>
      <c r="N651" s="198" t="s">
        <v>23</v>
      </c>
      <c r="O651" s="198" t="s">
        <v>23</v>
      </c>
      <c r="P651" s="192" t="s">
        <v>365</v>
      </c>
    </row>
    <row r="652" spans="1:16" s="196" customFormat="1" ht="60" x14ac:dyDescent="0.2">
      <c r="A652" s="2">
        <v>2023695</v>
      </c>
      <c r="B652" s="2" t="s">
        <v>17</v>
      </c>
      <c r="C652" s="118" t="s">
        <v>17</v>
      </c>
      <c r="D652" s="191" t="s">
        <v>126</v>
      </c>
      <c r="E652" s="198">
        <v>80111600</v>
      </c>
      <c r="F652" s="191" t="s">
        <v>577</v>
      </c>
      <c r="G652" s="193">
        <v>45066</v>
      </c>
      <c r="H652" s="193">
        <v>45068</v>
      </c>
      <c r="I652" s="191">
        <v>5</v>
      </c>
      <c r="J652" s="191" t="s">
        <v>20</v>
      </c>
      <c r="K652" s="197" t="s">
        <v>21</v>
      </c>
      <c r="L652" s="191" t="s">
        <v>23</v>
      </c>
      <c r="M652" s="188">
        <v>19000000</v>
      </c>
      <c r="N652" s="198" t="s">
        <v>23</v>
      </c>
      <c r="O652" s="198" t="s">
        <v>23</v>
      </c>
      <c r="P652" s="192" t="s">
        <v>365</v>
      </c>
    </row>
    <row r="653" spans="1:16" s="196" customFormat="1" ht="75" x14ac:dyDescent="0.2">
      <c r="A653" s="2">
        <v>2023696</v>
      </c>
      <c r="B653" s="2">
        <v>7658</v>
      </c>
      <c r="C653" s="118" t="s">
        <v>143</v>
      </c>
      <c r="D653" s="191" t="s">
        <v>126</v>
      </c>
      <c r="E653" s="198">
        <v>80111600</v>
      </c>
      <c r="F653" s="191" t="s">
        <v>147</v>
      </c>
      <c r="G653" s="193">
        <v>45097</v>
      </c>
      <c r="H653" s="193">
        <v>45099</v>
      </c>
      <c r="I653" s="191">
        <v>5</v>
      </c>
      <c r="J653" s="191" t="s">
        <v>20</v>
      </c>
      <c r="K653" s="197" t="s">
        <v>21</v>
      </c>
      <c r="L653" s="191" t="s">
        <v>27</v>
      </c>
      <c r="M653" s="188">
        <v>30000000</v>
      </c>
      <c r="N653" s="198" t="s">
        <v>145</v>
      </c>
      <c r="O653" s="198" t="s">
        <v>146</v>
      </c>
      <c r="P653" s="192" t="s">
        <v>24</v>
      </c>
    </row>
    <row r="654" spans="1:16" s="196" customFormat="1" ht="75" x14ac:dyDescent="0.2">
      <c r="A654" s="2">
        <v>2023697</v>
      </c>
      <c r="B654" s="2">
        <v>7658</v>
      </c>
      <c r="C654" s="118" t="s">
        <v>143</v>
      </c>
      <c r="D654" s="191" t="s">
        <v>126</v>
      </c>
      <c r="E654" s="198">
        <v>80111600</v>
      </c>
      <c r="F654" s="191" t="s">
        <v>578</v>
      </c>
      <c r="G654" s="193">
        <v>45066</v>
      </c>
      <c r="H654" s="193">
        <v>45068</v>
      </c>
      <c r="I654" s="191">
        <v>7</v>
      </c>
      <c r="J654" s="191" t="s">
        <v>20</v>
      </c>
      <c r="K654" s="197" t="s">
        <v>21</v>
      </c>
      <c r="L654" s="191" t="s">
        <v>27</v>
      </c>
      <c r="M654" s="188">
        <f>55000000</f>
        <v>55000000</v>
      </c>
      <c r="N654" s="198" t="s">
        <v>145</v>
      </c>
      <c r="O654" s="198" t="s">
        <v>146</v>
      </c>
      <c r="P654" s="192" t="s">
        <v>24</v>
      </c>
    </row>
    <row r="655" spans="1:16" s="196" customFormat="1" ht="75" x14ac:dyDescent="0.2">
      <c r="A655" s="2">
        <v>2023698</v>
      </c>
      <c r="B655" s="2">
        <v>7658</v>
      </c>
      <c r="C655" s="118" t="s">
        <v>143</v>
      </c>
      <c r="D655" s="191" t="s">
        <v>126</v>
      </c>
      <c r="E655" s="198">
        <v>80111600</v>
      </c>
      <c r="F655" s="191" t="s">
        <v>132</v>
      </c>
      <c r="G655" s="193">
        <v>45066</v>
      </c>
      <c r="H655" s="193">
        <v>45068</v>
      </c>
      <c r="I655" s="191">
        <v>5</v>
      </c>
      <c r="J655" s="191" t="s">
        <v>20</v>
      </c>
      <c r="K655" s="197" t="s">
        <v>21</v>
      </c>
      <c r="L655" s="191" t="s">
        <v>27</v>
      </c>
      <c r="M655" s="188">
        <v>16560000</v>
      </c>
      <c r="N655" s="198" t="s">
        <v>145</v>
      </c>
      <c r="O655" s="198" t="s">
        <v>146</v>
      </c>
      <c r="P655" s="192" t="s">
        <v>24</v>
      </c>
    </row>
    <row r="656" spans="1:16" s="196" customFormat="1" ht="75" x14ac:dyDescent="0.2">
      <c r="A656" s="2">
        <v>2023699</v>
      </c>
      <c r="B656" s="2">
        <v>7658</v>
      </c>
      <c r="C656" s="118" t="s">
        <v>143</v>
      </c>
      <c r="D656" s="191" t="s">
        <v>126</v>
      </c>
      <c r="E656" s="198">
        <v>80111600</v>
      </c>
      <c r="F656" s="191" t="s">
        <v>133</v>
      </c>
      <c r="G656" s="193">
        <v>45066</v>
      </c>
      <c r="H656" s="193">
        <v>45068</v>
      </c>
      <c r="I656" s="191">
        <v>6</v>
      </c>
      <c r="J656" s="191" t="s">
        <v>20</v>
      </c>
      <c r="K656" s="197" t="s">
        <v>21</v>
      </c>
      <c r="L656" s="191" t="s">
        <v>27</v>
      </c>
      <c r="M656" s="188">
        <v>31311500</v>
      </c>
      <c r="N656" s="198" t="s">
        <v>145</v>
      </c>
      <c r="O656" s="198" t="s">
        <v>146</v>
      </c>
      <c r="P656" s="192" t="s">
        <v>24</v>
      </c>
    </row>
    <row r="657" spans="1:17" s="196" customFormat="1" ht="75" x14ac:dyDescent="0.2">
      <c r="A657" s="2">
        <v>2023700</v>
      </c>
      <c r="B657" s="2">
        <v>7658</v>
      </c>
      <c r="C657" s="118" t="s">
        <v>143</v>
      </c>
      <c r="D657" s="191" t="s">
        <v>126</v>
      </c>
      <c r="E657" s="198">
        <v>80111600</v>
      </c>
      <c r="F657" s="191" t="s">
        <v>457</v>
      </c>
      <c r="G657" s="193">
        <v>45066</v>
      </c>
      <c r="H657" s="193">
        <v>45068</v>
      </c>
      <c r="I657" s="191">
        <v>5</v>
      </c>
      <c r="J657" s="191" t="s">
        <v>20</v>
      </c>
      <c r="K657" s="197" t="s">
        <v>21</v>
      </c>
      <c r="L657" s="191" t="s">
        <v>27</v>
      </c>
      <c r="M657" s="188">
        <v>19561500</v>
      </c>
      <c r="N657" s="198" t="s">
        <v>145</v>
      </c>
      <c r="O657" s="198" t="s">
        <v>146</v>
      </c>
      <c r="P657" s="192" t="s">
        <v>24</v>
      </c>
    </row>
    <row r="658" spans="1:17" s="196" customFormat="1" ht="75" x14ac:dyDescent="0.2">
      <c r="A658" s="2">
        <v>2023701</v>
      </c>
      <c r="B658" s="2">
        <v>7658</v>
      </c>
      <c r="C658" s="118" t="s">
        <v>143</v>
      </c>
      <c r="D658" s="191" t="s">
        <v>126</v>
      </c>
      <c r="E658" s="198">
        <v>80111600</v>
      </c>
      <c r="F658" s="191" t="s">
        <v>138</v>
      </c>
      <c r="G658" s="193">
        <v>45066</v>
      </c>
      <c r="H658" s="193">
        <v>45068</v>
      </c>
      <c r="I658" s="191">
        <v>4</v>
      </c>
      <c r="J658" s="191" t="s">
        <v>20</v>
      </c>
      <c r="K658" s="197" t="s">
        <v>21</v>
      </c>
      <c r="L658" s="191" t="s">
        <v>27</v>
      </c>
      <c r="M658" s="188">
        <v>20700000</v>
      </c>
      <c r="N658" s="198" t="s">
        <v>145</v>
      </c>
      <c r="O658" s="198" t="s">
        <v>146</v>
      </c>
      <c r="P658" s="192" t="s">
        <v>24</v>
      </c>
      <c r="Q658" s="155"/>
    </row>
    <row r="659" spans="1:17" s="196" customFormat="1" ht="90" x14ac:dyDescent="0.2">
      <c r="A659" s="2">
        <v>2023704</v>
      </c>
      <c r="B659" s="2">
        <v>7637</v>
      </c>
      <c r="C659" s="3" t="s">
        <v>74</v>
      </c>
      <c r="D659" s="198" t="s">
        <v>18</v>
      </c>
      <c r="E659" s="192">
        <v>80111600</v>
      </c>
      <c r="F659" s="192" t="s">
        <v>579</v>
      </c>
      <c r="G659" s="193">
        <v>45110</v>
      </c>
      <c r="H659" s="193">
        <v>45124</v>
      </c>
      <c r="I659" s="191">
        <v>2</v>
      </c>
      <c r="J659" s="191" t="s">
        <v>20</v>
      </c>
      <c r="K659" s="197" t="s">
        <v>21</v>
      </c>
      <c r="L659" s="191" t="s">
        <v>27</v>
      </c>
      <c r="M659" s="188">
        <f>6300000+5700000</f>
        <v>12000000</v>
      </c>
      <c r="N659" s="192" t="s">
        <v>95</v>
      </c>
      <c r="O659" s="192" t="s">
        <v>77</v>
      </c>
      <c r="P659" s="192" t="s">
        <v>24</v>
      </c>
      <c r="Q659" s="155"/>
    </row>
    <row r="660" spans="1:17" s="196" customFormat="1" ht="75" x14ac:dyDescent="0.2">
      <c r="A660" s="2">
        <v>2023705</v>
      </c>
      <c r="B660" s="2">
        <v>7637</v>
      </c>
      <c r="C660" s="3" t="s">
        <v>74</v>
      </c>
      <c r="D660" s="198" t="s">
        <v>18</v>
      </c>
      <c r="E660" s="192">
        <v>80111600</v>
      </c>
      <c r="F660" s="192" t="s">
        <v>580</v>
      </c>
      <c r="G660" s="193">
        <v>45078</v>
      </c>
      <c r="H660" s="193">
        <v>45092</v>
      </c>
      <c r="I660" s="191">
        <v>5</v>
      </c>
      <c r="J660" s="191" t="s">
        <v>20</v>
      </c>
      <c r="K660" s="197" t="s">
        <v>21</v>
      </c>
      <c r="L660" s="191" t="s">
        <v>27</v>
      </c>
      <c r="M660" s="188">
        <v>21500000</v>
      </c>
      <c r="N660" s="192" t="s">
        <v>76</v>
      </c>
      <c r="O660" s="192" t="s">
        <v>77</v>
      </c>
      <c r="P660" s="192" t="s">
        <v>24</v>
      </c>
      <c r="Q660" s="155"/>
    </row>
    <row r="661" spans="1:17" s="196" customFormat="1" ht="60" x14ac:dyDescent="0.2">
      <c r="A661" s="2">
        <v>2023706</v>
      </c>
      <c r="B661" s="2">
        <v>7655</v>
      </c>
      <c r="C661" s="3" t="s">
        <v>25</v>
      </c>
      <c r="D661" s="198" t="s">
        <v>126</v>
      </c>
      <c r="E661" s="192">
        <v>80111600</v>
      </c>
      <c r="F661" s="192" t="s">
        <v>127</v>
      </c>
      <c r="G661" s="193">
        <v>45069</v>
      </c>
      <c r="H661" s="193">
        <v>45072</v>
      </c>
      <c r="I661" s="191">
        <v>6</v>
      </c>
      <c r="J661" s="191" t="s">
        <v>20</v>
      </c>
      <c r="K661" s="197" t="s">
        <v>21</v>
      </c>
      <c r="L661" s="191" t="s">
        <v>27</v>
      </c>
      <c r="M661" s="230">
        <v>18216000</v>
      </c>
      <c r="N661" s="192" t="s">
        <v>28</v>
      </c>
      <c r="O661" s="192" t="s">
        <v>29</v>
      </c>
      <c r="P661" s="192" t="s">
        <v>24</v>
      </c>
      <c r="Q661" s="155"/>
    </row>
    <row r="662" spans="1:17" s="196" customFormat="1" ht="90" x14ac:dyDescent="0.2">
      <c r="A662" s="2">
        <v>2023707</v>
      </c>
      <c r="B662" s="2">
        <v>7655</v>
      </c>
      <c r="C662" s="3" t="s">
        <v>25</v>
      </c>
      <c r="D662" s="198" t="s">
        <v>126</v>
      </c>
      <c r="E662" s="192">
        <v>80111600</v>
      </c>
      <c r="F662" s="192" t="s">
        <v>581</v>
      </c>
      <c r="G662" s="193">
        <v>45069</v>
      </c>
      <c r="H662" s="193">
        <v>45072</v>
      </c>
      <c r="I662" s="191">
        <v>5</v>
      </c>
      <c r="J662" s="191" t="s">
        <v>20</v>
      </c>
      <c r="K662" s="197" t="s">
        <v>21</v>
      </c>
      <c r="L662" s="191" t="s">
        <v>27</v>
      </c>
      <c r="M662" s="230">
        <v>21735000</v>
      </c>
      <c r="N662" s="192" t="s">
        <v>28</v>
      </c>
      <c r="O662" s="192" t="s">
        <v>29</v>
      </c>
      <c r="P662" s="192" t="s">
        <v>24</v>
      </c>
      <c r="Q662" s="155"/>
    </row>
    <row r="663" spans="1:17" s="196" customFormat="1" ht="60" x14ac:dyDescent="0.2">
      <c r="A663" s="2">
        <v>2023708</v>
      </c>
      <c r="B663" s="2">
        <v>7655</v>
      </c>
      <c r="C663" s="3" t="s">
        <v>25</v>
      </c>
      <c r="D663" s="198" t="s">
        <v>126</v>
      </c>
      <c r="E663" s="192">
        <v>80111600</v>
      </c>
      <c r="F663" s="192" t="s">
        <v>128</v>
      </c>
      <c r="G663" s="193">
        <v>45069</v>
      </c>
      <c r="H663" s="193">
        <v>45072</v>
      </c>
      <c r="I663" s="191">
        <v>5</v>
      </c>
      <c r="J663" s="191" t="s">
        <v>20</v>
      </c>
      <c r="K663" s="197" t="s">
        <v>21</v>
      </c>
      <c r="L663" s="191" t="s">
        <v>27</v>
      </c>
      <c r="M663" s="230">
        <v>21735000</v>
      </c>
      <c r="N663" s="192" t="s">
        <v>28</v>
      </c>
      <c r="O663" s="192" t="s">
        <v>29</v>
      </c>
      <c r="P663" s="192" t="s">
        <v>24</v>
      </c>
      <c r="Q663" s="155"/>
    </row>
    <row r="664" spans="1:17" s="196" customFormat="1" ht="60" x14ac:dyDescent="0.2">
      <c r="A664" s="2">
        <v>2023709</v>
      </c>
      <c r="B664" s="2">
        <v>7655</v>
      </c>
      <c r="C664" s="3" t="s">
        <v>25</v>
      </c>
      <c r="D664" s="198" t="s">
        <v>126</v>
      </c>
      <c r="E664" s="192">
        <v>80111600</v>
      </c>
      <c r="F664" s="192" t="s">
        <v>130</v>
      </c>
      <c r="G664" s="193">
        <v>45069</v>
      </c>
      <c r="H664" s="193">
        <v>45072</v>
      </c>
      <c r="I664" s="191">
        <v>5</v>
      </c>
      <c r="J664" s="191" t="s">
        <v>20</v>
      </c>
      <c r="K664" s="197" t="s">
        <v>21</v>
      </c>
      <c r="L664" s="191" t="s">
        <v>27</v>
      </c>
      <c r="M664" s="230">
        <v>19925000</v>
      </c>
      <c r="N664" s="192" t="s">
        <v>28</v>
      </c>
      <c r="O664" s="192" t="s">
        <v>29</v>
      </c>
      <c r="P664" s="192" t="s">
        <v>24</v>
      </c>
      <c r="Q664" s="155"/>
    </row>
    <row r="665" spans="1:17" s="196" customFormat="1" ht="60" x14ac:dyDescent="0.2">
      <c r="A665" s="2">
        <v>2023710</v>
      </c>
      <c r="B665" s="2">
        <v>7655</v>
      </c>
      <c r="C665" s="3" t="s">
        <v>25</v>
      </c>
      <c r="D665" s="198" t="s">
        <v>126</v>
      </c>
      <c r="E665" s="192">
        <v>80111600</v>
      </c>
      <c r="F665" s="192" t="s">
        <v>139</v>
      </c>
      <c r="G665" s="193">
        <v>45069</v>
      </c>
      <c r="H665" s="193">
        <v>45072</v>
      </c>
      <c r="I665" s="191">
        <v>5</v>
      </c>
      <c r="J665" s="191" t="s">
        <v>20</v>
      </c>
      <c r="K665" s="197" t="s">
        <v>21</v>
      </c>
      <c r="L665" s="191" t="s">
        <v>27</v>
      </c>
      <c r="M665" s="230">
        <v>12375000</v>
      </c>
      <c r="N665" s="192" t="s">
        <v>28</v>
      </c>
      <c r="O665" s="192" t="s">
        <v>29</v>
      </c>
      <c r="P665" s="192" t="s">
        <v>24</v>
      </c>
      <c r="Q665" s="155"/>
    </row>
    <row r="666" spans="1:17" s="196" customFormat="1" ht="75" x14ac:dyDescent="0.2">
      <c r="A666" s="2">
        <v>2023711</v>
      </c>
      <c r="B666" s="2">
        <v>7655</v>
      </c>
      <c r="C666" s="3" t="s">
        <v>25</v>
      </c>
      <c r="D666" s="198" t="s">
        <v>126</v>
      </c>
      <c r="E666" s="192">
        <v>80111600</v>
      </c>
      <c r="F666" s="192" t="s">
        <v>129</v>
      </c>
      <c r="G666" s="193">
        <v>45069</v>
      </c>
      <c r="H666" s="193">
        <v>45072</v>
      </c>
      <c r="I666" s="191">
        <v>5</v>
      </c>
      <c r="J666" s="191" t="s">
        <v>20</v>
      </c>
      <c r="K666" s="197" t="s">
        <v>21</v>
      </c>
      <c r="L666" s="191" t="s">
        <v>27</v>
      </c>
      <c r="M666" s="230">
        <v>22950000</v>
      </c>
      <c r="N666" s="192" t="s">
        <v>28</v>
      </c>
      <c r="O666" s="192" t="s">
        <v>29</v>
      </c>
      <c r="P666" s="192" t="s">
        <v>24</v>
      </c>
      <c r="Q666" s="155"/>
    </row>
    <row r="667" spans="1:17" s="196" customFormat="1" ht="60" x14ac:dyDescent="0.2">
      <c r="A667" s="2">
        <v>2023712</v>
      </c>
      <c r="B667" s="2">
        <v>7655</v>
      </c>
      <c r="C667" s="3" t="s">
        <v>25</v>
      </c>
      <c r="D667" s="198" t="s">
        <v>126</v>
      </c>
      <c r="E667" s="192">
        <v>80111600</v>
      </c>
      <c r="F667" s="192" t="s">
        <v>498</v>
      </c>
      <c r="G667" s="193">
        <v>45069</v>
      </c>
      <c r="H667" s="193">
        <v>45072</v>
      </c>
      <c r="I667" s="191">
        <v>4</v>
      </c>
      <c r="J667" s="191" t="s">
        <v>20</v>
      </c>
      <c r="K667" s="197" t="s">
        <v>21</v>
      </c>
      <c r="L667" s="191" t="s">
        <v>27</v>
      </c>
      <c r="M667" s="230">
        <v>16000000</v>
      </c>
      <c r="N667" s="192" t="s">
        <v>28</v>
      </c>
      <c r="O667" s="192" t="s">
        <v>29</v>
      </c>
      <c r="P667" s="192" t="s">
        <v>24</v>
      </c>
      <c r="Q667" s="155"/>
    </row>
    <row r="668" spans="1:17" s="196" customFormat="1" ht="75" x14ac:dyDescent="0.2">
      <c r="A668" s="2">
        <v>2023713</v>
      </c>
      <c r="B668" s="2">
        <v>7655</v>
      </c>
      <c r="C668" s="3" t="s">
        <v>25</v>
      </c>
      <c r="D668" s="198" t="s">
        <v>126</v>
      </c>
      <c r="E668" s="192">
        <v>80111600</v>
      </c>
      <c r="F668" s="192" t="s">
        <v>582</v>
      </c>
      <c r="G668" s="193">
        <v>45179</v>
      </c>
      <c r="H668" s="193">
        <v>45180</v>
      </c>
      <c r="I668" s="191">
        <v>2</v>
      </c>
      <c r="J668" s="191" t="s">
        <v>20</v>
      </c>
      <c r="K668" s="197" t="s">
        <v>21</v>
      </c>
      <c r="L668" s="191" t="s">
        <v>27</v>
      </c>
      <c r="M668" s="230">
        <f>(4347000*2)-5000000</f>
        <v>3694000</v>
      </c>
      <c r="N668" s="192" t="s">
        <v>28</v>
      </c>
      <c r="O668" s="192" t="s">
        <v>29</v>
      </c>
      <c r="P668" s="192" t="s">
        <v>24</v>
      </c>
      <c r="Q668" s="155"/>
    </row>
    <row r="669" spans="1:17" s="196" customFormat="1" ht="75" x14ac:dyDescent="0.2">
      <c r="A669" s="2">
        <v>2023714</v>
      </c>
      <c r="B669" s="2">
        <v>7658</v>
      </c>
      <c r="C669" s="3" t="s">
        <v>458</v>
      </c>
      <c r="D669" s="198" t="s">
        <v>126</v>
      </c>
      <c r="E669" s="192">
        <v>80111600</v>
      </c>
      <c r="F669" s="192" t="s">
        <v>460</v>
      </c>
      <c r="G669" s="193">
        <v>45069</v>
      </c>
      <c r="H669" s="193">
        <v>45072</v>
      </c>
      <c r="I669" s="191">
        <v>6</v>
      </c>
      <c r="J669" s="191" t="s">
        <v>20</v>
      </c>
      <c r="K669" s="197" t="s">
        <v>21</v>
      </c>
      <c r="L669" s="191" t="s">
        <v>27</v>
      </c>
      <c r="M669" s="188">
        <v>31311500</v>
      </c>
      <c r="N669" s="192" t="s">
        <v>145</v>
      </c>
      <c r="O669" s="192" t="s">
        <v>146</v>
      </c>
      <c r="P669" s="192" t="s">
        <v>24</v>
      </c>
      <c r="Q669" s="155"/>
    </row>
    <row r="670" spans="1:17" s="196" customFormat="1" ht="75" x14ac:dyDescent="0.2">
      <c r="A670" s="2">
        <v>2023715</v>
      </c>
      <c r="B670" s="2">
        <v>7658</v>
      </c>
      <c r="C670" s="3" t="s">
        <v>143</v>
      </c>
      <c r="D670" s="198" t="s">
        <v>126</v>
      </c>
      <c r="E670" s="192">
        <v>80111600</v>
      </c>
      <c r="F670" s="192" t="s">
        <v>144</v>
      </c>
      <c r="G670" s="193">
        <v>45069</v>
      </c>
      <c r="H670" s="193">
        <v>45072</v>
      </c>
      <c r="I670" s="191">
        <v>5</v>
      </c>
      <c r="J670" s="191" t="s">
        <v>20</v>
      </c>
      <c r="K670" s="197" t="s">
        <v>21</v>
      </c>
      <c r="L670" s="191" t="s">
        <v>27</v>
      </c>
      <c r="M670" s="188">
        <v>23287500</v>
      </c>
      <c r="N670" s="192" t="s">
        <v>145</v>
      </c>
      <c r="O670" s="192" t="s">
        <v>146</v>
      </c>
      <c r="P670" s="192" t="s">
        <v>24</v>
      </c>
      <c r="Q670" s="155"/>
    </row>
    <row r="671" spans="1:17" s="196" customFormat="1" ht="75" x14ac:dyDescent="0.2">
      <c r="A671" s="2">
        <v>2023716</v>
      </c>
      <c r="B671" s="2">
        <v>7658</v>
      </c>
      <c r="C671" s="3" t="s">
        <v>143</v>
      </c>
      <c r="D671" s="198" t="s">
        <v>126</v>
      </c>
      <c r="E671" s="192">
        <v>80111600</v>
      </c>
      <c r="F671" s="192" t="s">
        <v>148</v>
      </c>
      <c r="G671" s="193">
        <v>45069</v>
      </c>
      <c r="H671" s="193">
        <v>45072</v>
      </c>
      <c r="I671" s="191">
        <v>5</v>
      </c>
      <c r="J671" s="191" t="s">
        <v>20</v>
      </c>
      <c r="K671" s="197" t="s">
        <v>21</v>
      </c>
      <c r="L671" s="191" t="s">
        <v>27</v>
      </c>
      <c r="M671" s="188">
        <v>11025000</v>
      </c>
      <c r="N671" s="192" t="s">
        <v>145</v>
      </c>
      <c r="O671" s="192" t="s">
        <v>146</v>
      </c>
      <c r="P671" s="192" t="s">
        <v>24</v>
      </c>
      <c r="Q671" s="155"/>
    </row>
    <row r="672" spans="1:17" s="196" customFormat="1" ht="75" x14ac:dyDescent="0.2">
      <c r="A672" s="2">
        <v>2023717</v>
      </c>
      <c r="B672" s="2">
        <v>7658</v>
      </c>
      <c r="C672" s="3" t="s">
        <v>143</v>
      </c>
      <c r="D672" s="198" t="s">
        <v>126</v>
      </c>
      <c r="E672" s="192">
        <v>80111600</v>
      </c>
      <c r="F672" s="192" t="s">
        <v>150</v>
      </c>
      <c r="G672" s="193">
        <v>45069</v>
      </c>
      <c r="H672" s="193">
        <v>45072</v>
      </c>
      <c r="I672" s="191">
        <v>4</v>
      </c>
      <c r="J672" s="191" t="s">
        <v>20</v>
      </c>
      <c r="K672" s="197" t="s">
        <v>21</v>
      </c>
      <c r="L672" s="191" t="s">
        <v>27</v>
      </c>
      <c r="M672" s="188">
        <v>20700000</v>
      </c>
      <c r="N672" s="192" t="s">
        <v>145</v>
      </c>
      <c r="O672" s="192" t="s">
        <v>146</v>
      </c>
      <c r="P672" s="192" t="s">
        <v>24</v>
      </c>
      <c r="Q672" s="155"/>
    </row>
    <row r="673" spans="1:17" s="196" customFormat="1" ht="75" x14ac:dyDescent="0.2">
      <c r="A673" s="2">
        <v>2023718</v>
      </c>
      <c r="B673" s="2">
        <v>7658</v>
      </c>
      <c r="C673" s="3" t="s">
        <v>143</v>
      </c>
      <c r="D673" s="198" t="s">
        <v>126</v>
      </c>
      <c r="E673" s="192">
        <v>80111600</v>
      </c>
      <c r="F673" s="192" t="s">
        <v>583</v>
      </c>
      <c r="G673" s="193">
        <v>45069</v>
      </c>
      <c r="H673" s="193">
        <v>45072</v>
      </c>
      <c r="I673" s="191">
        <v>4</v>
      </c>
      <c r="J673" s="191" t="s">
        <v>20</v>
      </c>
      <c r="K673" s="197" t="s">
        <v>21</v>
      </c>
      <c r="L673" s="191" t="s">
        <v>27</v>
      </c>
      <c r="M673" s="188">
        <v>20700000</v>
      </c>
      <c r="N673" s="192" t="s">
        <v>145</v>
      </c>
      <c r="O673" s="192" t="s">
        <v>146</v>
      </c>
      <c r="P673" s="192" t="s">
        <v>24</v>
      </c>
      <c r="Q673" s="155"/>
    </row>
    <row r="674" spans="1:17" s="196" customFormat="1" ht="75" x14ac:dyDescent="0.2">
      <c r="A674" s="2">
        <v>2023719</v>
      </c>
      <c r="B674" s="2">
        <v>7658</v>
      </c>
      <c r="C674" s="3" t="s">
        <v>143</v>
      </c>
      <c r="D674" s="198" t="s">
        <v>126</v>
      </c>
      <c r="E674" s="192">
        <v>80111600</v>
      </c>
      <c r="F674" s="192" t="s">
        <v>493</v>
      </c>
      <c r="G674" s="193">
        <v>45069</v>
      </c>
      <c r="H674" s="193">
        <v>45072</v>
      </c>
      <c r="I674" s="191">
        <v>5</v>
      </c>
      <c r="J674" s="191" t="s">
        <v>20</v>
      </c>
      <c r="K674" s="197" t="s">
        <v>21</v>
      </c>
      <c r="L674" s="191" t="s">
        <v>27</v>
      </c>
      <c r="M674" s="188">
        <v>17325000</v>
      </c>
      <c r="N674" s="192" t="s">
        <v>145</v>
      </c>
      <c r="O674" s="192" t="s">
        <v>146</v>
      </c>
      <c r="P674" s="192" t="s">
        <v>24</v>
      </c>
      <c r="Q674" s="155"/>
    </row>
    <row r="675" spans="1:17" s="196" customFormat="1" ht="75" x14ac:dyDescent="0.2">
      <c r="A675" s="2">
        <v>2023720</v>
      </c>
      <c r="B675" s="2">
        <v>7658</v>
      </c>
      <c r="C675" s="3" t="s">
        <v>143</v>
      </c>
      <c r="D675" s="198" t="s">
        <v>126</v>
      </c>
      <c r="E675" s="192">
        <v>80111600</v>
      </c>
      <c r="F675" s="192" t="s">
        <v>148</v>
      </c>
      <c r="G675" s="193">
        <v>45069</v>
      </c>
      <c r="H675" s="193">
        <v>45072</v>
      </c>
      <c r="I675" s="191">
        <v>4</v>
      </c>
      <c r="J675" s="191" t="s">
        <v>20</v>
      </c>
      <c r="K675" s="197" t="s">
        <v>21</v>
      </c>
      <c r="L675" s="191" t="s">
        <v>27</v>
      </c>
      <c r="M675" s="188">
        <v>9800000</v>
      </c>
      <c r="N675" s="192" t="s">
        <v>145</v>
      </c>
      <c r="O675" s="192" t="s">
        <v>146</v>
      </c>
      <c r="P675" s="192" t="s">
        <v>24</v>
      </c>
      <c r="Q675" s="155"/>
    </row>
    <row r="676" spans="1:17" s="196" customFormat="1" ht="75" x14ac:dyDescent="0.2">
      <c r="A676" s="2">
        <v>2023721</v>
      </c>
      <c r="B676" s="2">
        <v>7658</v>
      </c>
      <c r="C676" s="3" t="s">
        <v>143</v>
      </c>
      <c r="D676" s="198" t="s">
        <v>126</v>
      </c>
      <c r="E676" s="192">
        <v>80111600</v>
      </c>
      <c r="F676" s="192" t="s">
        <v>153</v>
      </c>
      <c r="G676" s="193">
        <v>45069</v>
      </c>
      <c r="H676" s="193">
        <v>45072</v>
      </c>
      <c r="I676" s="191">
        <v>5</v>
      </c>
      <c r="J676" s="191" t="s">
        <v>20</v>
      </c>
      <c r="K676" s="197" t="s">
        <v>21</v>
      </c>
      <c r="L676" s="191" t="s">
        <v>27</v>
      </c>
      <c r="M676" s="188">
        <v>23287500</v>
      </c>
      <c r="N676" s="192" t="s">
        <v>145</v>
      </c>
      <c r="O676" s="192" t="s">
        <v>146</v>
      </c>
      <c r="P676" s="192" t="s">
        <v>24</v>
      </c>
      <c r="Q676" s="155"/>
    </row>
    <row r="677" spans="1:17" s="196" customFormat="1" ht="75" x14ac:dyDescent="0.2">
      <c r="A677" s="2">
        <v>2023722</v>
      </c>
      <c r="B677" s="2">
        <v>7658</v>
      </c>
      <c r="C677" s="3" t="s">
        <v>143</v>
      </c>
      <c r="D677" s="198" t="s">
        <v>126</v>
      </c>
      <c r="E677" s="192">
        <v>80111600</v>
      </c>
      <c r="F677" s="192" t="s">
        <v>138</v>
      </c>
      <c r="G677" s="193">
        <v>45069</v>
      </c>
      <c r="H677" s="193">
        <v>45072</v>
      </c>
      <c r="I677" s="191">
        <v>5</v>
      </c>
      <c r="J677" s="191" t="s">
        <v>20</v>
      </c>
      <c r="K677" s="197" t="s">
        <v>21</v>
      </c>
      <c r="L677" s="191" t="s">
        <v>27</v>
      </c>
      <c r="M677" s="188">
        <v>30000000</v>
      </c>
      <c r="N677" s="192" t="s">
        <v>145</v>
      </c>
      <c r="O677" s="192" t="s">
        <v>146</v>
      </c>
      <c r="P677" s="192" t="s">
        <v>24</v>
      </c>
      <c r="Q677" s="155"/>
    </row>
    <row r="678" spans="1:17" s="196" customFormat="1" ht="60" x14ac:dyDescent="0.2">
      <c r="A678" s="2">
        <v>2023723</v>
      </c>
      <c r="B678" s="2" t="s">
        <v>17</v>
      </c>
      <c r="C678" s="3" t="s">
        <v>17</v>
      </c>
      <c r="D678" s="198" t="s">
        <v>126</v>
      </c>
      <c r="E678" s="192" t="s">
        <v>472</v>
      </c>
      <c r="F678" s="192" t="s">
        <v>473</v>
      </c>
      <c r="G678" s="193">
        <v>45069</v>
      </c>
      <c r="H678" s="193">
        <v>45072</v>
      </c>
      <c r="I678" s="191">
        <v>5</v>
      </c>
      <c r="J678" s="191" t="s">
        <v>20</v>
      </c>
      <c r="K678" s="197" t="s">
        <v>21</v>
      </c>
      <c r="L678" s="191" t="s">
        <v>23</v>
      </c>
      <c r="M678" s="188">
        <v>11025000</v>
      </c>
      <c r="N678" s="192" t="s">
        <v>23</v>
      </c>
      <c r="O678" s="192" t="s">
        <v>23</v>
      </c>
      <c r="P678" s="192" t="s">
        <v>24</v>
      </c>
      <c r="Q678" s="155"/>
    </row>
    <row r="679" spans="1:17" s="196" customFormat="1" ht="60" x14ac:dyDescent="0.2">
      <c r="A679" s="2">
        <v>2023724</v>
      </c>
      <c r="B679" s="2" t="s">
        <v>17</v>
      </c>
      <c r="C679" s="3" t="s">
        <v>17</v>
      </c>
      <c r="D679" s="198" t="s">
        <v>126</v>
      </c>
      <c r="E679" s="192">
        <v>80111600</v>
      </c>
      <c r="F679" s="192" t="s">
        <v>724</v>
      </c>
      <c r="G679" s="193">
        <v>45134</v>
      </c>
      <c r="H679" s="193">
        <v>45139</v>
      </c>
      <c r="I679" s="191">
        <v>3</v>
      </c>
      <c r="J679" s="191" t="s">
        <v>20</v>
      </c>
      <c r="K679" s="197" t="s">
        <v>21</v>
      </c>
      <c r="L679" s="191" t="s">
        <v>23</v>
      </c>
      <c r="M679" s="188">
        <v>11000000</v>
      </c>
      <c r="N679" s="192" t="s">
        <v>23</v>
      </c>
      <c r="O679" s="192" t="s">
        <v>23</v>
      </c>
      <c r="P679" s="192" t="s">
        <v>24</v>
      </c>
      <c r="Q679" s="155"/>
    </row>
    <row r="680" spans="1:17" s="196" customFormat="1" ht="60" x14ac:dyDescent="0.2">
      <c r="A680" s="2">
        <v>2023725</v>
      </c>
      <c r="B680" s="2" t="s">
        <v>17</v>
      </c>
      <c r="C680" s="3" t="s">
        <v>17</v>
      </c>
      <c r="D680" s="198" t="s">
        <v>126</v>
      </c>
      <c r="E680" s="192">
        <v>80111600</v>
      </c>
      <c r="F680" s="192" t="s">
        <v>130</v>
      </c>
      <c r="G680" s="193">
        <v>45069</v>
      </c>
      <c r="H680" s="193">
        <v>45072</v>
      </c>
      <c r="I680" s="191">
        <v>5</v>
      </c>
      <c r="J680" s="191" t="s">
        <v>20</v>
      </c>
      <c r="K680" s="197" t="s">
        <v>21</v>
      </c>
      <c r="L680" s="191" t="s">
        <v>23</v>
      </c>
      <c r="M680" s="188">
        <v>17100000</v>
      </c>
      <c r="N680" s="192" t="s">
        <v>23</v>
      </c>
      <c r="O680" s="192" t="s">
        <v>23</v>
      </c>
      <c r="P680" s="192" t="s">
        <v>24</v>
      </c>
      <c r="Q680" s="155"/>
    </row>
    <row r="681" spans="1:17" s="196" customFormat="1" ht="90" x14ac:dyDescent="0.2">
      <c r="A681" s="2">
        <v>2023726</v>
      </c>
      <c r="B681" s="2" t="s">
        <v>17</v>
      </c>
      <c r="C681" s="3" t="s">
        <v>17</v>
      </c>
      <c r="D681" s="198" t="s">
        <v>126</v>
      </c>
      <c r="E681" s="192">
        <v>80111600</v>
      </c>
      <c r="F681" s="192" t="s">
        <v>584</v>
      </c>
      <c r="G681" s="193">
        <v>45069</v>
      </c>
      <c r="H681" s="193">
        <v>45072</v>
      </c>
      <c r="I681" s="191">
        <v>5</v>
      </c>
      <c r="J681" s="191" t="s">
        <v>20</v>
      </c>
      <c r="K681" s="197" t="s">
        <v>21</v>
      </c>
      <c r="L681" s="191" t="s">
        <v>23</v>
      </c>
      <c r="M681" s="188">
        <v>13972500</v>
      </c>
      <c r="N681" s="192" t="s">
        <v>23</v>
      </c>
      <c r="O681" s="192" t="s">
        <v>23</v>
      </c>
      <c r="P681" s="192" t="s">
        <v>24</v>
      </c>
      <c r="Q681" s="155"/>
    </row>
    <row r="682" spans="1:17" s="196" customFormat="1" ht="45" x14ac:dyDescent="0.2">
      <c r="A682" s="2">
        <v>2023727</v>
      </c>
      <c r="B682" s="2" t="s">
        <v>17</v>
      </c>
      <c r="C682" s="3" t="s">
        <v>17</v>
      </c>
      <c r="D682" s="198" t="s">
        <v>126</v>
      </c>
      <c r="E682" s="192">
        <v>80111600</v>
      </c>
      <c r="F682" s="192" t="s">
        <v>442</v>
      </c>
      <c r="G682" s="193">
        <v>45069</v>
      </c>
      <c r="H682" s="193">
        <v>45072</v>
      </c>
      <c r="I682" s="191">
        <v>5</v>
      </c>
      <c r="J682" s="191" t="s">
        <v>20</v>
      </c>
      <c r="K682" s="197" t="s">
        <v>21</v>
      </c>
      <c r="L682" s="191" t="s">
        <v>23</v>
      </c>
      <c r="M682" s="188">
        <v>14000000</v>
      </c>
      <c r="N682" s="192" t="s">
        <v>23</v>
      </c>
      <c r="O682" s="192" t="s">
        <v>23</v>
      </c>
      <c r="P682" s="192" t="s">
        <v>24</v>
      </c>
      <c r="Q682" s="155"/>
    </row>
    <row r="683" spans="1:17" s="196" customFormat="1" ht="45" x14ac:dyDescent="0.2">
      <c r="A683" s="2">
        <v>2023728</v>
      </c>
      <c r="B683" s="2" t="s">
        <v>17</v>
      </c>
      <c r="C683" s="3" t="s">
        <v>17</v>
      </c>
      <c r="D683" s="198" t="s">
        <v>126</v>
      </c>
      <c r="E683" s="192">
        <v>80111600</v>
      </c>
      <c r="F683" s="192" t="s">
        <v>442</v>
      </c>
      <c r="G683" s="193">
        <v>45069</v>
      </c>
      <c r="H683" s="193">
        <v>45072</v>
      </c>
      <c r="I683" s="191">
        <v>4</v>
      </c>
      <c r="J683" s="191" t="s">
        <v>20</v>
      </c>
      <c r="K683" s="197" t="s">
        <v>21</v>
      </c>
      <c r="L683" s="191" t="s">
        <v>23</v>
      </c>
      <c r="M683" s="188">
        <v>9800000</v>
      </c>
      <c r="N683" s="192" t="s">
        <v>23</v>
      </c>
      <c r="O683" s="192" t="s">
        <v>23</v>
      </c>
      <c r="P683" s="192" t="s">
        <v>24</v>
      </c>
      <c r="Q683" s="155"/>
    </row>
    <row r="684" spans="1:17" s="196" customFormat="1" ht="45" x14ac:dyDescent="0.2">
      <c r="A684" s="2">
        <v>2023729</v>
      </c>
      <c r="B684" s="2" t="s">
        <v>17</v>
      </c>
      <c r="C684" s="3" t="s">
        <v>17</v>
      </c>
      <c r="D684" s="198" t="s">
        <v>126</v>
      </c>
      <c r="E684" s="192">
        <v>80111600</v>
      </c>
      <c r="F684" s="192" t="s">
        <v>494</v>
      </c>
      <c r="G684" s="193">
        <v>45069</v>
      </c>
      <c r="H684" s="193">
        <v>45072</v>
      </c>
      <c r="I684" s="191">
        <v>4</v>
      </c>
      <c r="J684" s="191" t="s">
        <v>20</v>
      </c>
      <c r="K684" s="197" t="s">
        <v>21</v>
      </c>
      <c r="L684" s="191" t="s">
        <v>23</v>
      </c>
      <c r="M684" s="188">
        <f>14000000+1200000</f>
        <v>15200000</v>
      </c>
      <c r="N684" s="192" t="s">
        <v>23</v>
      </c>
      <c r="O684" s="192" t="s">
        <v>23</v>
      </c>
      <c r="P684" s="192" t="s">
        <v>24</v>
      </c>
      <c r="Q684" s="155"/>
    </row>
    <row r="685" spans="1:17" s="196" customFormat="1" ht="75" x14ac:dyDescent="0.2">
      <c r="A685" s="2">
        <v>2023730</v>
      </c>
      <c r="B685" s="2">
        <v>7655</v>
      </c>
      <c r="C685" s="3" t="s">
        <v>25</v>
      </c>
      <c r="D685" s="198" t="s">
        <v>320</v>
      </c>
      <c r="E685" s="192">
        <v>80111600</v>
      </c>
      <c r="F685" s="192" t="s">
        <v>585</v>
      </c>
      <c r="G685" s="193">
        <v>45071</v>
      </c>
      <c r="H685" s="193">
        <v>45078</v>
      </c>
      <c r="I685" s="191">
        <v>7</v>
      </c>
      <c r="J685" s="191" t="s">
        <v>20</v>
      </c>
      <c r="K685" s="197" t="s">
        <v>21</v>
      </c>
      <c r="L685" s="191" t="s">
        <v>27</v>
      </c>
      <c r="M685" s="230">
        <v>5146960</v>
      </c>
      <c r="N685" s="192" t="s">
        <v>28</v>
      </c>
      <c r="O685" s="192" t="s">
        <v>29</v>
      </c>
      <c r="P685" s="192" t="s">
        <v>365</v>
      </c>
      <c r="Q685" s="155"/>
    </row>
    <row r="686" spans="1:17" s="196" customFormat="1" ht="75" x14ac:dyDescent="0.2">
      <c r="A686" s="2">
        <v>2023731</v>
      </c>
      <c r="B686" s="2">
        <v>7658</v>
      </c>
      <c r="C686" s="3" t="s">
        <v>143</v>
      </c>
      <c r="D686" s="198" t="s">
        <v>320</v>
      </c>
      <c r="E686" s="192" t="s">
        <v>586</v>
      </c>
      <c r="F686" s="192" t="s">
        <v>587</v>
      </c>
      <c r="G686" s="193">
        <v>45075</v>
      </c>
      <c r="H686" s="193">
        <v>45078</v>
      </c>
      <c r="I686" s="191" t="s">
        <v>386</v>
      </c>
      <c r="J686" s="191" t="s">
        <v>358</v>
      </c>
      <c r="K686" s="197" t="s">
        <v>21</v>
      </c>
      <c r="L686" s="191" t="s">
        <v>684</v>
      </c>
      <c r="M686" s="188">
        <v>58882570</v>
      </c>
      <c r="N686" s="192" t="s">
        <v>382</v>
      </c>
      <c r="O686" s="192" t="s">
        <v>383</v>
      </c>
      <c r="P686" s="192" t="s">
        <v>365</v>
      </c>
      <c r="Q686" s="155"/>
    </row>
    <row r="687" spans="1:17" s="196" customFormat="1" ht="105" x14ac:dyDescent="0.2">
      <c r="A687" s="2">
        <v>2023732</v>
      </c>
      <c r="B687" s="2">
        <v>7658</v>
      </c>
      <c r="C687" s="3" t="s">
        <v>143</v>
      </c>
      <c r="D687" s="198" t="s">
        <v>320</v>
      </c>
      <c r="E687" s="192" t="s">
        <v>357</v>
      </c>
      <c r="F687" s="192" t="s">
        <v>588</v>
      </c>
      <c r="G687" s="193">
        <v>45075</v>
      </c>
      <c r="H687" s="193">
        <v>45078</v>
      </c>
      <c r="I687" s="191">
        <v>2</v>
      </c>
      <c r="J687" s="191" t="s">
        <v>358</v>
      </c>
      <c r="K687" s="197" t="s">
        <v>21</v>
      </c>
      <c r="L687" s="191" t="s">
        <v>684</v>
      </c>
      <c r="M687" s="188">
        <v>18021210</v>
      </c>
      <c r="N687" s="192" t="s">
        <v>382</v>
      </c>
      <c r="O687" s="192" t="s">
        <v>383</v>
      </c>
      <c r="P687" s="192" t="s">
        <v>365</v>
      </c>
      <c r="Q687" s="155"/>
    </row>
    <row r="688" spans="1:17" s="196" customFormat="1" ht="60" x14ac:dyDescent="0.2">
      <c r="A688" s="2">
        <v>2023734</v>
      </c>
      <c r="B688" s="2">
        <v>7655</v>
      </c>
      <c r="C688" s="3" t="s">
        <v>25</v>
      </c>
      <c r="D688" s="198" t="s">
        <v>126</v>
      </c>
      <c r="E688" s="192">
        <v>80111600</v>
      </c>
      <c r="F688" s="192" t="s">
        <v>589</v>
      </c>
      <c r="G688" s="193">
        <v>45078</v>
      </c>
      <c r="H688" s="193">
        <v>45081</v>
      </c>
      <c r="I688" s="191">
        <v>5</v>
      </c>
      <c r="J688" s="191" t="s">
        <v>20</v>
      </c>
      <c r="K688" s="197" t="s">
        <v>21</v>
      </c>
      <c r="L688" s="191" t="s">
        <v>27</v>
      </c>
      <c r="M688" s="230">
        <f>4500000*5</f>
        <v>22500000</v>
      </c>
      <c r="N688" s="192" t="s">
        <v>28</v>
      </c>
      <c r="O688" s="192" t="s">
        <v>29</v>
      </c>
      <c r="P688" s="192" t="s">
        <v>24</v>
      </c>
      <c r="Q688" s="155"/>
    </row>
    <row r="689" spans="1:17" s="196" customFormat="1" ht="90" x14ac:dyDescent="0.2">
      <c r="A689" s="2">
        <v>2023735</v>
      </c>
      <c r="B689" s="2">
        <v>7658</v>
      </c>
      <c r="C689" s="3" t="s">
        <v>143</v>
      </c>
      <c r="D689" s="198" t="s">
        <v>45</v>
      </c>
      <c r="E689" s="192">
        <v>80111600</v>
      </c>
      <c r="F689" s="192" t="s">
        <v>590</v>
      </c>
      <c r="G689" s="193">
        <v>45078</v>
      </c>
      <c r="H689" s="193">
        <v>45092</v>
      </c>
      <c r="I689" s="191">
        <v>7</v>
      </c>
      <c r="J689" s="191" t="s">
        <v>20</v>
      </c>
      <c r="K689" s="197" t="s">
        <v>21</v>
      </c>
      <c r="L689" s="191" t="s">
        <v>27</v>
      </c>
      <c r="M689" s="188">
        <f>4800000*7</f>
        <v>33600000</v>
      </c>
      <c r="N689" s="192" t="s">
        <v>167</v>
      </c>
      <c r="O689" s="192" t="s">
        <v>164</v>
      </c>
      <c r="P689" s="192" t="s">
        <v>24</v>
      </c>
      <c r="Q689" s="155"/>
    </row>
    <row r="690" spans="1:17" s="196" customFormat="1" ht="60" x14ac:dyDescent="0.2">
      <c r="A690" s="2">
        <v>2023736</v>
      </c>
      <c r="B690" s="2">
        <v>7658</v>
      </c>
      <c r="C690" s="3" t="s">
        <v>591</v>
      </c>
      <c r="D690" s="198" t="s">
        <v>320</v>
      </c>
      <c r="E690" s="192" t="s">
        <v>592</v>
      </c>
      <c r="F690" s="192" t="s">
        <v>593</v>
      </c>
      <c r="G690" s="193">
        <v>45076</v>
      </c>
      <c r="H690" s="193">
        <v>45078</v>
      </c>
      <c r="I690" s="191">
        <v>3</v>
      </c>
      <c r="J690" s="191" t="s">
        <v>160</v>
      </c>
      <c r="K690" s="197" t="s">
        <v>161</v>
      </c>
      <c r="L690" s="191" t="s">
        <v>684</v>
      </c>
      <c r="M690" s="188">
        <v>778415902</v>
      </c>
      <c r="N690" s="192" t="s">
        <v>382</v>
      </c>
      <c r="O690" s="192" t="s">
        <v>383</v>
      </c>
      <c r="P690" s="192" t="s">
        <v>365</v>
      </c>
      <c r="Q690" s="155"/>
    </row>
    <row r="691" spans="1:17" s="196" customFormat="1" ht="60" x14ac:dyDescent="0.2">
      <c r="A691" s="2">
        <v>2023737</v>
      </c>
      <c r="B691" s="2">
        <v>7658</v>
      </c>
      <c r="C691" s="3" t="s">
        <v>591</v>
      </c>
      <c r="D691" s="198" t="s">
        <v>320</v>
      </c>
      <c r="E691" s="192" t="s">
        <v>344</v>
      </c>
      <c r="F691" s="192" t="s">
        <v>594</v>
      </c>
      <c r="G691" s="193">
        <v>45076</v>
      </c>
      <c r="H691" s="193">
        <v>45078</v>
      </c>
      <c r="I691" s="191">
        <v>3</v>
      </c>
      <c r="J691" s="191" t="s">
        <v>160</v>
      </c>
      <c r="K691" s="197" t="s">
        <v>21</v>
      </c>
      <c r="L691" s="191" t="s">
        <v>684</v>
      </c>
      <c r="M691" s="188">
        <v>321584098</v>
      </c>
      <c r="N691" s="192" t="s">
        <v>382</v>
      </c>
      <c r="O691" s="192" t="s">
        <v>383</v>
      </c>
      <c r="P691" s="192" t="s">
        <v>365</v>
      </c>
      <c r="Q691" s="155"/>
    </row>
    <row r="692" spans="1:17" s="196" customFormat="1" ht="90" x14ac:dyDescent="0.2">
      <c r="A692" s="2">
        <v>2023738</v>
      </c>
      <c r="B692" s="2">
        <v>7658</v>
      </c>
      <c r="C692" s="3" t="s">
        <v>591</v>
      </c>
      <c r="D692" s="198" t="s">
        <v>320</v>
      </c>
      <c r="E692" s="192" t="s">
        <v>357</v>
      </c>
      <c r="F692" s="192" t="s">
        <v>681</v>
      </c>
      <c r="G692" s="193">
        <v>45076</v>
      </c>
      <c r="H692" s="193">
        <v>45078</v>
      </c>
      <c r="I692" s="191">
        <v>3</v>
      </c>
      <c r="J692" s="191" t="s">
        <v>358</v>
      </c>
      <c r="K692" s="197" t="s">
        <v>21</v>
      </c>
      <c r="L692" s="191" t="s">
        <v>684</v>
      </c>
      <c r="M692" s="188">
        <f>66626214+66626214</f>
        <v>133252428</v>
      </c>
      <c r="N692" s="192" t="s">
        <v>382</v>
      </c>
      <c r="O692" s="192" t="s">
        <v>383</v>
      </c>
      <c r="P692" s="192" t="s">
        <v>365</v>
      </c>
      <c r="Q692" s="155"/>
    </row>
    <row r="693" spans="1:17" s="196" customFormat="1" ht="75" x14ac:dyDescent="0.2">
      <c r="A693" s="2">
        <v>2023739</v>
      </c>
      <c r="B693" s="2">
        <v>7637</v>
      </c>
      <c r="C693" s="3" t="s">
        <v>74</v>
      </c>
      <c r="D693" s="198" t="s">
        <v>18</v>
      </c>
      <c r="E693" s="192" t="s">
        <v>595</v>
      </c>
      <c r="F693" s="192" t="s">
        <v>596</v>
      </c>
      <c r="G693" s="193">
        <v>45078</v>
      </c>
      <c r="H693" s="193">
        <v>45107</v>
      </c>
      <c r="I693" s="191">
        <v>1</v>
      </c>
      <c r="J693" s="191" t="s">
        <v>119</v>
      </c>
      <c r="K693" s="197" t="s">
        <v>387</v>
      </c>
      <c r="L693" s="191" t="s">
        <v>103</v>
      </c>
      <c r="M693" s="188">
        <v>4908114</v>
      </c>
      <c r="N693" s="192" t="s">
        <v>76</v>
      </c>
      <c r="O693" s="192" t="s">
        <v>77</v>
      </c>
      <c r="P693" s="192" t="s">
        <v>365</v>
      </c>
      <c r="Q693" s="155"/>
    </row>
    <row r="694" spans="1:17" s="196" customFormat="1" ht="150" x14ac:dyDescent="0.2">
      <c r="A694" s="4">
        <v>2023740</v>
      </c>
      <c r="B694" s="2" t="s">
        <v>17</v>
      </c>
      <c r="C694" s="3" t="s">
        <v>17</v>
      </c>
      <c r="D694" s="198" t="s">
        <v>126</v>
      </c>
      <c r="E694" s="192">
        <v>84131600</v>
      </c>
      <c r="F694" s="192" t="s">
        <v>706</v>
      </c>
      <c r="G694" s="193">
        <v>45137</v>
      </c>
      <c r="H694" s="193">
        <v>45137</v>
      </c>
      <c r="I694" s="191">
        <v>24</v>
      </c>
      <c r="J694" s="191" t="s">
        <v>358</v>
      </c>
      <c r="K694" s="197" t="s">
        <v>21</v>
      </c>
      <c r="L694" s="191" t="s">
        <v>23</v>
      </c>
      <c r="M694" s="188">
        <v>0</v>
      </c>
      <c r="N694" s="192" t="s">
        <v>23</v>
      </c>
      <c r="O694" s="192" t="s">
        <v>23</v>
      </c>
      <c r="P694" s="192" t="s">
        <v>365</v>
      </c>
    </row>
    <row r="695" spans="1:17" s="196" customFormat="1" ht="75" x14ac:dyDescent="0.2">
      <c r="A695" s="4">
        <v>2023741</v>
      </c>
      <c r="B695" s="2">
        <v>7637</v>
      </c>
      <c r="C695" s="3" t="s">
        <v>74</v>
      </c>
      <c r="D695" s="191" t="s">
        <v>18</v>
      </c>
      <c r="E695" s="192" t="s">
        <v>730</v>
      </c>
      <c r="F695" s="191" t="s">
        <v>722</v>
      </c>
      <c r="G695" s="193">
        <v>45209</v>
      </c>
      <c r="H695" s="193">
        <v>45254</v>
      </c>
      <c r="I695" s="191">
        <v>9</v>
      </c>
      <c r="J695" s="191" t="s">
        <v>102</v>
      </c>
      <c r="K695" s="197" t="s">
        <v>21</v>
      </c>
      <c r="L695" s="191" t="s">
        <v>98</v>
      </c>
      <c r="M695" s="188">
        <f>30000000+70000000</f>
        <v>100000000</v>
      </c>
      <c r="N695" s="192" t="s">
        <v>76</v>
      </c>
      <c r="O695" s="192" t="s">
        <v>77</v>
      </c>
      <c r="P695" s="192" t="s">
        <v>24</v>
      </c>
    </row>
    <row r="696" spans="1:17" s="196" customFormat="1" ht="60" x14ac:dyDescent="0.2">
      <c r="A696" s="4">
        <v>2023742</v>
      </c>
      <c r="B696" s="2" t="s">
        <v>17</v>
      </c>
      <c r="C696" s="3" t="s">
        <v>17</v>
      </c>
      <c r="D696" s="191" t="s">
        <v>18</v>
      </c>
      <c r="E696" s="192">
        <v>80111600</v>
      </c>
      <c r="F696" s="191" t="s">
        <v>33</v>
      </c>
      <c r="G696" s="193">
        <v>45078</v>
      </c>
      <c r="H696" s="193">
        <v>45092</v>
      </c>
      <c r="I696" s="191">
        <v>5</v>
      </c>
      <c r="J696" s="191" t="s">
        <v>20</v>
      </c>
      <c r="K696" s="197" t="s">
        <v>21</v>
      </c>
      <c r="L696" s="191" t="s">
        <v>34</v>
      </c>
      <c r="M696" s="188">
        <f>18900000+6100000</f>
        <v>25000000</v>
      </c>
      <c r="N696" s="198" t="s">
        <v>23</v>
      </c>
      <c r="O696" s="198" t="s">
        <v>23</v>
      </c>
      <c r="P696" s="192" t="s">
        <v>24</v>
      </c>
    </row>
    <row r="697" spans="1:17" s="196" customFormat="1" ht="90" x14ac:dyDescent="0.2">
      <c r="A697" s="4">
        <v>2023743</v>
      </c>
      <c r="B697" s="2">
        <v>7658</v>
      </c>
      <c r="C697" s="3" t="s">
        <v>143</v>
      </c>
      <c r="D697" s="191" t="s">
        <v>222</v>
      </c>
      <c r="E697" s="192">
        <v>80111600</v>
      </c>
      <c r="F697" s="191" t="s">
        <v>597</v>
      </c>
      <c r="G697" s="193">
        <v>45062</v>
      </c>
      <c r="H697" s="193">
        <v>45076</v>
      </c>
      <c r="I697" s="191">
        <v>5</v>
      </c>
      <c r="J697" s="191" t="s">
        <v>20</v>
      </c>
      <c r="K697" s="197" t="s">
        <v>21</v>
      </c>
      <c r="L697" s="191" t="s">
        <v>27</v>
      </c>
      <c r="M697" s="188">
        <f>14000000-4200000</f>
        <v>9800000</v>
      </c>
      <c r="N697" s="198" t="s">
        <v>225</v>
      </c>
      <c r="O697" s="198" t="s">
        <v>164</v>
      </c>
      <c r="P697" s="192" t="s">
        <v>24</v>
      </c>
    </row>
    <row r="698" spans="1:17" s="196" customFormat="1" ht="60" x14ac:dyDescent="0.2">
      <c r="A698" s="4">
        <v>2023744</v>
      </c>
      <c r="B698" s="2">
        <v>7655</v>
      </c>
      <c r="C698" s="3" t="s">
        <v>25</v>
      </c>
      <c r="D698" s="191" t="s">
        <v>282</v>
      </c>
      <c r="E698" s="192">
        <v>80111600</v>
      </c>
      <c r="F698" s="191" t="s">
        <v>305</v>
      </c>
      <c r="G698" s="193">
        <v>45078</v>
      </c>
      <c r="H698" s="193">
        <v>45087</v>
      </c>
      <c r="I698" s="191">
        <v>5</v>
      </c>
      <c r="J698" s="191" t="s">
        <v>20</v>
      </c>
      <c r="K698" s="197" t="s">
        <v>21</v>
      </c>
      <c r="L698" s="191" t="s">
        <v>27</v>
      </c>
      <c r="M698" s="230">
        <f>13750000-13750000</f>
        <v>0</v>
      </c>
      <c r="N698" s="192" t="s">
        <v>28</v>
      </c>
      <c r="O698" s="192" t="s">
        <v>29</v>
      </c>
      <c r="P698" s="192" t="s">
        <v>24</v>
      </c>
    </row>
    <row r="699" spans="1:17" s="196" customFormat="1" ht="75" x14ac:dyDescent="0.2">
      <c r="A699" s="4">
        <v>2023745</v>
      </c>
      <c r="B699" s="2">
        <v>7658</v>
      </c>
      <c r="C699" s="3" t="s">
        <v>143</v>
      </c>
      <c r="D699" s="191" t="s">
        <v>126</v>
      </c>
      <c r="E699" s="192">
        <v>80111600</v>
      </c>
      <c r="F699" s="191" t="s">
        <v>682</v>
      </c>
      <c r="G699" s="193">
        <v>45092</v>
      </c>
      <c r="H699" s="193">
        <v>45095</v>
      </c>
      <c r="I699" s="191">
        <v>4</v>
      </c>
      <c r="J699" s="191" t="s">
        <v>20</v>
      </c>
      <c r="K699" s="197" t="s">
        <v>21</v>
      </c>
      <c r="L699" s="191" t="s">
        <v>27</v>
      </c>
      <c r="M699" s="188">
        <f>20000000-20000000</f>
        <v>0</v>
      </c>
      <c r="N699" s="192" t="s">
        <v>145</v>
      </c>
      <c r="O699" s="192" t="s">
        <v>146</v>
      </c>
      <c r="P699" s="192" t="s">
        <v>24</v>
      </c>
    </row>
    <row r="700" spans="1:17" s="196" customFormat="1" ht="105" x14ac:dyDescent="0.2">
      <c r="A700" s="4">
        <v>2023746</v>
      </c>
      <c r="B700" s="2">
        <v>7655</v>
      </c>
      <c r="C700" s="3" t="s">
        <v>25</v>
      </c>
      <c r="D700" s="191" t="s">
        <v>196</v>
      </c>
      <c r="E700" s="192">
        <v>80111600</v>
      </c>
      <c r="F700" s="191" t="s">
        <v>683</v>
      </c>
      <c r="G700" s="193">
        <v>45153</v>
      </c>
      <c r="H700" s="193">
        <v>45169</v>
      </c>
      <c r="I700" s="191">
        <v>2</v>
      </c>
      <c r="J700" s="191" t="s">
        <v>20</v>
      </c>
      <c r="K700" s="197" t="s">
        <v>21</v>
      </c>
      <c r="L700" s="191" t="s">
        <v>27</v>
      </c>
      <c r="M700" s="230">
        <f>15125000+3515000</f>
        <v>18640000</v>
      </c>
      <c r="N700" s="192" t="s">
        <v>28</v>
      </c>
      <c r="O700" s="192" t="s">
        <v>29</v>
      </c>
      <c r="P700" s="192" t="s">
        <v>365</v>
      </c>
    </row>
    <row r="701" spans="1:17" s="196" customFormat="1" ht="60" x14ac:dyDescent="0.2">
      <c r="A701" s="4">
        <v>2023747</v>
      </c>
      <c r="B701" s="2" t="s">
        <v>17</v>
      </c>
      <c r="C701" s="3" t="s">
        <v>17</v>
      </c>
      <c r="D701" s="191" t="s">
        <v>48</v>
      </c>
      <c r="E701" s="192">
        <v>80111600</v>
      </c>
      <c r="F701" s="191" t="s">
        <v>708</v>
      </c>
      <c r="G701" s="193">
        <v>45122</v>
      </c>
      <c r="H701" s="193">
        <v>45122</v>
      </c>
      <c r="I701" s="191">
        <v>1</v>
      </c>
      <c r="J701" s="191" t="s">
        <v>20</v>
      </c>
      <c r="K701" s="197" t="s">
        <v>21</v>
      </c>
      <c r="L701" s="191" t="s">
        <v>23</v>
      </c>
      <c r="M701" s="188">
        <v>6000000</v>
      </c>
      <c r="N701" s="192" t="s">
        <v>23</v>
      </c>
      <c r="O701" s="192" t="s">
        <v>23</v>
      </c>
      <c r="P701" s="192" t="s">
        <v>365</v>
      </c>
    </row>
    <row r="702" spans="1:17" s="196" customFormat="1" ht="60" x14ac:dyDescent="0.2">
      <c r="A702" s="4">
        <v>2023748</v>
      </c>
      <c r="B702" s="2">
        <v>7655</v>
      </c>
      <c r="C702" s="3" t="s">
        <v>25</v>
      </c>
      <c r="D702" s="191" t="s">
        <v>48</v>
      </c>
      <c r="E702" s="192">
        <v>80111600</v>
      </c>
      <c r="F702" s="191" t="s">
        <v>62</v>
      </c>
      <c r="G702" s="193">
        <v>45122</v>
      </c>
      <c r="H702" s="193">
        <v>45122</v>
      </c>
      <c r="I702" s="191">
        <v>1.5</v>
      </c>
      <c r="J702" s="191" t="s">
        <v>20</v>
      </c>
      <c r="K702" s="197" t="s">
        <v>21</v>
      </c>
      <c r="L702" s="191" t="s">
        <v>51</v>
      </c>
      <c r="M702" s="230">
        <v>16065000</v>
      </c>
      <c r="N702" s="192" t="s">
        <v>28</v>
      </c>
      <c r="O702" s="192" t="s">
        <v>29</v>
      </c>
      <c r="P702" s="192" t="s">
        <v>365</v>
      </c>
    </row>
    <row r="703" spans="1:17" s="196" customFormat="1" ht="180" x14ac:dyDescent="0.2">
      <c r="A703" s="161">
        <v>2023749</v>
      </c>
      <c r="B703" s="2" t="s">
        <v>17</v>
      </c>
      <c r="C703" s="3" t="s">
        <v>17</v>
      </c>
      <c r="D703" s="191" t="s">
        <v>320</v>
      </c>
      <c r="E703" s="192" t="s">
        <v>407</v>
      </c>
      <c r="F703" s="191" t="s">
        <v>685</v>
      </c>
      <c r="G703" s="193">
        <v>44948</v>
      </c>
      <c r="H703" s="193">
        <v>44951</v>
      </c>
      <c r="I703" s="191" t="s">
        <v>386</v>
      </c>
      <c r="J703" s="191" t="s">
        <v>67</v>
      </c>
      <c r="K703" s="197" t="s">
        <v>21</v>
      </c>
      <c r="L703" s="191" t="s">
        <v>23</v>
      </c>
      <c r="M703" s="188">
        <v>48000000</v>
      </c>
      <c r="N703" s="192" t="s">
        <v>23</v>
      </c>
      <c r="O703" s="192" t="s">
        <v>23</v>
      </c>
      <c r="P703" s="203" t="s">
        <v>365</v>
      </c>
    </row>
    <row r="704" spans="1:17" s="196" customFormat="1" ht="90" x14ac:dyDescent="0.2">
      <c r="A704" s="161">
        <v>2023751</v>
      </c>
      <c r="B704" s="2">
        <v>7658</v>
      </c>
      <c r="C704" s="3" t="s">
        <v>143</v>
      </c>
      <c r="D704" s="191" t="s">
        <v>222</v>
      </c>
      <c r="E704" s="198">
        <v>80111600</v>
      </c>
      <c r="F704" s="191" t="s">
        <v>687</v>
      </c>
      <c r="G704" s="193">
        <v>45097</v>
      </c>
      <c r="H704" s="193">
        <v>45099</v>
      </c>
      <c r="I704" s="191">
        <v>4</v>
      </c>
      <c r="J704" s="191" t="s">
        <v>20</v>
      </c>
      <c r="K704" s="197" t="s">
        <v>21</v>
      </c>
      <c r="L704" s="191" t="s">
        <v>51</v>
      </c>
      <c r="M704" s="188">
        <v>12000000</v>
      </c>
      <c r="N704" s="198" t="s">
        <v>230</v>
      </c>
      <c r="O704" s="198" t="s">
        <v>164</v>
      </c>
      <c r="P704" s="203" t="s">
        <v>24</v>
      </c>
    </row>
    <row r="705" spans="1:16" s="196" customFormat="1" ht="90" x14ac:dyDescent="0.2">
      <c r="A705" s="2">
        <v>2023752</v>
      </c>
      <c r="B705" s="2">
        <v>7658</v>
      </c>
      <c r="C705" s="3" t="s">
        <v>143</v>
      </c>
      <c r="D705" s="191" t="s">
        <v>222</v>
      </c>
      <c r="E705" s="198" t="s">
        <v>688</v>
      </c>
      <c r="F705" s="198" t="s">
        <v>689</v>
      </c>
      <c r="G705" s="193">
        <v>45139</v>
      </c>
      <c r="H705" s="193">
        <v>45139</v>
      </c>
      <c r="I705" s="191">
        <v>8</v>
      </c>
      <c r="J705" s="191" t="s">
        <v>756</v>
      </c>
      <c r="K705" s="197" t="s">
        <v>21</v>
      </c>
      <c r="L705" s="191" t="s">
        <v>162</v>
      </c>
      <c r="M705" s="188">
        <v>32480000</v>
      </c>
      <c r="N705" s="198" t="s">
        <v>225</v>
      </c>
      <c r="O705" s="198" t="s">
        <v>164</v>
      </c>
      <c r="P705" s="192" t="s">
        <v>24</v>
      </c>
    </row>
    <row r="706" spans="1:16" s="196" customFormat="1" ht="90" x14ac:dyDescent="0.2">
      <c r="A706" s="4">
        <v>2023753</v>
      </c>
      <c r="B706" s="2">
        <v>7658</v>
      </c>
      <c r="C706" s="3" t="s">
        <v>143</v>
      </c>
      <c r="D706" s="191" t="s">
        <v>222</v>
      </c>
      <c r="E706" s="198">
        <v>21102401</v>
      </c>
      <c r="F706" s="198" t="s">
        <v>690</v>
      </c>
      <c r="G706" s="193">
        <v>45139</v>
      </c>
      <c r="H706" s="193">
        <v>45139</v>
      </c>
      <c r="I706" s="191">
        <v>8</v>
      </c>
      <c r="J706" s="191" t="s">
        <v>119</v>
      </c>
      <c r="K706" s="197" t="s">
        <v>21</v>
      </c>
      <c r="L706" s="191" t="s">
        <v>162</v>
      </c>
      <c r="M706" s="188">
        <f>10000000+2000000</f>
        <v>12000000</v>
      </c>
      <c r="N706" s="198" t="s">
        <v>225</v>
      </c>
      <c r="O706" s="198" t="s">
        <v>164</v>
      </c>
      <c r="P706" s="192" t="s">
        <v>24</v>
      </c>
    </row>
    <row r="707" spans="1:16" s="196" customFormat="1" ht="90" x14ac:dyDescent="0.2">
      <c r="A707" s="161">
        <v>2023755</v>
      </c>
      <c r="B707" s="120">
        <v>7658</v>
      </c>
      <c r="C707" s="162" t="s">
        <v>143</v>
      </c>
      <c r="D707" s="201" t="s">
        <v>45</v>
      </c>
      <c r="E707" s="203">
        <v>80111600</v>
      </c>
      <c r="F707" s="203" t="s">
        <v>176</v>
      </c>
      <c r="G707" s="204">
        <v>45102</v>
      </c>
      <c r="H707" s="204">
        <v>45105</v>
      </c>
      <c r="I707" s="202">
        <v>6</v>
      </c>
      <c r="J707" s="202" t="s">
        <v>20</v>
      </c>
      <c r="K707" s="205" t="s">
        <v>21</v>
      </c>
      <c r="L707" s="202" t="s">
        <v>27</v>
      </c>
      <c r="M707" s="189">
        <f>15874000-15874000</f>
        <v>0</v>
      </c>
      <c r="N707" s="203" t="s">
        <v>167</v>
      </c>
      <c r="O707" s="203" t="s">
        <v>164</v>
      </c>
      <c r="P707" s="192" t="s">
        <v>24</v>
      </c>
    </row>
    <row r="708" spans="1:16" s="196" customFormat="1" ht="90" x14ac:dyDescent="0.2">
      <c r="A708" s="161">
        <v>2023756</v>
      </c>
      <c r="B708" s="2">
        <v>7658</v>
      </c>
      <c r="C708" s="3" t="s">
        <v>143</v>
      </c>
      <c r="D708" s="198" t="s">
        <v>45</v>
      </c>
      <c r="E708" s="192" t="s">
        <v>715</v>
      </c>
      <c r="F708" s="192" t="s">
        <v>716</v>
      </c>
      <c r="G708" s="193">
        <v>45153</v>
      </c>
      <c r="H708" s="193">
        <v>45170</v>
      </c>
      <c r="I708" s="191">
        <v>6</v>
      </c>
      <c r="J708" s="191" t="s">
        <v>102</v>
      </c>
      <c r="K708" s="197" t="s">
        <v>21</v>
      </c>
      <c r="L708" s="191" t="s">
        <v>717</v>
      </c>
      <c r="M708" s="188">
        <f>30500000+9438000+15874000</f>
        <v>55812000</v>
      </c>
      <c r="N708" s="192" t="s">
        <v>167</v>
      </c>
      <c r="O708" s="192" t="s">
        <v>164</v>
      </c>
      <c r="P708" s="203" t="s">
        <v>24</v>
      </c>
    </row>
    <row r="709" spans="1:16" s="196" customFormat="1" ht="90" x14ac:dyDescent="0.2">
      <c r="A709" s="161">
        <v>2023757</v>
      </c>
      <c r="B709" s="2">
        <v>7658</v>
      </c>
      <c r="C709" s="3" t="s">
        <v>143</v>
      </c>
      <c r="D709" s="191" t="s">
        <v>222</v>
      </c>
      <c r="E709" s="198">
        <v>80111600</v>
      </c>
      <c r="F709" s="198" t="s">
        <v>695</v>
      </c>
      <c r="G709" s="193">
        <v>45097</v>
      </c>
      <c r="H709" s="193">
        <v>45099</v>
      </c>
      <c r="I709" s="191">
        <v>5.5</v>
      </c>
      <c r="J709" s="191" t="s">
        <v>20</v>
      </c>
      <c r="K709" s="197" t="s">
        <v>21</v>
      </c>
      <c r="L709" s="191" t="s">
        <v>27</v>
      </c>
      <c r="M709" s="188">
        <f>4000000*5.5</f>
        <v>22000000</v>
      </c>
      <c r="N709" s="198" t="s">
        <v>230</v>
      </c>
      <c r="O709" s="198" t="s">
        <v>164</v>
      </c>
      <c r="P709" s="203" t="s">
        <v>24</v>
      </c>
    </row>
    <row r="710" spans="1:16" s="196" customFormat="1" ht="90" x14ac:dyDescent="0.2">
      <c r="A710" s="161">
        <v>2023758</v>
      </c>
      <c r="B710" s="2">
        <v>7658</v>
      </c>
      <c r="C710" s="3" t="s">
        <v>143</v>
      </c>
      <c r="D710" s="191" t="s">
        <v>222</v>
      </c>
      <c r="E710" s="198">
        <v>78181500</v>
      </c>
      <c r="F710" s="198" t="s">
        <v>223</v>
      </c>
      <c r="G710" s="193">
        <v>45125</v>
      </c>
      <c r="H710" s="193" t="s">
        <v>696</v>
      </c>
      <c r="I710" s="191">
        <v>12</v>
      </c>
      <c r="J710" s="191" t="s">
        <v>155</v>
      </c>
      <c r="K710" s="197" t="s">
        <v>21</v>
      </c>
      <c r="L710" s="191" t="s">
        <v>224</v>
      </c>
      <c r="M710" s="188">
        <v>550000000</v>
      </c>
      <c r="N710" s="198" t="s">
        <v>225</v>
      </c>
      <c r="O710" s="198" t="s">
        <v>164</v>
      </c>
      <c r="P710" s="203" t="s">
        <v>24</v>
      </c>
    </row>
    <row r="711" spans="1:16" s="196" customFormat="1" ht="150" x14ac:dyDescent="0.2">
      <c r="A711" s="161">
        <v>2023759</v>
      </c>
      <c r="B711" s="2">
        <v>7658</v>
      </c>
      <c r="C711" s="3" t="s">
        <v>143</v>
      </c>
      <c r="D711" s="191" t="s">
        <v>222</v>
      </c>
      <c r="E711" s="198" t="s">
        <v>242</v>
      </c>
      <c r="F711" s="191" t="s">
        <v>780</v>
      </c>
      <c r="G711" s="193">
        <v>45184</v>
      </c>
      <c r="H711" s="193">
        <v>45214</v>
      </c>
      <c r="I711" s="191">
        <v>3</v>
      </c>
      <c r="J711" s="191" t="s">
        <v>119</v>
      </c>
      <c r="K711" s="197" t="s">
        <v>21</v>
      </c>
      <c r="L711" s="191" t="s">
        <v>244</v>
      </c>
      <c r="M711" s="188">
        <v>10000000</v>
      </c>
      <c r="N711" s="198" t="s">
        <v>230</v>
      </c>
      <c r="O711" s="198" t="s">
        <v>164</v>
      </c>
      <c r="P711" s="203" t="s">
        <v>24</v>
      </c>
    </row>
    <row r="712" spans="1:16" s="196" customFormat="1" ht="90" x14ac:dyDescent="0.2">
      <c r="A712" s="161">
        <v>2023760</v>
      </c>
      <c r="B712" s="2">
        <v>7658</v>
      </c>
      <c r="C712" s="3" t="s">
        <v>143</v>
      </c>
      <c r="D712" s="191" t="s">
        <v>222</v>
      </c>
      <c r="E712" s="198" t="s">
        <v>240</v>
      </c>
      <c r="F712" s="198" t="s">
        <v>697</v>
      </c>
      <c r="G712" s="193">
        <v>45125</v>
      </c>
      <c r="H712" s="193" t="s">
        <v>698</v>
      </c>
      <c r="I712" s="191">
        <v>3</v>
      </c>
      <c r="J712" s="191" t="s">
        <v>102</v>
      </c>
      <c r="K712" s="197" t="s">
        <v>21</v>
      </c>
      <c r="L712" s="191" t="s">
        <v>241</v>
      </c>
      <c r="M712" s="188">
        <v>28000000</v>
      </c>
      <c r="N712" s="198" t="s">
        <v>230</v>
      </c>
      <c r="O712" s="198" t="s">
        <v>164</v>
      </c>
      <c r="P712" s="203" t="s">
        <v>365</v>
      </c>
    </row>
    <row r="713" spans="1:16" s="196" customFormat="1" ht="90" x14ac:dyDescent="0.2">
      <c r="A713" s="161">
        <v>2023761</v>
      </c>
      <c r="B713" s="2">
        <v>7658</v>
      </c>
      <c r="C713" s="3" t="s">
        <v>143</v>
      </c>
      <c r="D713" s="191" t="s">
        <v>222</v>
      </c>
      <c r="E713" s="198">
        <v>80111600</v>
      </c>
      <c r="F713" s="198" t="s">
        <v>699</v>
      </c>
      <c r="G713" s="193">
        <v>45124</v>
      </c>
      <c r="H713" s="193">
        <v>45127</v>
      </c>
      <c r="I713" s="191">
        <v>4</v>
      </c>
      <c r="J713" s="191" t="s">
        <v>20</v>
      </c>
      <c r="K713" s="197" t="s">
        <v>21</v>
      </c>
      <c r="L713" s="191" t="s">
        <v>27</v>
      </c>
      <c r="M713" s="188">
        <v>18800000</v>
      </c>
      <c r="N713" s="198" t="s">
        <v>230</v>
      </c>
      <c r="O713" s="198" t="s">
        <v>164</v>
      </c>
      <c r="P713" s="203" t="s">
        <v>24</v>
      </c>
    </row>
    <row r="714" spans="1:16" s="196" customFormat="1" ht="90" x14ac:dyDescent="0.2">
      <c r="A714" s="161">
        <v>2023762</v>
      </c>
      <c r="B714" s="2">
        <v>7658</v>
      </c>
      <c r="C714" s="3" t="s">
        <v>143</v>
      </c>
      <c r="D714" s="191" t="s">
        <v>222</v>
      </c>
      <c r="E714" s="198">
        <v>80111600</v>
      </c>
      <c r="F714" s="198" t="s">
        <v>757</v>
      </c>
      <c r="G714" s="193">
        <v>45168</v>
      </c>
      <c r="H714" s="193">
        <v>45170</v>
      </c>
      <c r="I714" s="191">
        <v>4</v>
      </c>
      <c r="J714" s="191" t="s">
        <v>20</v>
      </c>
      <c r="K714" s="197" t="s">
        <v>21</v>
      </c>
      <c r="L714" s="191" t="s">
        <v>27</v>
      </c>
      <c r="M714" s="188">
        <f>18800000-2800000</f>
        <v>16000000</v>
      </c>
      <c r="N714" s="198" t="s">
        <v>230</v>
      </c>
      <c r="O714" s="198" t="s">
        <v>164</v>
      </c>
      <c r="P714" s="203" t="s">
        <v>24</v>
      </c>
    </row>
    <row r="715" spans="1:16" s="196" customFormat="1" ht="30" x14ac:dyDescent="0.2">
      <c r="A715" s="161">
        <v>2023763</v>
      </c>
      <c r="B715" s="2" t="s">
        <v>17</v>
      </c>
      <c r="C715" s="3" t="s">
        <v>17</v>
      </c>
      <c r="D715" s="191" t="s">
        <v>320</v>
      </c>
      <c r="E715" s="198">
        <v>47131800</v>
      </c>
      <c r="F715" s="198" t="s">
        <v>701</v>
      </c>
      <c r="G715" s="193">
        <v>45139</v>
      </c>
      <c r="H715" s="193">
        <v>45153</v>
      </c>
      <c r="I715" s="191">
        <v>8</v>
      </c>
      <c r="J715" s="191" t="s">
        <v>119</v>
      </c>
      <c r="K715" s="197" t="s">
        <v>21</v>
      </c>
      <c r="L715" s="191" t="s">
        <v>23</v>
      </c>
      <c r="M715" s="188">
        <v>19000000</v>
      </c>
      <c r="N715" s="198" t="s">
        <v>23</v>
      </c>
      <c r="O715" s="198" t="s">
        <v>23</v>
      </c>
      <c r="P715" s="203" t="s">
        <v>24</v>
      </c>
    </row>
    <row r="716" spans="1:16" s="196" customFormat="1" ht="135" x14ac:dyDescent="0.2">
      <c r="A716" s="161">
        <v>2023764</v>
      </c>
      <c r="B716" s="2">
        <v>7658</v>
      </c>
      <c r="C716" s="3" t="s">
        <v>143</v>
      </c>
      <c r="D716" s="191" t="s">
        <v>320</v>
      </c>
      <c r="E716" s="198" t="s">
        <v>703</v>
      </c>
      <c r="F716" s="198" t="s">
        <v>702</v>
      </c>
      <c r="G716" s="193">
        <v>45122</v>
      </c>
      <c r="H716" s="193">
        <v>45135</v>
      </c>
      <c r="I716" s="191">
        <v>10</v>
      </c>
      <c r="J716" s="191" t="s">
        <v>67</v>
      </c>
      <c r="K716" s="197" t="s">
        <v>21</v>
      </c>
      <c r="L716" s="191" t="s">
        <v>162</v>
      </c>
      <c r="M716" s="188">
        <v>52500000</v>
      </c>
      <c r="N716" s="198" t="s">
        <v>341</v>
      </c>
      <c r="O716" s="198" t="s">
        <v>164</v>
      </c>
      <c r="P716" s="203" t="s">
        <v>365</v>
      </c>
    </row>
    <row r="717" spans="1:16" s="196" customFormat="1" ht="135" x14ac:dyDescent="0.2">
      <c r="A717" s="4">
        <v>2023765</v>
      </c>
      <c r="B717" s="2">
        <v>7658</v>
      </c>
      <c r="C717" s="3" t="s">
        <v>143</v>
      </c>
      <c r="D717" s="191" t="s">
        <v>126</v>
      </c>
      <c r="E717" s="198" t="s">
        <v>704</v>
      </c>
      <c r="F717" s="198" t="s">
        <v>705</v>
      </c>
      <c r="G717" s="193">
        <v>45139</v>
      </c>
      <c r="H717" s="193">
        <v>45184</v>
      </c>
      <c r="I717" s="191">
        <v>6</v>
      </c>
      <c r="J717" s="191" t="s">
        <v>102</v>
      </c>
      <c r="K717" s="197" t="s">
        <v>21</v>
      </c>
      <c r="L717" s="191" t="s">
        <v>27</v>
      </c>
      <c r="M717" s="188">
        <v>282342175</v>
      </c>
      <c r="N717" s="198" t="s">
        <v>145</v>
      </c>
      <c r="O717" s="198" t="s">
        <v>146</v>
      </c>
      <c r="P717" s="192" t="s">
        <v>24</v>
      </c>
    </row>
    <row r="718" spans="1:16" s="196" customFormat="1" ht="105" x14ac:dyDescent="0.2">
      <c r="A718" s="4">
        <v>2023766</v>
      </c>
      <c r="B718" s="2">
        <v>7658</v>
      </c>
      <c r="C718" s="3" t="s">
        <v>143</v>
      </c>
      <c r="D718" s="191" t="s">
        <v>282</v>
      </c>
      <c r="E718" s="2" t="s">
        <v>288</v>
      </c>
      <c r="F718" s="191" t="s">
        <v>709</v>
      </c>
      <c r="G718" s="193">
        <v>45022</v>
      </c>
      <c r="H718" s="193">
        <v>45078</v>
      </c>
      <c r="I718" s="191">
        <v>6</v>
      </c>
      <c r="J718" s="191" t="s">
        <v>155</v>
      </c>
      <c r="K718" s="197" t="s">
        <v>21</v>
      </c>
      <c r="L718" s="191" t="s">
        <v>27</v>
      </c>
      <c r="M718" s="188">
        <f>150000000+15000000+15000000+20000000</f>
        <v>200000000</v>
      </c>
      <c r="N718" s="198" t="s">
        <v>286</v>
      </c>
      <c r="O718" s="198" t="s">
        <v>287</v>
      </c>
      <c r="P718" s="192" t="s">
        <v>365</v>
      </c>
    </row>
    <row r="719" spans="1:16" s="196" customFormat="1" ht="60" x14ac:dyDescent="0.2">
      <c r="A719" s="4">
        <v>2023767</v>
      </c>
      <c r="B719" s="2" t="s">
        <v>17</v>
      </c>
      <c r="C719" s="3" t="s">
        <v>17</v>
      </c>
      <c r="D719" s="191" t="s">
        <v>320</v>
      </c>
      <c r="E719" s="2">
        <v>80111600</v>
      </c>
      <c r="F719" s="191" t="s">
        <v>710</v>
      </c>
      <c r="G719" s="193">
        <v>45138</v>
      </c>
      <c r="H719" s="193">
        <v>45142</v>
      </c>
      <c r="I719" s="191">
        <v>4</v>
      </c>
      <c r="J719" s="191" t="s">
        <v>20</v>
      </c>
      <c r="K719" s="197" t="s">
        <v>21</v>
      </c>
      <c r="L719" s="191" t="s">
        <v>23</v>
      </c>
      <c r="M719" s="188">
        <v>8400000</v>
      </c>
      <c r="N719" s="198" t="s">
        <v>23</v>
      </c>
      <c r="O719" s="198" t="s">
        <v>23</v>
      </c>
      <c r="P719" s="192" t="s">
        <v>365</v>
      </c>
    </row>
    <row r="720" spans="1:16" s="196" customFormat="1" ht="60" x14ac:dyDescent="0.2">
      <c r="A720" s="4">
        <v>2023768</v>
      </c>
      <c r="B720" s="2" t="s">
        <v>17</v>
      </c>
      <c r="C720" s="3" t="s">
        <v>17</v>
      </c>
      <c r="D720" s="191" t="s">
        <v>320</v>
      </c>
      <c r="E720" s="2">
        <v>80111600</v>
      </c>
      <c r="F720" s="191" t="s">
        <v>711</v>
      </c>
      <c r="G720" s="193">
        <v>45138</v>
      </c>
      <c r="H720" s="193">
        <v>45142</v>
      </c>
      <c r="I720" s="191">
        <v>4</v>
      </c>
      <c r="J720" s="191" t="s">
        <v>20</v>
      </c>
      <c r="K720" s="197" t="s">
        <v>21</v>
      </c>
      <c r="L720" s="191" t="s">
        <v>23</v>
      </c>
      <c r="M720" s="188">
        <v>9800000</v>
      </c>
      <c r="N720" s="198" t="s">
        <v>23</v>
      </c>
      <c r="O720" s="198" t="s">
        <v>23</v>
      </c>
      <c r="P720" s="192" t="s">
        <v>365</v>
      </c>
    </row>
    <row r="721" spans="1:16" s="196" customFormat="1" ht="60" x14ac:dyDescent="0.2">
      <c r="A721" s="4">
        <v>2023771</v>
      </c>
      <c r="B721" s="2" t="s">
        <v>17</v>
      </c>
      <c r="C721" s="3" t="s">
        <v>17</v>
      </c>
      <c r="D721" s="191" t="s">
        <v>18</v>
      </c>
      <c r="E721" s="2">
        <v>43233200</v>
      </c>
      <c r="F721" s="191" t="s">
        <v>125</v>
      </c>
      <c r="G721" s="193">
        <v>45204</v>
      </c>
      <c r="H721" s="193">
        <v>45245</v>
      </c>
      <c r="I721" s="191">
        <v>12</v>
      </c>
      <c r="J721" s="191" t="s">
        <v>102</v>
      </c>
      <c r="K721" s="197" t="s">
        <v>21</v>
      </c>
      <c r="L721" s="191" t="s">
        <v>719</v>
      </c>
      <c r="M721" s="188">
        <v>100000000</v>
      </c>
      <c r="N721" s="198" t="s">
        <v>23</v>
      </c>
      <c r="O721" s="198" t="s">
        <v>23</v>
      </c>
      <c r="P721" s="192" t="s">
        <v>24</v>
      </c>
    </row>
    <row r="722" spans="1:16" s="196" customFormat="1" ht="90" x14ac:dyDescent="0.2">
      <c r="A722" s="4">
        <v>2023772</v>
      </c>
      <c r="B722" s="2">
        <v>7637</v>
      </c>
      <c r="C722" s="3" t="s">
        <v>74</v>
      </c>
      <c r="D722" s="191" t="s">
        <v>18</v>
      </c>
      <c r="E722" s="2">
        <v>81112401</v>
      </c>
      <c r="F722" s="191" t="s">
        <v>720</v>
      </c>
      <c r="G722" s="193">
        <v>45233</v>
      </c>
      <c r="H722" s="193">
        <v>45264</v>
      </c>
      <c r="I722" s="191">
        <v>3</v>
      </c>
      <c r="J722" s="191" t="s">
        <v>67</v>
      </c>
      <c r="K722" s="197" t="s">
        <v>21</v>
      </c>
      <c r="L722" s="191" t="s">
        <v>98</v>
      </c>
      <c r="M722" s="188">
        <v>18887747</v>
      </c>
      <c r="N722" s="198" t="s">
        <v>76</v>
      </c>
      <c r="O722" s="198" t="s">
        <v>77</v>
      </c>
      <c r="P722" s="192" t="s">
        <v>365</v>
      </c>
    </row>
    <row r="723" spans="1:16" s="196" customFormat="1" ht="90" x14ac:dyDescent="0.2">
      <c r="A723" s="2">
        <v>2023773</v>
      </c>
      <c r="B723" s="2">
        <v>7637</v>
      </c>
      <c r="C723" s="3" t="s">
        <v>74</v>
      </c>
      <c r="D723" s="191" t="s">
        <v>18</v>
      </c>
      <c r="E723" s="2">
        <v>81112401</v>
      </c>
      <c r="F723" s="191" t="s">
        <v>721</v>
      </c>
      <c r="G723" s="193">
        <v>45233</v>
      </c>
      <c r="H723" s="193">
        <v>45264</v>
      </c>
      <c r="I723" s="191">
        <v>3</v>
      </c>
      <c r="J723" s="191" t="s">
        <v>67</v>
      </c>
      <c r="K723" s="197" t="s">
        <v>21</v>
      </c>
      <c r="L723" s="191" t="s">
        <v>98</v>
      </c>
      <c r="M723" s="188">
        <v>2980321</v>
      </c>
      <c r="N723" s="198" t="s">
        <v>76</v>
      </c>
      <c r="O723" s="198" t="s">
        <v>77</v>
      </c>
      <c r="P723" s="192" t="s">
        <v>365</v>
      </c>
    </row>
    <row r="724" spans="1:16" s="196" customFormat="1" ht="90" x14ac:dyDescent="0.2">
      <c r="A724" s="2">
        <v>2023774</v>
      </c>
      <c r="B724" s="2">
        <v>7655</v>
      </c>
      <c r="C724" s="3" t="s">
        <v>25</v>
      </c>
      <c r="D724" s="191" t="s">
        <v>18</v>
      </c>
      <c r="E724" s="192">
        <v>80111600</v>
      </c>
      <c r="F724" s="192" t="s">
        <v>723</v>
      </c>
      <c r="G724" s="193">
        <v>45041</v>
      </c>
      <c r="H724" s="193">
        <v>45041</v>
      </c>
      <c r="I724" s="191">
        <v>1</v>
      </c>
      <c r="J724" s="191" t="s">
        <v>20</v>
      </c>
      <c r="K724" s="197" t="s">
        <v>387</v>
      </c>
      <c r="L724" s="191" t="s">
        <v>27</v>
      </c>
      <c r="M724" s="230">
        <v>133334</v>
      </c>
      <c r="N724" s="192" t="s">
        <v>28</v>
      </c>
      <c r="O724" s="192" t="s">
        <v>29</v>
      </c>
      <c r="P724" s="192" t="s">
        <v>365</v>
      </c>
    </row>
    <row r="725" spans="1:16" s="196" customFormat="1" ht="90" x14ac:dyDescent="0.2">
      <c r="A725" s="2">
        <v>2023775</v>
      </c>
      <c r="B725" s="2">
        <v>7658</v>
      </c>
      <c r="C725" s="3" t="s">
        <v>143</v>
      </c>
      <c r="D725" s="191" t="s">
        <v>222</v>
      </c>
      <c r="E725" s="192">
        <v>80111600</v>
      </c>
      <c r="F725" s="192" t="s">
        <v>725</v>
      </c>
      <c r="G725" s="193">
        <v>45163</v>
      </c>
      <c r="H725" s="193">
        <v>45168</v>
      </c>
      <c r="I725" s="191">
        <v>4</v>
      </c>
      <c r="J725" s="191" t="s">
        <v>20</v>
      </c>
      <c r="K725" s="197" t="s">
        <v>21</v>
      </c>
      <c r="L725" s="191" t="s">
        <v>27</v>
      </c>
      <c r="M725" s="188">
        <f>13200000-2114240</f>
        <v>11085760</v>
      </c>
      <c r="N725" s="192" t="s">
        <v>225</v>
      </c>
      <c r="O725" s="192" t="s">
        <v>164</v>
      </c>
      <c r="P725" s="192" t="s">
        <v>24</v>
      </c>
    </row>
    <row r="726" spans="1:16" s="196" customFormat="1" ht="90" x14ac:dyDescent="0.2">
      <c r="A726" s="2">
        <v>2023777</v>
      </c>
      <c r="B726" s="2">
        <v>7655</v>
      </c>
      <c r="C726" s="3" t="s">
        <v>25</v>
      </c>
      <c r="D726" s="191" t="s">
        <v>196</v>
      </c>
      <c r="E726" s="192">
        <v>80111600</v>
      </c>
      <c r="F726" s="192" t="s">
        <v>727</v>
      </c>
      <c r="G726" s="193">
        <v>45142</v>
      </c>
      <c r="H726" s="193">
        <v>45143</v>
      </c>
      <c r="I726" s="191">
        <v>2</v>
      </c>
      <c r="J726" s="191" t="s">
        <v>20</v>
      </c>
      <c r="K726" s="197" t="s">
        <v>21</v>
      </c>
      <c r="L726" s="191" t="s">
        <v>27</v>
      </c>
      <c r="M726" s="230">
        <v>14240000</v>
      </c>
      <c r="N726" s="192" t="s">
        <v>28</v>
      </c>
      <c r="O726" s="192" t="s">
        <v>29</v>
      </c>
      <c r="P726" s="192" t="s">
        <v>365</v>
      </c>
    </row>
    <row r="727" spans="1:16" s="196" customFormat="1" ht="60" x14ac:dyDescent="0.2">
      <c r="A727" s="2">
        <v>2023778</v>
      </c>
      <c r="B727" s="2">
        <v>7655</v>
      </c>
      <c r="C727" s="3" t="s">
        <v>25</v>
      </c>
      <c r="D727" s="191" t="s">
        <v>193</v>
      </c>
      <c r="E727" s="192">
        <v>80111600</v>
      </c>
      <c r="F727" s="192" t="s">
        <v>827</v>
      </c>
      <c r="G727" s="193">
        <v>45170</v>
      </c>
      <c r="H727" s="193">
        <v>45180</v>
      </c>
      <c r="I727" s="191">
        <v>4</v>
      </c>
      <c r="J727" s="191" t="s">
        <v>20</v>
      </c>
      <c r="K727" s="197" t="s">
        <v>21</v>
      </c>
      <c r="L727" s="191" t="s">
        <v>27</v>
      </c>
      <c r="M727" s="230">
        <v>26450332</v>
      </c>
      <c r="N727" s="192" t="s">
        <v>28</v>
      </c>
      <c r="O727" s="192" t="s">
        <v>29</v>
      </c>
      <c r="P727" s="192" t="s">
        <v>24</v>
      </c>
    </row>
    <row r="728" spans="1:16" s="196" customFormat="1" ht="94.5" customHeight="1" x14ac:dyDescent="0.2">
      <c r="A728" s="2">
        <v>2023779</v>
      </c>
      <c r="B728" s="2">
        <v>7655</v>
      </c>
      <c r="C728" s="3" t="s">
        <v>25</v>
      </c>
      <c r="D728" s="191" t="s">
        <v>193</v>
      </c>
      <c r="E728" s="192">
        <v>80111600</v>
      </c>
      <c r="F728" s="192" t="s">
        <v>828</v>
      </c>
      <c r="G728" s="193">
        <v>45170</v>
      </c>
      <c r="H728" s="193">
        <v>45180</v>
      </c>
      <c r="I728" s="191">
        <v>4</v>
      </c>
      <c r="J728" s="191" t="s">
        <v>20</v>
      </c>
      <c r="K728" s="197" t="s">
        <v>21</v>
      </c>
      <c r="L728" s="191" t="s">
        <v>27</v>
      </c>
      <c r="M728" s="230">
        <v>13158811</v>
      </c>
      <c r="N728" s="192" t="s">
        <v>28</v>
      </c>
      <c r="O728" s="192" t="s">
        <v>29</v>
      </c>
      <c r="P728" s="192" t="s">
        <v>24</v>
      </c>
    </row>
    <row r="729" spans="1:16" s="196" customFormat="1" ht="120" x14ac:dyDescent="0.2">
      <c r="A729" s="2">
        <v>2023780</v>
      </c>
      <c r="B729" s="2" t="s">
        <v>17</v>
      </c>
      <c r="C729" s="3" t="s">
        <v>17</v>
      </c>
      <c r="D729" s="191" t="s">
        <v>18</v>
      </c>
      <c r="E729" s="192" t="s">
        <v>68</v>
      </c>
      <c r="F729" s="192" t="s">
        <v>758</v>
      </c>
      <c r="G729" s="193">
        <v>45176</v>
      </c>
      <c r="H729" s="193">
        <v>45190</v>
      </c>
      <c r="I729" s="191">
        <v>3</v>
      </c>
      <c r="J729" s="191" t="s">
        <v>67</v>
      </c>
      <c r="K729" s="197" t="s">
        <v>21</v>
      </c>
      <c r="L729" s="191" t="s">
        <v>70</v>
      </c>
      <c r="M729" s="188">
        <v>91323067</v>
      </c>
      <c r="N729" s="192" t="s">
        <v>23</v>
      </c>
      <c r="O729" s="192" t="s">
        <v>23</v>
      </c>
      <c r="P729" s="192" t="s">
        <v>365</v>
      </c>
    </row>
    <row r="730" spans="1:16" s="196" customFormat="1" ht="90" x14ac:dyDescent="0.2">
      <c r="A730" s="4">
        <v>2023781</v>
      </c>
      <c r="B730" s="2">
        <v>7658</v>
      </c>
      <c r="C730" s="3" t="s">
        <v>143</v>
      </c>
      <c r="D730" s="191" t="s">
        <v>222</v>
      </c>
      <c r="E730" s="198" t="s">
        <v>386</v>
      </c>
      <c r="F730" s="191" t="s">
        <v>732</v>
      </c>
      <c r="G730" s="193">
        <v>45184</v>
      </c>
      <c r="H730" s="193">
        <v>45189</v>
      </c>
      <c r="I730" s="191">
        <v>1</v>
      </c>
      <c r="J730" s="191" t="s">
        <v>386</v>
      </c>
      <c r="K730" s="197" t="s">
        <v>387</v>
      </c>
      <c r="L730" s="191" t="s">
        <v>244</v>
      </c>
      <c r="M730" s="188">
        <v>4008757</v>
      </c>
      <c r="N730" s="198" t="s">
        <v>225</v>
      </c>
      <c r="O730" s="198" t="s">
        <v>164</v>
      </c>
      <c r="P730" s="192" t="s">
        <v>365</v>
      </c>
    </row>
    <row r="731" spans="1:16" s="196" customFormat="1" ht="75" x14ac:dyDescent="0.2">
      <c r="A731" s="4">
        <v>2023782</v>
      </c>
      <c r="B731" s="2" t="s">
        <v>17</v>
      </c>
      <c r="C731" s="3" t="s">
        <v>17</v>
      </c>
      <c r="D731" s="191" t="s">
        <v>48</v>
      </c>
      <c r="E731" s="198">
        <v>80111600</v>
      </c>
      <c r="F731" s="191" t="s">
        <v>733</v>
      </c>
      <c r="G731" s="193">
        <v>45179</v>
      </c>
      <c r="H731" s="193">
        <v>45179</v>
      </c>
      <c r="I731" s="191">
        <v>3.9</v>
      </c>
      <c r="J731" s="191" t="s">
        <v>20</v>
      </c>
      <c r="K731" s="197" t="s">
        <v>21</v>
      </c>
      <c r="L731" s="191" t="s">
        <v>23</v>
      </c>
      <c r="M731" s="188">
        <v>34960000</v>
      </c>
      <c r="N731" s="198" t="s">
        <v>23</v>
      </c>
      <c r="O731" s="198" t="s">
        <v>23</v>
      </c>
      <c r="P731" s="192" t="s">
        <v>365</v>
      </c>
    </row>
    <row r="732" spans="1:16" s="196" customFormat="1" ht="60" x14ac:dyDescent="0.2">
      <c r="A732" s="161">
        <v>2023784</v>
      </c>
      <c r="B732" s="2" t="s">
        <v>17</v>
      </c>
      <c r="C732" s="3" t="s">
        <v>17</v>
      </c>
      <c r="D732" s="191" t="s">
        <v>126</v>
      </c>
      <c r="E732" s="198">
        <v>80111600</v>
      </c>
      <c r="F732" s="191" t="s">
        <v>461</v>
      </c>
      <c r="G732" s="193">
        <v>45179</v>
      </c>
      <c r="H732" s="193">
        <v>45187</v>
      </c>
      <c r="I732" s="191">
        <v>6</v>
      </c>
      <c r="J732" s="191" t="s">
        <v>20</v>
      </c>
      <c r="K732" s="197" t="s">
        <v>21</v>
      </c>
      <c r="L732" s="191" t="s">
        <v>23</v>
      </c>
      <c r="M732" s="188">
        <v>27500000</v>
      </c>
      <c r="N732" s="198" t="s">
        <v>23</v>
      </c>
      <c r="O732" s="198" t="s">
        <v>23</v>
      </c>
      <c r="P732" s="192" t="s">
        <v>24</v>
      </c>
    </row>
    <row r="733" spans="1:16" s="196" customFormat="1" ht="120" x14ac:dyDescent="0.2">
      <c r="A733" s="161">
        <v>2023785</v>
      </c>
      <c r="B733" s="2">
        <v>7658</v>
      </c>
      <c r="C733" s="3" t="s">
        <v>591</v>
      </c>
      <c r="D733" s="191" t="s">
        <v>320</v>
      </c>
      <c r="E733" s="198" t="s">
        <v>386</v>
      </c>
      <c r="F733" s="191" t="s">
        <v>744</v>
      </c>
      <c r="G733" s="193" t="s">
        <v>386</v>
      </c>
      <c r="H733" s="193" t="s">
        <v>386</v>
      </c>
      <c r="I733" s="191" t="s">
        <v>386</v>
      </c>
      <c r="J733" s="191" t="s">
        <v>386</v>
      </c>
      <c r="K733" s="197" t="s">
        <v>387</v>
      </c>
      <c r="L733" s="191" t="s">
        <v>162</v>
      </c>
      <c r="M733" s="188">
        <v>7959086</v>
      </c>
      <c r="N733" s="198" t="s">
        <v>341</v>
      </c>
      <c r="O733" s="198" t="s">
        <v>164</v>
      </c>
      <c r="P733" s="192" t="s">
        <v>365</v>
      </c>
    </row>
    <row r="734" spans="1:16" s="196" customFormat="1" ht="60" x14ac:dyDescent="0.2">
      <c r="A734" s="161">
        <v>2023786</v>
      </c>
      <c r="B734" s="2">
        <v>7658</v>
      </c>
      <c r="C734" s="3" t="s">
        <v>591</v>
      </c>
      <c r="D734" s="191" t="s">
        <v>320</v>
      </c>
      <c r="E734" s="198" t="s">
        <v>386</v>
      </c>
      <c r="F734" s="191" t="s">
        <v>745</v>
      </c>
      <c r="G734" s="193" t="s">
        <v>386</v>
      </c>
      <c r="H734" s="193" t="s">
        <v>386</v>
      </c>
      <c r="I734" s="191" t="s">
        <v>386</v>
      </c>
      <c r="J734" s="191" t="s">
        <v>386</v>
      </c>
      <c r="K734" s="197" t="s">
        <v>387</v>
      </c>
      <c r="L734" s="191" t="s">
        <v>746</v>
      </c>
      <c r="M734" s="188">
        <v>92859158</v>
      </c>
      <c r="N734" s="198" t="s">
        <v>382</v>
      </c>
      <c r="O734" s="198" t="s">
        <v>383</v>
      </c>
      <c r="P734" s="192" t="s">
        <v>365</v>
      </c>
    </row>
    <row r="735" spans="1:16" s="196" customFormat="1" ht="60" x14ac:dyDescent="0.2">
      <c r="A735" s="161">
        <v>2023787</v>
      </c>
      <c r="B735" s="2">
        <v>7658</v>
      </c>
      <c r="C735" s="3" t="s">
        <v>591</v>
      </c>
      <c r="D735" s="191" t="s">
        <v>320</v>
      </c>
      <c r="E735" s="198" t="s">
        <v>386</v>
      </c>
      <c r="F735" s="191" t="s">
        <v>747</v>
      </c>
      <c r="G735" s="193" t="s">
        <v>386</v>
      </c>
      <c r="H735" s="193" t="s">
        <v>386</v>
      </c>
      <c r="I735" s="191" t="s">
        <v>386</v>
      </c>
      <c r="J735" s="191" t="s">
        <v>386</v>
      </c>
      <c r="K735" s="197" t="s">
        <v>387</v>
      </c>
      <c r="L735" s="191" t="s">
        <v>746</v>
      </c>
      <c r="M735" s="188">
        <v>76320300</v>
      </c>
      <c r="N735" s="198" t="s">
        <v>382</v>
      </c>
      <c r="O735" s="198" t="s">
        <v>383</v>
      </c>
      <c r="P735" s="192" t="s">
        <v>365</v>
      </c>
    </row>
    <row r="736" spans="1:16" s="196" customFormat="1" ht="60" x14ac:dyDescent="0.2">
      <c r="A736" s="161">
        <v>2023788</v>
      </c>
      <c r="B736" s="2">
        <v>7658</v>
      </c>
      <c r="C736" s="3" t="s">
        <v>591</v>
      </c>
      <c r="D736" s="191" t="s">
        <v>320</v>
      </c>
      <c r="E736" s="198" t="s">
        <v>386</v>
      </c>
      <c r="F736" s="191" t="s">
        <v>748</v>
      </c>
      <c r="G736" s="193" t="s">
        <v>386</v>
      </c>
      <c r="H736" s="193" t="s">
        <v>386</v>
      </c>
      <c r="I736" s="191" t="s">
        <v>386</v>
      </c>
      <c r="J736" s="191" t="s">
        <v>386</v>
      </c>
      <c r="K736" s="197" t="s">
        <v>387</v>
      </c>
      <c r="L736" s="191" t="s">
        <v>746</v>
      </c>
      <c r="M736" s="188">
        <v>9842115</v>
      </c>
      <c r="N736" s="198" t="s">
        <v>382</v>
      </c>
      <c r="O736" s="198" t="s">
        <v>383</v>
      </c>
      <c r="P736" s="192" t="s">
        <v>365</v>
      </c>
    </row>
    <row r="737" spans="1:16" s="196" customFormat="1" ht="90" x14ac:dyDescent="0.2">
      <c r="A737" s="161">
        <v>2023789</v>
      </c>
      <c r="B737" s="2">
        <v>7658</v>
      </c>
      <c r="C737" s="3" t="s">
        <v>591</v>
      </c>
      <c r="D737" s="191" t="s">
        <v>320</v>
      </c>
      <c r="E737" s="198" t="s">
        <v>386</v>
      </c>
      <c r="F737" s="191" t="s">
        <v>749</v>
      </c>
      <c r="G737" s="193" t="s">
        <v>386</v>
      </c>
      <c r="H737" s="193" t="s">
        <v>386</v>
      </c>
      <c r="I737" s="191" t="s">
        <v>386</v>
      </c>
      <c r="J737" s="191" t="s">
        <v>386</v>
      </c>
      <c r="K737" s="197" t="s">
        <v>387</v>
      </c>
      <c r="L737" s="191" t="s">
        <v>162</v>
      </c>
      <c r="M737" s="188">
        <v>10858630</v>
      </c>
      <c r="N737" s="198" t="s">
        <v>341</v>
      </c>
      <c r="O737" s="198" t="s">
        <v>164</v>
      </c>
      <c r="P737" s="192" t="s">
        <v>365</v>
      </c>
    </row>
    <row r="738" spans="1:16" s="196" customFormat="1" ht="45" x14ac:dyDescent="0.2">
      <c r="A738" s="161">
        <v>2023790</v>
      </c>
      <c r="B738" s="2">
        <v>7658</v>
      </c>
      <c r="C738" s="3" t="s">
        <v>143</v>
      </c>
      <c r="D738" s="191" t="s">
        <v>320</v>
      </c>
      <c r="E738" s="198" t="s">
        <v>386</v>
      </c>
      <c r="F738" s="191" t="s">
        <v>750</v>
      </c>
      <c r="G738" s="193" t="s">
        <v>386</v>
      </c>
      <c r="H738" s="193" t="s">
        <v>386</v>
      </c>
      <c r="I738" s="191" t="s">
        <v>386</v>
      </c>
      <c r="J738" s="191" t="s">
        <v>386</v>
      </c>
      <c r="K738" s="197" t="s">
        <v>387</v>
      </c>
      <c r="L738" s="191" t="s">
        <v>746</v>
      </c>
      <c r="M738" s="188">
        <f>15054145+2099029</f>
        <v>17153174</v>
      </c>
      <c r="N738" s="198" t="s">
        <v>382</v>
      </c>
      <c r="O738" s="198" t="s">
        <v>383</v>
      </c>
      <c r="P738" s="192" t="s">
        <v>365</v>
      </c>
    </row>
    <row r="739" spans="1:16" s="196" customFormat="1" ht="90" x14ac:dyDescent="0.2">
      <c r="A739" s="161">
        <v>2023791</v>
      </c>
      <c r="B739" s="2">
        <v>7658</v>
      </c>
      <c r="C739" s="3" t="s">
        <v>591</v>
      </c>
      <c r="D739" s="191" t="s">
        <v>320</v>
      </c>
      <c r="E739" s="198" t="s">
        <v>386</v>
      </c>
      <c r="F739" s="191" t="s">
        <v>751</v>
      </c>
      <c r="G739" s="193" t="s">
        <v>386</v>
      </c>
      <c r="H739" s="193" t="s">
        <v>386</v>
      </c>
      <c r="I739" s="191" t="s">
        <v>386</v>
      </c>
      <c r="J739" s="191" t="s">
        <v>386</v>
      </c>
      <c r="K739" s="197" t="s">
        <v>387</v>
      </c>
      <c r="L739" s="191" t="s">
        <v>746</v>
      </c>
      <c r="M739" s="188">
        <v>35252285</v>
      </c>
      <c r="N739" s="198" t="s">
        <v>341</v>
      </c>
      <c r="O739" s="198" t="s">
        <v>164</v>
      </c>
      <c r="P739" s="192" t="s">
        <v>365</v>
      </c>
    </row>
    <row r="740" spans="1:16" s="196" customFormat="1" ht="90" x14ac:dyDescent="0.2">
      <c r="A740" s="161">
        <v>2023792</v>
      </c>
      <c r="B740" s="2">
        <v>7658</v>
      </c>
      <c r="C740" s="3" t="s">
        <v>143</v>
      </c>
      <c r="D740" s="191" t="s">
        <v>320</v>
      </c>
      <c r="E740" s="198" t="s">
        <v>734</v>
      </c>
      <c r="F740" s="191" t="s">
        <v>735</v>
      </c>
      <c r="G740" s="193">
        <v>45184</v>
      </c>
      <c r="H740" s="193">
        <v>45194</v>
      </c>
      <c r="I740" s="191">
        <v>3</v>
      </c>
      <c r="J740" s="191" t="s">
        <v>20</v>
      </c>
      <c r="K740" s="197" t="s">
        <v>21</v>
      </c>
      <c r="L740" s="191" t="s">
        <v>51</v>
      </c>
      <c r="M740" s="188">
        <v>27000000</v>
      </c>
      <c r="N740" s="198" t="s">
        <v>341</v>
      </c>
      <c r="O740" s="198" t="s">
        <v>164</v>
      </c>
      <c r="P740" s="192" t="s">
        <v>365</v>
      </c>
    </row>
    <row r="741" spans="1:16" s="196" customFormat="1" ht="90" x14ac:dyDescent="0.2">
      <c r="A741" s="161">
        <v>2023793</v>
      </c>
      <c r="B741" s="2">
        <v>7658</v>
      </c>
      <c r="C741" s="3" t="s">
        <v>143</v>
      </c>
      <c r="D741" s="191" t="s">
        <v>320</v>
      </c>
      <c r="E741" s="198" t="s">
        <v>734</v>
      </c>
      <c r="F741" s="191" t="s">
        <v>736</v>
      </c>
      <c r="G741" s="193">
        <v>45184</v>
      </c>
      <c r="H741" s="193">
        <v>45194</v>
      </c>
      <c r="I741" s="191">
        <v>1</v>
      </c>
      <c r="J741" s="191" t="s">
        <v>20</v>
      </c>
      <c r="K741" s="197" t="s">
        <v>21</v>
      </c>
      <c r="L741" s="191" t="s">
        <v>27</v>
      </c>
      <c r="M741" s="188">
        <v>7300000</v>
      </c>
      <c r="N741" s="198" t="s">
        <v>341</v>
      </c>
      <c r="O741" s="198" t="s">
        <v>164</v>
      </c>
      <c r="P741" s="192" t="s">
        <v>365</v>
      </c>
    </row>
    <row r="742" spans="1:16" s="196" customFormat="1" ht="90" x14ac:dyDescent="0.2">
      <c r="A742" s="161">
        <v>2023794</v>
      </c>
      <c r="B742" s="2">
        <v>7658</v>
      </c>
      <c r="C742" s="3" t="s">
        <v>143</v>
      </c>
      <c r="D742" s="191" t="s">
        <v>320</v>
      </c>
      <c r="E742" s="198" t="s">
        <v>734</v>
      </c>
      <c r="F742" s="191" t="s">
        <v>737</v>
      </c>
      <c r="G742" s="193">
        <v>45184</v>
      </c>
      <c r="H742" s="193">
        <v>45194</v>
      </c>
      <c r="I742" s="191">
        <v>3</v>
      </c>
      <c r="J742" s="191" t="s">
        <v>20</v>
      </c>
      <c r="K742" s="197" t="s">
        <v>21</v>
      </c>
      <c r="L742" s="191" t="s">
        <v>27</v>
      </c>
      <c r="M742" s="188">
        <v>18664200</v>
      </c>
      <c r="N742" s="198" t="s">
        <v>341</v>
      </c>
      <c r="O742" s="198" t="s">
        <v>164</v>
      </c>
      <c r="P742" s="192" t="s">
        <v>365</v>
      </c>
    </row>
    <row r="743" spans="1:16" s="196" customFormat="1" ht="90" x14ac:dyDescent="0.2">
      <c r="A743" s="161">
        <v>2023795</v>
      </c>
      <c r="B743" s="2">
        <v>7658</v>
      </c>
      <c r="C743" s="3" t="s">
        <v>143</v>
      </c>
      <c r="D743" s="191" t="s">
        <v>320</v>
      </c>
      <c r="E743" s="198" t="s">
        <v>734</v>
      </c>
      <c r="F743" s="191" t="s">
        <v>738</v>
      </c>
      <c r="G743" s="193">
        <v>45184</v>
      </c>
      <c r="H743" s="193">
        <v>45194</v>
      </c>
      <c r="I743" s="191">
        <v>1</v>
      </c>
      <c r="J743" s="191" t="s">
        <v>20</v>
      </c>
      <c r="K743" s="197" t="s">
        <v>21</v>
      </c>
      <c r="L743" s="191" t="s">
        <v>27</v>
      </c>
      <c r="M743" s="188">
        <v>9275840</v>
      </c>
      <c r="N743" s="198" t="s">
        <v>341</v>
      </c>
      <c r="O743" s="198" t="s">
        <v>164</v>
      </c>
      <c r="P743" s="192" t="s">
        <v>365</v>
      </c>
    </row>
    <row r="744" spans="1:16" s="196" customFormat="1" ht="90" x14ac:dyDescent="0.2">
      <c r="A744" s="161">
        <v>2023796</v>
      </c>
      <c r="B744" s="2">
        <v>7658</v>
      </c>
      <c r="C744" s="3" t="s">
        <v>143</v>
      </c>
      <c r="D744" s="191" t="s">
        <v>320</v>
      </c>
      <c r="E744" s="198" t="s">
        <v>734</v>
      </c>
      <c r="F744" s="191" t="s">
        <v>739</v>
      </c>
      <c r="G744" s="193">
        <v>45184</v>
      </c>
      <c r="H744" s="193">
        <v>45194</v>
      </c>
      <c r="I744" s="191">
        <v>1</v>
      </c>
      <c r="J744" s="191" t="s">
        <v>20</v>
      </c>
      <c r="K744" s="197" t="s">
        <v>21</v>
      </c>
      <c r="L744" s="191" t="s">
        <v>27</v>
      </c>
      <c r="M744" s="188">
        <v>5500000</v>
      </c>
      <c r="N744" s="198" t="s">
        <v>341</v>
      </c>
      <c r="O744" s="198" t="s">
        <v>164</v>
      </c>
      <c r="P744" s="192" t="s">
        <v>365</v>
      </c>
    </row>
    <row r="745" spans="1:16" s="196" customFormat="1" ht="90" x14ac:dyDescent="0.2">
      <c r="A745" s="161">
        <v>2023797</v>
      </c>
      <c r="B745" s="2">
        <v>7658</v>
      </c>
      <c r="C745" s="3" t="s">
        <v>143</v>
      </c>
      <c r="D745" s="191" t="s">
        <v>320</v>
      </c>
      <c r="E745" s="198" t="s">
        <v>734</v>
      </c>
      <c r="F745" s="191" t="s">
        <v>740</v>
      </c>
      <c r="G745" s="193">
        <v>45184</v>
      </c>
      <c r="H745" s="193">
        <v>45194</v>
      </c>
      <c r="I745" s="191">
        <v>1</v>
      </c>
      <c r="J745" s="191" t="s">
        <v>20</v>
      </c>
      <c r="K745" s="197" t="s">
        <v>21</v>
      </c>
      <c r="L745" s="191" t="s">
        <v>27</v>
      </c>
      <c r="M745" s="188">
        <v>8257760</v>
      </c>
      <c r="N745" s="198" t="s">
        <v>341</v>
      </c>
      <c r="O745" s="198" t="s">
        <v>164</v>
      </c>
      <c r="P745" s="192" t="s">
        <v>365</v>
      </c>
    </row>
    <row r="746" spans="1:16" s="196" customFormat="1" ht="90" x14ac:dyDescent="0.2">
      <c r="A746" s="161">
        <v>2023798</v>
      </c>
      <c r="B746" s="2">
        <v>7658</v>
      </c>
      <c r="C746" s="3" t="s">
        <v>143</v>
      </c>
      <c r="D746" s="191" t="s">
        <v>320</v>
      </c>
      <c r="E746" s="198" t="s">
        <v>734</v>
      </c>
      <c r="F746" s="191" t="s">
        <v>741</v>
      </c>
      <c r="G746" s="193">
        <v>45184</v>
      </c>
      <c r="H746" s="193">
        <v>45194</v>
      </c>
      <c r="I746" s="191">
        <v>1</v>
      </c>
      <c r="J746" s="191" t="s">
        <v>20</v>
      </c>
      <c r="K746" s="197" t="s">
        <v>21</v>
      </c>
      <c r="L746" s="191" t="s">
        <v>27</v>
      </c>
      <c r="M746" s="188">
        <v>7300000</v>
      </c>
      <c r="N746" s="198" t="s">
        <v>341</v>
      </c>
      <c r="O746" s="198" t="s">
        <v>164</v>
      </c>
      <c r="P746" s="192" t="s">
        <v>365</v>
      </c>
    </row>
    <row r="747" spans="1:16" s="196" customFormat="1" ht="90" x14ac:dyDescent="0.2">
      <c r="A747" s="161">
        <v>2023799</v>
      </c>
      <c r="B747" s="2">
        <v>7658</v>
      </c>
      <c r="C747" s="3" t="s">
        <v>143</v>
      </c>
      <c r="D747" s="191" t="s">
        <v>320</v>
      </c>
      <c r="E747" s="198" t="s">
        <v>734</v>
      </c>
      <c r="F747" s="191" t="s">
        <v>742</v>
      </c>
      <c r="G747" s="193">
        <v>45184</v>
      </c>
      <c r="H747" s="193">
        <v>45194</v>
      </c>
      <c r="I747" s="191">
        <v>2</v>
      </c>
      <c r="J747" s="191" t="s">
        <v>20</v>
      </c>
      <c r="K747" s="197" t="s">
        <v>21</v>
      </c>
      <c r="L747" s="191" t="s">
        <v>27</v>
      </c>
      <c r="M747" s="188">
        <v>9000000</v>
      </c>
      <c r="N747" s="198" t="s">
        <v>341</v>
      </c>
      <c r="O747" s="198" t="s">
        <v>164</v>
      </c>
      <c r="P747" s="192" t="s">
        <v>365</v>
      </c>
    </row>
    <row r="748" spans="1:16" s="196" customFormat="1" ht="90" x14ac:dyDescent="0.2">
      <c r="A748" s="161">
        <v>2023800</v>
      </c>
      <c r="B748" s="2">
        <v>7658</v>
      </c>
      <c r="C748" s="3" t="s">
        <v>143</v>
      </c>
      <c r="D748" s="191" t="s">
        <v>320</v>
      </c>
      <c r="E748" s="198" t="s">
        <v>342</v>
      </c>
      <c r="F748" s="191" t="s">
        <v>743</v>
      </c>
      <c r="G748" s="193">
        <v>45184</v>
      </c>
      <c r="H748" s="193">
        <v>45194</v>
      </c>
      <c r="I748" s="191" t="s">
        <v>386</v>
      </c>
      <c r="J748" s="191" t="s">
        <v>119</v>
      </c>
      <c r="K748" s="197" t="s">
        <v>21</v>
      </c>
      <c r="L748" s="191" t="s">
        <v>235</v>
      </c>
      <c r="M748" s="188">
        <v>16000000</v>
      </c>
      <c r="N748" s="198" t="s">
        <v>341</v>
      </c>
      <c r="O748" s="198" t="s">
        <v>164</v>
      </c>
      <c r="P748" s="192" t="s">
        <v>365</v>
      </c>
    </row>
    <row r="749" spans="1:16" s="196" customFormat="1" ht="90" x14ac:dyDescent="0.2">
      <c r="A749" s="161">
        <v>2023801</v>
      </c>
      <c r="B749" s="2">
        <v>7658</v>
      </c>
      <c r="C749" s="3" t="s">
        <v>143</v>
      </c>
      <c r="D749" s="191" t="s">
        <v>320</v>
      </c>
      <c r="E749" s="198" t="s">
        <v>753</v>
      </c>
      <c r="F749" s="191" t="s">
        <v>754</v>
      </c>
      <c r="G749" s="193">
        <v>45184</v>
      </c>
      <c r="H749" s="193">
        <v>45194</v>
      </c>
      <c r="I749" s="191" t="s">
        <v>386</v>
      </c>
      <c r="J749" s="191" t="s">
        <v>102</v>
      </c>
      <c r="K749" s="197" t="s">
        <v>21</v>
      </c>
      <c r="L749" s="191" t="s">
        <v>162</v>
      </c>
      <c r="M749" s="188">
        <f>59683536-2099029-44142055</f>
        <v>13442452</v>
      </c>
      <c r="N749" s="198" t="s">
        <v>341</v>
      </c>
      <c r="O749" s="198" t="s">
        <v>164</v>
      </c>
      <c r="P749" s="192" t="s">
        <v>365</v>
      </c>
    </row>
    <row r="750" spans="1:16" s="196" customFormat="1" ht="105" x14ac:dyDescent="0.2">
      <c r="A750" s="4">
        <v>2023802</v>
      </c>
      <c r="B750" s="2" t="s">
        <v>17</v>
      </c>
      <c r="C750" s="2" t="s">
        <v>17</v>
      </c>
      <c r="D750" s="191" t="s">
        <v>48</v>
      </c>
      <c r="E750" s="198">
        <v>80111600</v>
      </c>
      <c r="F750" s="191" t="s">
        <v>755</v>
      </c>
      <c r="G750" s="193">
        <v>45245</v>
      </c>
      <c r="H750" s="193">
        <v>45245</v>
      </c>
      <c r="I750" s="191">
        <v>1.5</v>
      </c>
      <c r="J750" s="191" t="s">
        <v>20</v>
      </c>
      <c r="K750" s="197" t="s">
        <v>21</v>
      </c>
      <c r="L750" s="191" t="s">
        <v>23</v>
      </c>
      <c r="M750" s="188">
        <v>10033333</v>
      </c>
      <c r="N750" s="198" t="s">
        <v>23</v>
      </c>
      <c r="O750" s="198" t="s">
        <v>23</v>
      </c>
      <c r="P750" s="192" t="s">
        <v>365</v>
      </c>
    </row>
    <row r="751" spans="1:16" s="196" customFormat="1" ht="45" x14ac:dyDescent="0.2">
      <c r="A751" s="4">
        <v>2023803</v>
      </c>
      <c r="B751" s="2" t="s">
        <v>17</v>
      </c>
      <c r="C751" s="2" t="s">
        <v>17</v>
      </c>
      <c r="D751" s="191" t="s">
        <v>126</v>
      </c>
      <c r="E751" s="198">
        <v>80111600</v>
      </c>
      <c r="F751" s="191" t="s">
        <v>760</v>
      </c>
      <c r="G751" s="193">
        <v>45170</v>
      </c>
      <c r="H751" s="193">
        <v>45186</v>
      </c>
      <c r="I751" s="191">
        <v>6</v>
      </c>
      <c r="J751" s="191" t="s">
        <v>20</v>
      </c>
      <c r="K751" s="197" t="s">
        <v>21</v>
      </c>
      <c r="L751" s="191" t="s">
        <v>23</v>
      </c>
      <c r="M751" s="188">
        <f>72500000+2389500</f>
        <v>74889500</v>
      </c>
      <c r="N751" s="198" t="s">
        <v>23</v>
      </c>
      <c r="O751" s="198" t="s">
        <v>23</v>
      </c>
      <c r="P751" s="192" t="s">
        <v>24</v>
      </c>
    </row>
    <row r="752" spans="1:16" s="196" customFormat="1" ht="75" x14ac:dyDescent="0.2">
      <c r="A752" s="4">
        <v>2023804</v>
      </c>
      <c r="B752" s="2">
        <v>7658</v>
      </c>
      <c r="C752" s="3" t="s">
        <v>143</v>
      </c>
      <c r="D752" s="191" t="s">
        <v>282</v>
      </c>
      <c r="E752" s="198">
        <v>80111600</v>
      </c>
      <c r="F752" s="191" t="s">
        <v>762</v>
      </c>
      <c r="G752" s="193">
        <v>44942</v>
      </c>
      <c r="H752" s="193">
        <v>44942</v>
      </c>
      <c r="I752" s="191">
        <v>2</v>
      </c>
      <c r="J752" s="191" t="s">
        <v>20</v>
      </c>
      <c r="K752" s="197" t="s">
        <v>21</v>
      </c>
      <c r="L752" s="191" t="s">
        <v>27</v>
      </c>
      <c r="M752" s="188">
        <v>5000000</v>
      </c>
      <c r="N752" s="198" t="s">
        <v>286</v>
      </c>
      <c r="O752" s="198" t="s">
        <v>287</v>
      </c>
      <c r="P752" s="192" t="s">
        <v>365</v>
      </c>
    </row>
    <row r="753" spans="1:16" s="196" customFormat="1" ht="60" x14ac:dyDescent="0.2">
      <c r="A753" s="161">
        <v>2023806</v>
      </c>
      <c r="B753" s="120">
        <v>7655</v>
      </c>
      <c r="C753" s="162" t="s">
        <v>25</v>
      </c>
      <c r="D753" s="201" t="s">
        <v>48</v>
      </c>
      <c r="E753" s="203">
        <v>80111600</v>
      </c>
      <c r="F753" s="203" t="s">
        <v>763</v>
      </c>
      <c r="G753" s="204">
        <v>45209</v>
      </c>
      <c r="H753" s="204">
        <v>45209</v>
      </c>
      <c r="I753" s="202">
        <v>1.6</v>
      </c>
      <c r="J753" s="202" t="s">
        <v>20</v>
      </c>
      <c r="K753" s="205" t="s">
        <v>21</v>
      </c>
      <c r="L753" s="202" t="s">
        <v>51</v>
      </c>
      <c r="M753" s="231">
        <v>12750000</v>
      </c>
      <c r="N753" s="203" t="s">
        <v>28</v>
      </c>
      <c r="O753" s="203" t="s">
        <v>29</v>
      </c>
      <c r="P753" s="203" t="s">
        <v>365</v>
      </c>
    </row>
    <row r="754" spans="1:16" s="196" customFormat="1" ht="105" x14ac:dyDescent="0.2">
      <c r="A754" s="161">
        <v>2023807</v>
      </c>
      <c r="B754" s="120">
        <v>7655</v>
      </c>
      <c r="C754" s="162" t="s">
        <v>25</v>
      </c>
      <c r="D754" s="201" t="s">
        <v>48</v>
      </c>
      <c r="E754" s="203">
        <v>80111600</v>
      </c>
      <c r="F754" s="203" t="s">
        <v>764</v>
      </c>
      <c r="G754" s="204">
        <v>45209</v>
      </c>
      <c r="H754" s="204">
        <v>45209</v>
      </c>
      <c r="I754" s="202">
        <v>0.4</v>
      </c>
      <c r="J754" s="202" t="s">
        <v>20</v>
      </c>
      <c r="K754" s="205" t="s">
        <v>21</v>
      </c>
      <c r="L754" s="202" t="s">
        <v>51</v>
      </c>
      <c r="M754" s="231">
        <v>2805000</v>
      </c>
      <c r="N754" s="203" t="s">
        <v>28</v>
      </c>
      <c r="O754" s="203" t="s">
        <v>29</v>
      </c>
      <c r="P754" s="203" t="s">
        <v>365</v>
      </c>
    </row>
    <row r="755" spans="1:16" s="196" customFormat="1" ht="60" x14ac:dyDescent="0.2">
      <c r="A755" s="161">
        <v>2023808</v>
      </c>
      <c r="B755" s="120">
        <v>7655</v>
      </c>
      <c r="C755" s="162" t="s">
        <v>25</v>
      </c>
      <c r="D755" s="201" t="s">
        <v>48</v>
      </c>
      <c r="E755" s="203">
        <v>80111600</v>
      </c>
      <c r="F755" s="203" t="s">
        <v>765</v>
      </c>
      <c r="G755" s="204">
        <v>45209</v>
      </c>
      <c r="H755" s="204">
        <v>45209</v>
      </c>
      <c r="I755" s="202">
        <v>3</v>
      </c>
      <c r="J755" s="202" t="s">
        <v>20</v>
      </c>
      <c r="K755" s="205" t="s">
        <v>21</v>
      </c>
      <c r="L755" s="202" t="s">
        <v>51</v>
      </c>
      <c r="M755" s="231">
        <v>12300000</v>
      </c>
      <c r="N755" s="203" t="s">
        <v>28</v>
      </c>
      <c r="O755" s="203" t="s">
        <v>29</v>
      </c>
      <c r="P755" s="203" t="s">
        <v>365</v>
      </c>
    </row>
    <row r="756" spans="1:16" s="196" customFormat="1" ht="60" x14ac:dyDescent="0.2">
      <c r="A756" s="161">
        <v>2023810</v>
      </c>
      <c r="B756" s="120">
        <v>7655</v>
      </c>
      <c r="C756" s="162" t="s">
        <v>25</v>
      </c>
      <c r="D756" s="201" t="s">
        <v>48</v>
      </c>
      <c r="E756" s="203">
        <v>80111600</v>
      </c>
      <c r="F756" s="203" t="s">
        <v>766</v>
      </c>
      <c r="G756" s="204">
        <v>45209</v>
      </c>
      <c r="H756" s="204">
        <v>45209</v>
      </c>
      <c r="I756" s="202">
        <v>2.2999999999999998</v>
      </c>
      <c r="J756" s="202" t="s">
        <v>20</v>
      </c>
      <c r="K756" s="205" t="s">
        <v>21</v>
      </c>
      <c r="L756" s="202" t="s">
        <v>51</v>
      </c>
      <c r="M756" s="231">
        <v>8283333</v>
      </c>
      <c r="N756" s="203" t="s">
        <v>28</v>
      </c>
      <c r="O756" s="203" t="s">
        <v>29</v>
      </c>
      <c r="P756" s="203" t="s">
        <v>365</v>
      </c>
    </row>
    <row r="757" spans="1:16" s="196" customFormat="1" ht="60" x14ac:dyDescent="0.2">
      <c r="A757" s="161">
        <v>2023811</v>
      </c>
      <c r="B757" s="120">
        <v>7655</v>
      </c>
      <c r="C757" s="162" t="s">
        <v>25</v>
      </c>
      <c r="D757" s="201" t="s">
        <v>48</v>
      </c>
      <c r="E757" s="203">
        <v>80111600</v>
      </c>
      <c r="F757" s="203" t="s">
        <v>767</v>
      </c>
      <c r="G757" s="204">
        <v>45209</v>
      </c>
      <c r="H757" s="204">
        <v>45209</v>
      </c>
      <c r="I757" s="202">
        <v>1</v>
      </c>
      <c r="J757" s="202" t="s">
        <v>20</v>
      </c>
      <c r="K757" s="205" t="s">
        <v>21</v>
      </c>
      <c r="L757" s="202" t="s">
        <v>27</v>
      </c>
      <c r="M757" s="231">
        <v>2900000</v>
      </c>
      <c r="N757" s="203" t="s">
        <v>28</v>
      </c>
      <c r="O757" s="203" t="s">
        <v>29</v>
      </c>
      <c r="P757" s="203" t="s">
        <v>365</v>
      </c>
    </row>
    <row r="758" spans="1:16" s="196" customFormat="1" ht="60" x14ac:dyDescent="0.2">
      <c r="A758" s="161">
        <v>2023812</v>
      </c>
      <c r="B758" s="120">
        <v>7655</v>
      </c>
      <c r="C758" s="162" t="s">
        <v>25</v>
      </c>
      <c r="D758" s="201" t="s">
        <v>48</v>
      </c>
      <c r="E758" s="203">
        <v>80111600</v>
      </c>
      <c r="F758" s="203" t="s">
        <v>768</v>
      </c>
      <c r="G758" s="204">
        <v>45209</v>
      </c>
      <c r="H758" s="204">
        <v>45209</v>
      </c>
      <c r="I758" s="202">
        <v>3</v>
      </c>
      <c r="J758" s="202" t="s">
        <v>20</v>
      </c>
      <c r="K758" s="205" t="s">
        <v>21</v>
      </c>
      <c r="L758" s="202" t="s">
        <v>27</v>
      </c>
      <c r="M758" s="231">
        <v>8700000</v>
      </c>
      <c r="N758" s="203" t="s">
        <v>28</v>
      </c>
      <c r="O758" s="203" t="s">
        <v>29</v>
      </c>
      <c r="P758" s="203" t="s">
        <v>365</v>
      </c>
    </row>
    <row r="759" spans="1:16" s="196" customFormat="1" ht="60" x14ac:dyDescent="0.2">
      <c r="A759" s="161">
        <v>2023813</v>
      </c>
      <c r="B759" s="120">
        <v>7655</v>
      </c>
      <c r="C759" s="162" t="s">
        <v>25</v>
      </c>
      <c r="D759" s="201" t="s">
        <v>48</v>
      </c>
      <c r="E759" s="203">
        <v>80111600</v>
      </c>
      <c r="F759" s="203" t="s">
        <v>769</v>
      </c>
      <c r="G759" s="204">
        <v>45209</v>
      </c>
      <c r="H759" s="204">
        <v>45209</v>
      </c>
      <c r="I759" s="202">
        <v>1</v>
      </c>
      <c r="J759" s="202" t="s">
        <v>20</v>
      </c>
      <c r="K759" s="205" t="s">
        <v>21</v>
      </c>
      <c r="L759" s="202" t="s">
        <v>27</v>
      </c>
      <c r="M759" s="231">
        <v>2900000</v>
      </c>
      <c r="N759" s="203" t="s">
        <v>28</v>
      </c>
      <c r="O759" s="203" t="s">
        <v>29</v>
      </c>
      <c r="P759" s="203" t="s">
        <v>365</v>
      </c>
    </row>
    <row r="760" spans="1:16" s="196" customFormat="1" ht="60" x14ac:dyDescent="0.2">
      <c r="A760" s="161">
        <v>2023814</v>
      </c>
      <c r="B760" s="120">
        <v>7655</v>
      </c>
      <c r="C760" s="162" t="s">
        <v>25</v>
      </c>
      <c r="D760" s="201" t="s">
        <v>48</v>
      </c>
      <c r="E760" s="203">
        <v>80111600</v>
      </c>
      <c r="F760" s="203" t="s">
        <v>770</v>
      </c>
      <c r="G760" s="204">
        <v>45209</v>
      </c>
      <c r="H760" s="204">
        <v>45209</v>
      </c>
      <c r="I760" s="202">
        <v>3</v>
      </c>
      <c r="J760" s="202" t="s">
        <v>20</v>
      </c>
      <c r="K760" s="205" t="s">
        <v>21</v>
      </c>
      <c r="L760" s="202" t="s">
        <v>51</v>
      </c>
      <c r="M760" s="231">
        <v>11400000</v>
      </c>
      <c r="N760" s="203" t="s">
        <v>28</v>
      </c>
      <c r="O760" s="203" t="s">
        <v>29</v>
      </c>
      <c r="P760" s="203" t="s">
        <v>365</v>
      </c>
    </row>
    <row r="761" spans="1:16" s="196" customFormat="1" ht="90" x14ac:dyDescent="0.2">
      <c r="A761" s="161">
        <v>2023815</v>
      </c>
      <c r="B761" s="120">
        <v>7655</v>
      </c>
      <c r="C761" s="162" t="s">
        <v>25</v>
      </c>
      <c r="D761" s="201" t="s">
        <v>48</v>
      </c>
      <c r="E761" s="203">
        <v>80111600</v>
      </c>
      <c r="F761" s="203" t="s">
        <v>771</v>
      </c>
      <c r="G761" s="204">
        <v>45209</v>
      </c>
      <c r="H761" s="204">
        <v>45209</v>
      </c>
      <c r="I761" s="202">
        <v>0.5</v>
      </c>
      <c r="J761" s="202" t="s">
        <v>20</v>
      </c>
      <c r="K761" s="205" t="s">
        <v>21</v>
      </c>
      <c r="L761" s="202" t="s">
        <v>27</v>
      </c>
      <c r="M761" s="231">
        <v>2550000</v>
      </c>
      <c r="N761" s="203" t="s">
        <v>28</v>
      </c>
      <c r="O761" s="203" t="s">
        <v>29</v>
      </c>
      <c r="P761" s="203" t="s">
        <v>365</v>
      </c>
    </row>
    <row r="762" spans="1:16" s="196" customFormat="1" ht="90" x14ac:dyDescent="0.2">
      <c r="A762" s="161">
        <v>2023816</v>
      </c>
      <c r="B762" s="120">
        <v>7655</v>
      </c>
      <c r="C762" s="162" t="s">
        <v>25</v>
      </c>
      <c r="D762" s="201" t="s">
        <v>48</v>
      </c>
      <c r="E762" s="203">
        <v>80111600</v>
      </c>
      <c r="F762" s="203" t="s">
        <v>772</v>
      </c>
      <c r="G762" s="204">
        <v>45209</v>
      </c>
      <c r="H762" s="204">
        <v>45209</v>
      </c>
      <c r="I762" s="202">
        <v>3</v>
      </c>
      <c r="J762" s="202" t="s">
        <v>20</v>
      </c>
      <c r="K762" s="205" t="s">
        <v>21</v>
      </c>
      <c r="L762" s="202" t="s">
        <v>51</v>
      </c>
      <c r="M762" s="231">
        <v>10200000</v>
      </c>
      <c r="N762" s="203" t="s">
        <v>28</v>
      </c>
      <c r="O762" s="203" t="s">
        <v>29</v>
      </c>
      <c r="P762" s="203" t="s">
        <v>365</v>
      </c>
    </row>
    <row r="763" spans="1:16" s="196" customFormat="1" ht="60" x14ac:dyDescent="0.2">
      <c r="A763" s="161">
        <v>2023817</v>
      </c>
      <c r="B763" s="120">
        <v>7655</v>
      </c>
      <c r="C763" s="162" t="s">
        <v>25</v>
      </c>
      <c r="D763" s="201" t="s">
        <v>48</v>
      </c>
      <c r="E763" s="203">
        <v>80111600</v>
      </c>
      <c r="F763" s="203" t="s">
        <v>773</v>
      </c>
      <c r="G763" s="204">
        <v>45209</v>
      </c>
      <c r="H763" s="204">
        <v>45209</v>
      </c>
      <c r="I763" s="202">
        <v>2.5</v>
      </c>
      <c r="J763" s="202" t="s">
        <v>20</v>
      </c>
      <c r="K763" s="205" t="s">
        <v>21</v>
      </c>
      <c r="L763" s="202" t="s">
        <v>51</v>
      </c>
      <c r="M763" s="231">
        <v>9625000</v>
      </c>
      <c r="N763" s="203" t="s">
        <v>28</v>
      </c>
      <c r="O763" s="203" t="s">
        <v>29</v>
      </c>
      <c r="P763" s="203" t="s">
        <v>365</v>
      </c>
    </row>
    <row r="764" spans="1:16" s="196" customFormat="1" ht="90" x14ac:dyDescent="0.2">
      <c r="A764" s="161">
        <v>2023818</v>
      </c>
      <c r="B764" s="120">
        <v>7655</v>
      </c>
      <c r="C764" s="162" t="s">
        <v>25</v>
      </c>
      <c r="D764" s="201" t="s">
        <v>48</v>
      </c>
      <c r="E764" s="203">
        <v>80111600</v>
      </c>
      <c r="F764" s="203" t="s">
        <v>774</v>
      </c>
      <c r="G764" s="204">
        <v>45209</v>
      </c>
      <c r="H764" s="204">
        <v>45209</v>
      </c>
      <c r="I764" s="202">
        <v>0.3</v>
      </c>
      <c r="J764" s="202" t="s">
        <v>20</v>
      </c>
      <c r="K764" s="205" t="s">
        <v>21</v>
      </c>
      <c r="L764" s="202" t="s">
        <v>51</v>
      </c>
      <c r="M764" s="231">
        <v>1666667</v>
      </c>
      <c r="N764" s="203" t="s">
        <v>28</v>
      </c>
      <c r="O764" s="203" t="s">
        <v>29</v>
      </c>
      <c r="P764" s="203" t="s">
        <v>365</v>
      </c>
    </row>
    <row r="765" spans="1:16" s="196" customFormat="1" ht="75" x14ac:dyDescent="0.2">
      <c r="A765" s="161">
        <v>2023819</v>
      </c>
      <c r="B765" s="120">
        <v>7655</v>
      </c>
      <c r="C765" s="162" t="s">
        <v>25</v>
      </c>
      <c r="D765" s="201" t="s">
        <v>216</v>
      </c>
      <c r="E765" s="203">
        <v>80111600</v>
      </c>
      <c r="F765" s="203" t="s">
        <v>776</v>
      </c>
      <c r="G765" s="204">
        <v>45184</v>
      </c>
      <c r="H765" s="204">
        <v>45184</v>
      </c>
      <c r="I765" s="202">
        <v>3</v>
      </c>
      <c r="J765" s="202" t="s">
        <v>20</v>
      </c>
      <c r="K765" s="205" t="s">
        <v>21</v>
      </c>
      <c r="L765" s="202" t="s">
        <v>27</v>
      </c>
      <c r="M765" s="231">
        <v>25000000</v>
      </c>
      <c r="N765" s="203" t="s">
        <v>28</v>
      </c>
      <c r="O765" s="203" t="s">
        <v>29</v>
      </c>
      <c r="P765" s="203" t="s">
        <v>365</v>
      </c>
    </row>
    <row r="766" spans="1:16" s="196" customFormat="1" ht="90" x14ac:dyDescent="0.2">
      <c r="A766" s="161">
        <v>2023820</v>
      </c>
      <c r="B766" s="120">
        <v>7655</v>
      </c>
      <c r="C766" s="162" t="s">
        <v>25</v>
      </c>
      <c r="D766" s="201" t="s">
        <v>216</v>
      </c>
      <c r="E766" s="203">
        <v>80111600</v>
      </c>
      <c r="F766" s="203" t="s">
        <v>777</v>
      </c>
      <c r="G766" s="204">
        <v>45184</v>
      </c>
      <c r="H766" s="204">
        <v>45184</v>
      </c>
      <c r="I766" s="202">
        <v>2</v>
      </c>
      <c r="J766" s="202" t="s">
        <v>20</v>
      </c>
      <c r="K766" s="205" t="s">
        <v>21</v>
      </c>
      <c r="L766" s="202" t="s">
        <v>27</v>
      </c>
      <c r="M766" s="231">
        <v>10000000</v>
      </c>
      <c r="N766" s="203" t="s">
        <v>28</v>
      </c>
      <c r="O766" s="203" t="s">
        <v>29</v>
      </c>
      <c r="P766" s="203" t="s">
        <v>365</v>
      </c>
    </row>
    <row r="767" spans="1:16" s="196" customFormat="1" ht="90" x14ac:dyDescent="0.2">
      <c r="A767" s="161">
        <v>2023821</v>
      </c>
      <c r="B767" s="120">
        <v>7655</v>
      </c>
      <c r="C767" s="162" t="s">
        <v>25</v>
      </c>
      <c r="D767" s="201" t="s">
        <v>205</v>
      </c>
      <c r="E767" s="203">
        <v>80111600</v>
      </c>
      <c r="F767" s="203" t="s">
        <v>779</v>
      </c>
      <c r="G767" s="204">
        <v>45184</v>
      </c>
      <c r="H767" s="204">
        <v>45184</v>
      </c>
      <c r="I767" s="202">
        <v>1</v>
      </c>
      <c r="J767" s="202" t="s">
        <v>20</v>
      </c>
      <c r="K767" s="205" t="s">
        <v>21</v>
      </c>
      <c r="L767" s="202" t="s">
        <v>27</v>
      </c>
      <c r="M767" s="231">
        <v>5000000</v>
      </c>
      <c r="N767" s="203" t="s">
        <v>28</v>
      </c>
      <c r="O767" s="203" t="s">
        <v>29</v>
      </c>
      <c r="P767" s="203" t="s">
        <v>365</v>
      </c>
    </row>
    <row r="768" spans="1:16" s="196" customFormat="1" ht="90" x14ac:dyDescent="0.2">
      <c r="A768" s="161">
        <v>2023822</v>
      </c>
      <c r="B768" s="120">
        <v>7658</v>
      </c>
      <c r="C768" s="162" t="s">
        <v>143</v>
      </c>
      <c r="D768" s="201" t="s">
        <v>222</v>
      </c>
      <c r="E768" s="203">
        <v>80111600</v>
      </c>
      <c r="F768" s="203" t="s">
        <v>781</v>
      </c>
      <c r="G768" s="204">
        <v>45200</v>
      </c>
      <c r="H768" s="204">
        <v>45204</v>
      </c>
      <c r="I768" s="202">
        <v>2</v>
      </c>
      <c r="J768" s="202" t="s">
        <v>20</v>
      </c>
      <c r="K768" s="205" t="s">
        <v>21</v>
      </c>
      <c r="L768" s="202" t="s">
        <v>27</v>
      </c>
      <c r="M768" s="189">
        <v>4500000</v>
      </c>
      <c r="N768" s="203" t="s">
        <v>225</v>
      </c>
      <c r="O768" s="203" t="s">
        <v>164</v>
      </c>
      <c r="P768" s="203" t="s">
        <v>365</v>
      </c>
    </row>
    <row r="769" spans="1:16" s="196" customFormat="1" ht="101.45" customHeight="1" x14ac:dyDescent="0.2">
      <c r="A769" s="161">
        <v>2023823</v>
      </c>
      <c r="B769" s="120">
        <v>7658</v>
      </c>
      <c r="C769" s="162" t="s">
        <v>143</v>
      </c>
      <c r="D769" s="201" t="s">
        <v>222</v>
      </c>
      <c r="E769" s="203">
        <v>80111600</v>
      </c>
      <c r="F769" s="203" t="s">
        <v>782</v>
      </c>
      <c r="G769" s="204">
        <v>45200</v>
      </c>
      <c r="H769" s="204">
        <v>45204</v>
      </c>
      <c r="I769" s="202">
        <v>2</v>
      </c>
      <c r="J769" s="202" t="s">
        <v>20</v>
      </c>
      <c r="K769" s="205" t="s">
        <v>21</v>
      </c>
      <c r="L769" s="202" t="s">
        <v>27</v>
      </c>
      <c r="M769" s="189">
        <v>4650000</v>
      </c>
      <c r="N769" s="203" t="s">
        <v>225</v>
      </c>
      <c r="O769" s="203" t="s">
        <v>164</v>
      </c>
      <c r="P769" s="203" t="s">
        <v>365</v>
      </c>
    </row>
    <row r="770" spans="1:16" s="196" customFormat="1" ht="90" x14ac:dyDescent="0.2">
      <c r="A770" s="161">
        <v>2023824</v>
      </c>
      <c r="B770" s="120">
        <v>7658</v>
      </c>
      <c r="C770" s="162" t="s">
        <v>143</v>
      </c>
      <c r="D770" s="201" t="s">
        <v>222</v>
      </c>
      <c r="E770" s="203">
        <v>80111600</v>
      </c>
      <c r="F770" s="203" t="s">
        <v>783</v>
      </c>
      <c r="G770" s="204">
        <v>45200</v>
      </c>
      <c r="H770" s="204">
        <v>45204</v>
      </c>
      <c r="I770" s="202">
        <v>2</v>
      </c>
      <c r="J770" s="202" t="s">
        <v>20</v>
      </c>
      <c r="K770" s="205" t="s">
        <v>21</v>
      </c>
      <c r="L770" s="202" t="s">
        <v>27</v>
      </c>
      <c r="M770" s="189">
        <v>4800000</v>
      </c>
      <c r="N770" s="203" t="s">
        <v>225</v>
      </c>
      <c r="O770" s="203" t="s">
        <v>164</v>
      </c>
      <c r="P770" s="203" t="s">
        <v>365</v>
      </c>
    </row>
    <row r="771" spans="1:16" s="196" customFormat="1" ht="91.5" customHeight="1" x14ac:dyDescent="0.2">
      <c r="A771" s="161">
        <v>2023825</v>
      </c>
      <c r="B771" s="120">
        <v>7658</v>
      </c>
      <c r="C771" s="162" t="s">
        <v>143</v>
      </c>
      <c r="D771" s="201" t="s">
        <v>222</v>
      </c>
      <c r="E771" s="203">
        <v>80111600</v>
      </c>
      <c r="F771" s="203" t="s">
        <v>784</v>
      </c>
      <c r="G771" s="204">
        <v>45200</v>
      </c>
      <c r="H771" s="204">
        <v>45204</v>
      </c>
      <c r="I771" s="202">
        <v>2</v>
      </c>
      <c r="J771" s="202" t="s">
        <v>20</v>
      </c>
      <c r="K771" s="205" t="s">
        <v>21</v>
      </c>
      <c r="L771" s="202" t="s">
        <v>27</v>
      </c>
      <c r="M771" s="189">
        <v>4800000</v>
      </c>
      <c r="N771" s="203" t="s">
        <v>225</v>
      </c>
      <c r="O771" s="203" t="s">
        <v>164</v>
      </c>
      <c r="P771" s="203" t="s">
        <v>365</v>
      </c>
    </row>
    <row r="772" spans="1:16" s="196" customFormat="1" ht="90" x14ac:dyDescent="0.2">
      <c r="A772" s="161">
        <v>2023826</v>
      </c>
      <c r="B772" s="120">
        <v>7658</v>
      </c>
      <c r="C772" s="162" t="s">
        <v>143</v>
      </c>
      <c r="D772" s="201" t="s">
        <v>222</v>
      </c>
      <c r="E772" s="203">
        <v>80111600</v>
      </c>
      <c r="F772" s="203" t="s">
        <v>785</v>
      </c>
      <c r="G772" s="204">
        <v>45200</v>
      </c>
      <c r="H772" s="204">
        <v>45204</v>
      </c>
      <c r="I772" s="202">
        <v>2</v>
      </c>
      <c r="J772" s="202" t="s">
        <v>20</v>
      </c>
      <c r="K772" s="205" t="s">
        <v>21</v>
      </c>
      <c r="L772" s="202" t="s">
        <v>27</v>
      </c>
      <c r="M772" s="189">
        <v>6000000</v>
      </c>
      <c r="N772" s="203" t="s">
        <v>225</v>
      </c>
      <c r="O772" s="203" t="s">
        <v>164</v>
      </c>
      <c r="P772" s="203" t="s">
        <v>365</v>
      </c>
    </row>
    <row r="773" spans="1:16" s="196" customFormat="1" ht="90" x14ac:dyDescent="0.2">
      <c r="A773" s="161">
        <v>2023827</v>
      </c>
      <c r="B773" s="120">
        <v>7658</v>
      </c>
      <c r="C773" s="162" t="s">
        <v>143</v>
      </c>
      <c r="D773" s="201" t="s">
        <v>222</v>
      </c>
      <c r="E773" s="203">
        <v>80111600</v>
      </c>
      <c r="F773" s="203" t="s">
        <v>786</v>
      </c>
      <c r="G773" s="204">
        <v>45200</v>
      </c>
      <c r="H773" s="204">
        <v>45204</v>
      </c>
      <c r="I773" s="202">
        <v>2</v>
      </c>
      <c r="J773" s="202" t="s">
        <v>20</v>
      </c>
      <c r="K773" s="205" t="s">
        <v>21</v>
      </c>
      <c r="L773" s="202" t="s">
        <v>27</v>
      </c>
      <c r="M773" s="189">
        <v>14083333</v>
      </c>
      <c r="N773" s="203" t="s">
        <v>225</v>
      </c>
      <c r="O773" s="203" t="s">
        <v>164</v>
      </c>
      <c r="P773" s="203" t="s">
        <v>365</v>
      </c>
    </row>
    <row r="774" spans="1:16" s="196" customFormat="1" ht="90" x14ac:dyDescent="0.2">
      <c r="A774" s="161">
        <v>2023828</v>
      </c>
      <c r="B774" s="120">
        <v>7658</v>
      </c>
      <c r="C774" s="162" t="s">
        <v>143</v>
      </c>
      <c r="D774" s="201" t="s">
        <v>222</v>
      </c>
      <c r="E774" s="203">
        <v>80111600</v>
      </c>
      <c r="F774" s="203" t="s">
        <v>787</v>
      </c>
      <c r="G774" s="204">
        <v>45200</v>
      </c>
      <c r="H774" s="204">
        <v>45204</v>
      </c>
      <c r="I774" s="202">
        <v>2</v>
      </c>
      <c r="J774" s="202" t="s">
        <v>20</v>
      </c>
      <c r="K774" s="205" t="s">
        <v>21</v>
      </c>
      <c r="L774" s="202" t="s">
        <v>27</v>
      </c>
      <c r="M774" s="189">
        <v>7333333</v>
      </c>
      <c r="N774" s="203" t="s">
        <v>225</v>
      </c>
      <c r="O774" s="203" t="s">
        <v>164</v>
      </c>
      <c r="P774" s="203" t="s">
        <v>365</v>
      </c>
    </row>
    <row r="775" spans="1:16" s="196" customFormat="1" ht="105" x14ac:dyDescent="0.2">
      <c r="A775" s="161">
        <v>2023829</v>
      </c>
      <c r="B775" s="120">
        <v>7658</v>
      </c>
      <c r="C775" s="162" t="s">
        <v>143</v>
      </c>
      <c r="D775" s="201" t="s">
        <v>222</v>
      </c>
      <c r="E775" s="203">
        <v>80111600</v>
      </c>
      <c r="F775" s="203" t="s">
        <v>788</v>
      </c>
      <c r="G775" s="204">
        <v>45200</v>
      </c>
      <c r="H775" s="204">
        <v>45204</v>
      </c>
      <c r="I775" s="202">
        <v>2</v>
      </c>
      <c r="J775" s="202" t="s">
        <v>20</v>
      </c>
      <c r="K775" s="205" t="s">
        <v>21</v>
      </c>
      <c r="L775" s="202" t="s">
        <v>27</v>
      </c>
      <c r="M775" s="189">
        <v>3000000</v>
      </c>
      <c r="N775" s="203" t="s">
        <v>225</v>
      </c>
      <c r="O775" s="203" t="s">
        <v>164</v>
      </c>
      <c r="P775" s="203" t="s">
        <v>365</v>
      </c>
    </row>
    <row r="776" spans="1:16" s="196" customFormat="1" ht="90" x14ac:dyDescent="0.2">
      <c r="A776" s="161">
        <v>2023830</v>
      </c>
      <c r="B776" s="120">
        <v>7658</v>
      </c>
      <c r="C776" s="162" t="s">
        <v>143</v>
      </c>
      <c r="D776" s="201" t="s">
        <v>222</v>
      </c>
      <c r="E776" s="203">
        <v>80111600</v>
      </c>
      <c r="F776" s="203" t="s">
        <v>789</v>
      </c>
      <c r="G776" s="204">
        <v>45200</v>
      </c>
      <c r="H776" s="204">
        <v>45204</v>
      </c>
      <c r="I776" s="202">
        <v>2</v>
      </c>
      <c r="J776" s="202" t="s">
        <v>20</v>
      </c>
      <c r="K776" s="205" t="s">
        <v>21</v>
      </c>
      <c r="L776" s="202" t="s">
        <v>27</v>
      </c>
      <c r="M776" s="189">
        <v>3000000</v>
      </c>
      <c r="N776" s="203" t="s">
        <v>225</v>
      </c>
      <c r="O776" s="203" t="s">
        <v>164</v>
      </c>
      <c r="P776" s="203" t="s">
        <v>365</v>
      </c>
    </row>
    <row r="777" spans="1:16" s="196" customFormat="1" ht="90" x14ac:dyDescent="0.2">
      <c r="A777" s="161">
        <v>2023831</v>
      </c>
      <c r="B777" s="120">
        <v>7658</v>
      </c>
      <c r="C777" s="162" t="s">
        <v>143</v>
      </c>
      <c r="D777" s="201" t="s">
        <v>222</v>
      </c>
      <c r="E777" s="203">
        <v>80111600</v>
      </c>
      <c r="F777" s="203" t="s">
        <v>790</v>
      </c>
      <c r="G777" s="204">
        <v>45200</v>
      </c>
      <c r="H777" s="204">
        <v>45204</v>
      </c>
      <c r="I777" s="202">
        <v>4</v>
      </c>
      <c r="J777" s="202" t="s">
        <v>20</v>
      </c>
      <c r="K777" s="205" t="s">
        <v>21</v>
      </c>
      <c r="L777" s="202" t="s">
        <v>27</v>
      </c>
      <c r="M777" s="189">
        <v>18000000</v>
      </c>
      <c r="N777" s="203" t="s">
        <v>225</v>
      </c>
      <c r="O777" s="203" t="s">
        <v>164</v>
      </c>
      <c r="P777" s="203" t="s">
        <v>24</v>
      </c>
    </row>
    <row r="778" spans="1:16" s="196" customFormat="1" ht="105" x14ac:dyDescent="0.2">
      <c r="A778" s="161">
        <v>2023832</v>
      </c>
      <c r="B778" s="120" t="s">
        <v>17</v>
      </c>
      <c r="C778" s="162" t="s">
        <v>17</v>
      </c>
      <c r="D778" s="201" t="s">
        <v>320</v>
      </c>
      <c r="E778" s="203" t="s">
        <v>405</v>
      </c>
      <c r="F778" s="203" t="s">
        <v>791</v>
      </c>
      <c r="G778" s="204">
        <v>45187</v>
      </c>
      <c r="H778" s="204">
        <v>45191</v>
      </c>
      <c r="I778" s="202" t="s">
        <v>386</v>
      </c>
      <c r="J778" s="202" t="s">
        <v>119</v>
      </c>
      <c r="K778" s="205" t="s">
        <v>21</v>
      </c>
      <c r="L778" s="202" t="s">
        <v>23</v>
      </c>
      <c r="M778" s="189">
        <v>8400000</v>
      </c>
      <c r="N778" s="203" t="s">
        <v>23</v>
      </c>
      <c r="O778" s="203" t="s">
        <v>23</v>
      </c>
      <c r="P778" s="203" t="s">
        <v>365</v>
      </c>
    </row>
    <row r="779" spans="1:16" s="196" customFormat="1" ht="30" x14ac:dyDescent="0.2">
      <c r="A779" s="161">
        <v>2023833</v>
      </c>
      <c r="B779" s="120" t="s">
        <v>17</v>
      </c>
      <c r="C779" s="162" t="s">
        <v>17</v>
      </c>
      <c r="D779" s="201" t="s">
        <v>320</v>
      </c>
      <c r="E779" s="203" t="s">
        <v>792</v>
      </c>
      <c r="F779" s="203" t="s">
        <v>793</v>
      </c>
      <c r="G779" s="204">
        <v>45187</v>
      </c>
      <c r="H779" s="204">
        <v>45191</v>
      </c>
      <c r="I779" s="202">
        <v>10</v>
      </c>
      <c r="J779" s="202" t="s">
        <v>119</v>
      </c>
      <c r="K779" s="205" t="s">
        <v>21</v>
      </c>
      <c r="L779" s="202" t="s">
        <v>23</v>
      </c>
      <c r="M779" s="189">
        <v>14865678</v>
      </c>
      <c r="N779" s="203" t="s">
        <v>23</v>
      </c>
      <c r="O779" s="203" t="s">
        <v>23</v>
      </c>
      <c r="P779" s="203" t="s">
        <v>24</v>
      </c>
    </row>
    <row r="780" spans="1:16" s="196" customFormat="1" ht="120" x14ac:dyDescent="0.2">
      <c r="A780" s="161">
        <v>2023834</v>
      </c>
      <c r="B780" s="120" t="s">
        <v>17</v>
      </c>
      <c r="C780" s="162" t="s">
        <v>17</v>
      </c>
      <c r="D780" s="201" t="s">
        <v>320</v>
      </c>
      <c r="E780" s="203" t="s">
        <v>395</v>
      </c>
      <c r="F780" s="203" t="s">
        <v>794</v>
      </c>
      <c r="G780" s="204">
        <v>45187</v>
      </c>
      <c r="H780" s="204">
        <v>45191</v>
      </c>
      <c r="I780" s="202" t="s">
        <v>386</v>
      </c>
      <c r="J780" s="202" t="s">
        <v>67</v>
      </c>
      <c r="K780" s="205" t="s">
        <v>21</v>
      </c>
      <c r="L780" s="202" t="s">
        <v>23</v>
      </c>
      <c r="M780" s="189">
        <v>30000000</v>
      </c>
      <c r="N780" s="203" t="s">
        <v>23</v>
      </c>
      <c r="O780" s="203" t="s">
        <v>23</v>
      </c>
      <c r="P780" s="203" t="s">
        <v>365</v>
      </c>
    </row>
    <row r="781" spans="1:16" s="196" customFormat="1" ht="45" x14ac:dyDescent="0.2">
      <c r="A781" s="161">
        <v>2023835</v>
      </c>
      <c r="B781" s="120">
        <v>7658</v>
      </c>
      <c r="C781" s="162" t="s">
        <v>143</v>
      </c>
      <c r="D781" s="201" t="s">
        <v>320</v>
      </c>
      <c r="E781" s="203" t="s">
        <v>386</v>
      </c>
      <c r="F781" s="203" t="s">
        <v>795</v>
      </c>
      <c r="G781" s="204" t="s">
        <v>386</v>
      </c>
      <c r="H781" s="204" t="s">
        <v>386</v>
      </c>
      <c r="I781" s="202" t="s">
        <v>386</v>
      </c>
      <c r="J781" s="202" t="s">
        <v>386</v>
      </c>
      <c r="K781" s="205" t="s">
        <v>387</v>
      </c>
      <c r="L781" s="202" t="s">
        <v>746</v>
      </c>
      <c r="M781" s="189">
        <v>17217745</v>
      </c>
      <c r="N781" s="203" t="s">
        <v>382</v>
      </c>
      <c r="O781" s="203" t="s">
        <v>383</v>
      </c>
      <c r="P781" s="203" t="s">
        <v>365</v>
      </c>
    </row>
    <row r="782" spans="1:16" s="196" customFormat="1" ht="90" x14ac:dyDescent="0.2">
      <c r="A782" s="161">
        <v>2023836</v>
      </c>
      <c r="B782" s="120">
        <v>7658</v>
      </c>
      <c r="C782" s="162" t="s">
        <v>143</v>
      </c>
      <c r="D782" s="201" t="s">
        <v>320</v>
      </c>
      <c r="E782" s="203">
        <v>80111600</v>
      </c>
      <c r="F782" s="203" t="s">
        <v>796</v>
      </c>
      <c r="G782" s="204">
        <v>45191</v>
      </c>
      <c r="H782" s="204">
        <v>45200</v>
      </c>
      <c r="I782" s="202">
        <v>3.5</v>
      </c>
      <c r="J782" s="202" t="s">
        <v>20</v>
      </c>
      <c r="K782" s="205" t="s">
        <v>21</v>
      </c>
      <c r="L782" s="202" t="s">
        <v>27</v>
      </c>
      <c r="M782" s="189">
        <v>26924310</v>
      </c>
      <c r="N782" s="203" t="s">
        <v>341</v>
      </c>
      <c r="O782" s="203" t="s">
        <v>164</v>
      </c>
      <c r="P782" s="203" t="s">
        <v>24</v>
      </c>
    </row>
    <row r="783" spans="1:16" s="196" customFormat="1" ht="105" x14ac:dyDescent="0.2">
      <c r="A783" s="4">
        <v>2023837</v>
      </c>
      <c r="B783" s="2">
        <v>7637</v>
      </c>
      <c r="C783" s="3" t="s">
        <v>74</v>
      </c>
      <c r="D783" s="191" t="s">
        <v>18</v>
      </c>
      <c r="E783" s="192">
        <v>80111600</v>
      </c>
      <c r="F783" s="191" t="s">
        <v>797</v>
      </c>
      <c r="G783" s="193">
        <v>45214</v>
      </c>
      <c r="H783" s="193">
        <v>45229</v>
      </c>
      <c r="I783" s="191">
        <v>2</v>
      </c>
      <c r="J783" s="191" t="s">
        <v>20</v>
      </c>
      <c r="K783" s="197" t="s">
        <v>21</v>
      </c>
      <c r="L783" s="191" t="s">
        <v>27</v>
      </c>
      <c r="M783" s="188">
        <v>13000000</v>
      </c>
      <c r="N783" s="192" t="s">
        <v>87</v>
      </c>
      <c r="O783" s="192" t="s">
        <v>77</v>
      </c>
      <c r="P783" s="192" t="s">
        <v>365</v>
      </c>
    </row>
    <row r="784" spans="1:16" s="196" customFormat="1" ht="75" x14ac:dyDescent="0.2">
      <c r="A784" s="161">
        <v>2023838</v>
      </c>
      <c r="B784" s="2">
        <v>7637</v>
      </c>
      <c r="C784" s="3" t="s">
        <v>74</v>
      </c>
      <c r="D784" s="191" t="s">
        <v>18</v>
      </c>
      <c r="E784" s="192">
        <v>80111600</v>
      </c>
      <c r="F784" s="191" t="s">
        <v>798</v>
      </c>
      <c r="G784" s="193">
        <v>45261</v>
      </c>
      <c r="H784" s="193">
        <v>45275</v>
      </c>
      <c r="I784" s="191">
        <v>1</v>
      </c>
      <c r="J784" s="191" t="s">
        <v>20</v>
      </c>
      <c r="K784" s="197" t="s">
        <v>21</v>
      </c>
      <c r="L784" s="191" t="s">
        <v>27</v>
      </c>
      <c r="M784" s="188">
        <v>5000000</v>
      </c>
      <c r="N784" s="192" t="s">
        <v>76</v>
      </c>
      <c r="O784" s="192" t="s">
        <v>77</v>
      </c>
      <c r="P784" s="192" t="s">
        <v>365</v>
      </c>
    </row>
    <row r="785" spans="1:16" s="196" customFormat="1" ht="105" x14ac:dyDescent="0.2">
      <c r="A785" s="161">
        <v>2023839</v>
      </c>
      <c r="B785" s="2">
        <v>7637</v>
      </c>
      <c r="C785" s="3" t="s">
        <v>74</v>
      </c>
      <c r="D785" s="191" t="s">
        <v>18</v>
      </c>
      <c r="E785" s="198">
        <v>80111600</v>
      </c>
      <c r="F785" s="191" t="s">
        <v>799</v>
      </c>
      <c r="G785" s="193">
        <v>45252</v>
      </c>
      <c r="H785" s="193">
        <v>45267</v>
      </c>
      <c r="I785" s="191">
        <v>1</v>
      </c>
      <c r="J785" s="191" t="s">
        <v>20</v>
      </c>
      <c r="K785" s="197" t="s">
        <v>21</v>
      </c>
      <c r="L785" s="191" t="s">
        <v>27</v>
      </c>
      <c r="M785" s="188">
        <v>6500000</v>
      </c>
      <c r="N785" s="198" t="s">
        <v>76</v>
      </c>
      <c r="O785" s="198" t="s">
        <v>77</v>
      </c>
      <c r="P785" s="192" t="s">
        <v>365</v>
      </c>
    </row>
    <row r="786" spans="1:16" s="196" customFormat="1" ht="120" x14ac:dyDescent="0.2">
      <c r="A786" s="161">
        <v>2023840</v>
      </c>
      <c r="B786" s="2">
        <v>7637</v>
      </c>
      <c r="C786" s="3" t="s">
        <v>74</v>
      </c>
      <c r="D786" s="191" t="s">
        <v>18</v>
      </c>
      <c r="E786" s="198">
        <v>80111600</v>
      </c>
      <c r="F786" s="191" t="s">
        <v>800</v>
      </c>
      <c r="G786" s="193">
        <v>45243</v>
      </c>
      <c r="H786" s="193">
        <v>45258</v>
      </c>
      <c r="I786" s="191">
        <v>1</v>
      </c>
      <c r="J786" s="191" t="s">
        <v>20</v>
      </c>
      <c r="K786" s="197" t="s">
        <v>21</v>
      </c>
      <c r="L786" s="191" t="s">
        <v>27</v>
      </c>
      <c r="M786" s="188">
        <v>6800000</v>
      </c>
      <c r="N786" s="198" t="s">
        <v>95</v>
      </c>
      <c r="O786" s="198" t="s">
        <v>77</v>
      </c>
      <c r="P786" s="192" t="s">
        <v>365</v>
      </c>
    </row>
    <row r="787" spans="1:16" s="196" customFormat="1" ht="90" x14ac:dyDescent="0.2">
      <c r="A787" s="161">
        <v>2023841</v>
      </c>
      <c r="B787" s="2">
        <v>7637</v>
      </c>
      <c r="C787" s="3" t="s">
        <v>74</v>
      </c>
      <c r="D787" s="191" t="s">
        <v>18</v>
      </c>
      <c r="E787" s="192">
        <v>80111600</v>
      </c>
      <c r="F787" s="191" t="s">
        <v>801</v>
      </c>
      <c r="G787" s="193">
        <v>45268</v>
      </c>
      <c r="H787" s="193">
        <v>45283</v>
      </c>
      <c r="I787" s="191">
        <v>1</v>
      </c>
      <c r="J787" s="191" t="s">
        <v>20</v>
      </c>
      <c r="K787" s="197" t="s">
        <v>21</v>
      </c>
      <c r="L787" s="191" t="s">
        <v>27</v>
      </c>
      <c r="M787" s="188">
        <v>6500000</v>
      </c>
      <c r="N787" s="192" t="s">
        <v>76</v>
      </c>
      <c r="O787" s="192" t="s">
        <v>77</v>
      </c>
      <c r="P787" s="192" t="s">
        <v>365</v>
      </c>
    </row>
    <row r="788" spans="1:16" s="196" customFormat="1" ht="75" x14ac:dyDescent="0.2">
      <c r="A788" s="161">
        <v>2023842</v>
      </c>
      <c r="B788" s="2">
        <v>7637</v>
      </c>
      <c r="C788" s="3" t="s">
        <v>74</v>
      </c>
      <c r="D788" s="191" t="s">
        <v>18</v>
      </c>
      <c r="E788" s="192">
        <v>80111600</v>
      </c>
      <c r="F788" s="191" t="s">
        <v>802</v>
      </c>
      <c r="G788" s="193">
        <v>45189</v>
      </c>
      <c r="H788" s="193">
        <v>45204</v>
      </c>
      <c r="I788" s="191">
        <v>2</v>
      </c>
      <c r="J788" s="191" t="s">
        <v>20</v>
      </c>
      <c r="K788" s="197" t="s">
        <v>21</v>
      </c>
      <c r="L788" s="191" t="s">
        <v>27</v>
      </c>
      <c r="M788" s="188">
        <f>6300000+5700000</f>
        <v>12000000</v>
      </c>
      <c r="N788" s="192" t="s">
        <v>95</v>
      </c>
      <c r="O788" s="192" t="s">
        <v>77</v>
      </c>
      <c r="P788" s="192" t="s">
        <v>24</v>
      </c>
    </row>
    <row r="789" spans="1:16" s="196" customFormat="1" ht="90" x14ac:dyDescent="0.2">
      <c r="A789" s="161">
        <v>2023843</v>
      </c>
      <c r="B789" s="2">
        <v>7655</v>
      </c>
      <c r="C789" s="3" t="s">
        <v>25</v>
      </c>
      <c r="D789" s="191" t="s">
        <v>18</v>
      </c>
      <c r="E789" s="192">
        <v>80111600</v>
      </c>
      <c r="F789" s="192" t="s">
        <v>803</v>
      </c>
      <c r="G789" s="193">
        <v>45187</v>
      </c>
      <c r="H789" s="193">
        <v>45202</v>
      </c>
      <c r="I789" s="191">
        <v>4</v>
      </c>
      <c r="J789" s="191" t="s">
        <v>20</v>
      </c>
      <c r="K789" s="197" t="s">
        <v>387</v>
      </c>
      <c r="L789" s="191" t="s">
        <v>27</v>
      </c>
      <c r="M789" s="230">
        <v>32000000</v>
      </c>
      <c r="N789" s="192" t="s">
        <v>28</v>
      </c>
      <c r="O789" s="192" t="s">
        <v>29</v>
      </c>
      <c r="P789" s="192" t="s">
        <v>365</v>
      </c>
    </row>
    <row r="790" spans="1:16" s="196" customFormat="1" ht="90" x14ac:dyDescent="0.2">
      <c r="A790" s="161">
        <v>2023844</v>
      </c>
      <c r="B790" s="2">
        <v>7655</v>
      </c>
      <c r="C790" s="3" t="s">
        <v>25</v>
      </c>
      <c r="D790" s="191" t="s">
        <v>320</v>
      </c>
      <c r="E790" s="192">
        <v>80111600</v>
      </c>
      <c r="F790" s="192" t="s">
        <v>804</v>
      </c>
      <c r="G790" s="193">
        <v>45187</v>
      </c>
      <c r="H790" s="193">
        <v>45191</v>
      </c>
      <c r="I790" s="191">
        <v>1</v>
      </c>
      <c r="J790" s="191" t="s">
        <v>20</v>
      </c>
      <c r="K790" s="197" t="s">
        <v>21</v>
      </c>
      <c r="L790" s="191" t="s">
        <v>27</v>
      </c>
      <c r="M790" s="230">
        <v>3350000</v>
      </c>
      <c r="N790" s="192" t="s">
        <v>28</v>
      </c>
      <c r="O790" s="192" t="s">
        <v>29</v>
      </c>
      <c r="P790" s="192" t="s">
        <v>365</v>
      </c>
    </row>
    <row r="791" spans="1:16" s="196" customFormat="1" ht="60" x14ac:dyDescent="0.2">
      <c r="A791" s="161">
        <v>2023845</v>
      </c>
      <c r="B791" s="2">
        <v>7655</v>
      </c>
      <c r="C791" s="3" t="s">
        <v>25</v>
      </c>
      <c r="D791" s="191" t="s">
        <v>320</v>
      </c>
      <c r="E791" s="192">
        <v>80111600</v>
      </c>
      <c r="F791" s="192" t="s">
        <v>805</v>
      </c>
      <c r="G791" s="193">
        <v>45187</v>
      </c>
      <c r="H791" s="193">
        <v>45191</v>
      </c>
      <c r="I791" s="191" t="s">
        <v>806</v>
      </c>
      <c r="J791" s="191" t="s">
        <v>20</v>
      </c>
      <c r="K791" s="197" t="s">
        <v>21</v>
      </c>
      <c r="L791" s="191" t="s">
        <v>27</v>
      </c>
      <c r="M791" s="230">
        <v>11085760</v>
      </c>
      <c r="N791" s="192" t="s">
        <v>28</v>
      </c>
      <c r="O791" s="192" t="s">
        <v>29</v>
      </c>
      <c r="P791" s="192" t="s">
        <v>365</v>
      </c>
    </row>
    <row r="792" spans="1:16" s="196" customFormat="1" ht="75" x14ac:dyDescent="0.2">
      <c r="A792" s="161">
        <v>2023846</v>
      </c>
      <c r="B792" s="2">
        <v>7655</v>
      </c>
      <c r="C792" s="3" t="s">
        <v>25</v>
      </c>
      <c r="D792" s="191" t="s">
        <v>320</v>
      </c>
      <c r="E792" s="192">
        <v>80111600</v>
      </c>
      <c r="F792" s="192" t="s">
        <v>807</v>
      </c>
      <c r="G792" s="193">
        <v>45187</v>
      </c>
      <c r="H792" s="193">
        <v>45191</v>
      </c>
      <c r="I792" s="191">
        <v>2</v>
      </c>
      <c r="J792" s="191" t="s">
        <v>20</v>
      </c>
      <c r="K792" s="197" t="s">
        <v>21</v>
      </c>
      <c r="L792" s="191" t="s">
        <v>27</v>
      </c>
      <c r="M792" s="230">
        <v>4900000</v>
      </c>
      <c r="N792" s="192" t="s">
        <v>28</v>
      </c>
      <c r="O792" s="192" t="s">
        <v>29</v>
      </c>
      <c r="P792" s="192" t="s">
        <v>365</v>
      </c>
    </row>
    <row r="793" spans="1:16" s="196" customFormat="1" ht="60" x14ac:dyDescent="0.2">
      <c r="A793" s="161">
        <v>2023847</v>
      </c>
      <c r="B793" s="2">
        <v>7655</v>
      </c>
      <c r="C793" s="3" t="s">
        <v>25</v>
      </c>
      <c r="D793" s="191" t="s">
        <v>320</v>
      </c>
      <c r="E793" s="192">
        <v>80111600</v>
      </c>
      <c r="F793" s="192" t="s">
        <v>808</v>
      </c>
      <c r="G793" s="193">
        <v>45187</v>
      </c>
      <c r="H793" s="193">
        <v>45191</v>
      </c>
      <c r="I793" s="191">
        <v>1</v>
      </c>
      <c r="J793" s="191" t="s">
        <v>20</v>
      </c>
      <c r="K793" s="197" t="s">
        <v>21</v>
      </c>
      <c r="L793" s="191" t="s">
        <v>27</v>
      </c>
      <c r="M793" s="230">
        <v>2450000</v>
      </c>
      <c r="N793" s="192" t="s">
        <v>28</v>
      </c>
      <c r="O793" s="192" t="s">
        <v>29</v>
      </c>
      <c r="P793" s="192" t="s">
        <v>365</v>
      </c>
    </row>
    <row r="794" spans="1:16" s="196" customFormat="1" ht="60" x14ac:dyDescent="0.2">
      <c r="A794" s="161">
        <v>2023848</v>
      </c>
      <c r="B794" s="2">
        <v>7655</v>
      </c>
      <c r="C794" s="3" t="s">
        <v>25</v>
      </c>
      <c r="D794" s="191" t="s">
        <v>320</v>
      </c>
      <c r="E794" s="192">
        <v>80111600</v>
      </c>
      <c r="F794" s="192" t="s">
        <v>809</v>
      </c>
      <c r="G794" s="193">
        <v>45187</v>
      </c>
      <c r="H794" s="193">
        <v>45191</v>
      </c>
      <c r="I794" s="191" t="s">
        <v>810</v>
      </c>
      <c r="J794" s="191" t="s">
        <v>20</v>
      </c>
      <c r="K794" s="197" t="s">
        <v>21</v>
      </c>
      <c r="L794" s="191" t="s">
        <v>27</v>
      </c>
      <c r="M794" s="230">
        <v>17000000</v>
      </c>
      <c r="N794" s="192" t="s">
        <v>28</v>
      </c>
      <c r="O794" s="192" t="s">
        <v>29</v>
      </c>
      <c r="P794" s="192" t="s">
        <v>365</v>
      </c>
    </row>
    <row r="795" spans="1:16" s="196" customFormat="1" ht="60" x14ac:dyDescent="0.2">
      <c r="A795" s="161">
        <v>2023849</v>
      </c>
      <c r="B795" s="2">
        <v>7655</v>
      </c>
      <c r="C795" s="3" t="s">
        <v>25</v>
      </c>
      <c r="D795" s="191" t="s">
        <v>320</v>
      </c>
      <c r="E795" s="192">
        <v>80111600</v>
      </c>
      <c r="F795" s="192" t="s">
        <v>811</v>
      </c>
      <c r="G795" s="193">
        <v>45187</v>
      </c>
      <c r="H795" s="193">
        <v>45191</v>
      </c>
      <c r="I795" s="191">
        <v>3</v>
      </c>
      <c r="J795" s="191" t="s">
        <v>20</v>
      </c>
      <c r="K795" s="197" t="s">
        <v>21</v>
      </c>
      <c r="L795" s="191" t="s">
        <v>27</v>
      </c>
      <c r="M795" s="230">
        <v>7350000</v>
      </c>
      <c r="N795" s="192" t="s">
        <v>28</v>
      </c>
      <c r="O795" s="192" t="s">
        <v>29</v>
      </c>
      <c r="P795" s="192" t="s">
        <v>365</v>
      </c>
    </row>
    <row r="796" spans="1:16" s="196" customFormat="1" ht="75" x14ac:dyDescent="0.2">
      <c r="A796" s="161">
        <v>2023850</v>
      </c>
      <c r="B796" s="2">
        <v>7655</v>
      </c>
      <c r="C796" s="3" t="s">
        <v>25</v>
      </c>
      <c r="D796" s="191" t="s">
        <v>320</v>
      </c>
      <c r="E796" s="192">
        <v>80111600</v>
      </c>
      <c r="F796" s="192" t="s">
        <v>812</v>
      </c>
      <c r="G796" s="193">
        <v>45187</v>
      </c>
      <c r="H796" s="193">
        <v>45191</v>
      </c>
      <c r="I796" s="191">
        <v>2</v>
      </c>
      <c r="J796" s="191" t="s">
        <v>20</v>
      </c>
      <c r="K796" s="197" t="s">
        <v>21</v>
      </c>
      <c r="L796" s="191" t="s">
        <v>27</v>
      </c>
      <c r="M796" s="230">
        <v>4900000</v>
      </c>
      <c r="N796" s="192" t="s">
        <v>28</v>
      </c>
      <c r="O796" s="192" t="s">
        <v>29</v>
      </c>
      <c r="P796" s="192" t="s">
        <v>365</v>
      </c>
    </row>
    <row r="797" spans="1:16" s="196" customFormat="1" ht="75" x14ac:dyDescent="0.2">
      <c r="A797" s="161">
        <v>2023851</v>
      </c>
      <c r="B797" s="2">
        <v>7655</v>
      </c>
      <c r="C797" s="3" t="s">
        <v>25</v>
      </c>
      <c r="D797" s="191" t="s">
        <v>320</v>
      </c>
      <c r="E797" s="192">
        <v>80111600</v>
      </c>
      <c r="F797" s="192" t="s">
        <v>813</v>
      </c>
      <c r="G797" s="193">
        <v>45187</v>
      </c>
      <c r="H797" s="193">
        <v>45191</v>
      </c>
      <c r="I797" s="191">
        <v>2</v>
      </c>
      <c r="J797" s="191" t="s">
        <v>20</v>
      </c>
      <c r="K797" s="197" t="s">
        <v>21</v>
      </c>
      <c r="L797" s="191" t="s">
        <v>27</v>
      </c>
      <c r="M797" s="230">
        <v>4900000</v>
      </c>
      <c r="N797" s="192" t="s">
        <v>28</v>
      </c>
      <c r="O797" s="192" t="s">
        <v>29</v>
      </c>
      <c r="P797" s="192" t="s">
        <v>365</v>
      </c>
    </row>
    <row r="798" spans="1:16" s="196" customFormat="1" ht="75" x14ac:dyDescent="0.2">
      <c r="A798" s="161">
        <v>2023852</v>
      </c>
      <c r="B798" s="2">
        <v>7655</v>
      </c>
      <c r="C798" s="3" t="s">
        <v>25</v>
      </c>
      <c r="D798" s="191" t="s">
        <v>320</v>
      </c>
      <c r="E798" s="192">
        <v>80111600</v>
      </c>
      <c r="F798" s="192" t="s">
        <v>814</v>
      </c>
      <c r="G798" s="193">
        <v>45187</v>
      </c>
      <c r="H798" s="193">
        <v>45191</v>
      </c>
      <c r="I798" s="191">
        <v>2</v>
      </c>
      <c r="J798" s="191" t="s">
        <v>20</v>
      </c>
      <c r="K798" s="197" t="s">
        <v>21</v>
      </c>
      <c r="L798" s="191" t="s">
        <v>27</v>
      </c>
      <c r="M798" s="230">
        <v>4900000</v>
      </c>
      <c r="N798" s="192" t="s">
        <v>28</v>
      </c>
      <c r="O798" s="192" t="s">
        <v>29</v>
      </c>
      <c r="P798" s="192" t="s">
        <v>365</v>
      </c>
    </row>
    <row r="799" spans="1:16" s="196" customFormat="1" ht="75" x14ac:dyDescent="0.2">
      <c r="A799" s="161">
        <v>2023853</v>
      </c>
      <c r="B799" s="2">
        <v>7655</v>
      </c>
      <c r="C799" s="3" t="s">
        <v>25</v>
      </c>
      <c r="D799" s="191" t="s">
        <v>320</v>
      </c>
      <c r="E799" s="192">
        <v>80111600</v>
      </c>
      <c r="F799" s="192" t="s">
        <v>815</v>
      </c>
      <c r="G799" s="193">
        <v>45187</v>
      </c>
      <c r="H799" s="193">
        <v>45191</v>
      </c>
      <c r="I799" s="191" t="s">
        <v>810</v>
      </c>
      <c r="J799" s="191" t="s">
        <v>20</v>
      </c>
      <c r="K799" s="197" t="s">
        <v>21</v>
      </c>
      <c r="L799" s="191" t="s">
        <v>27</v>
      </c>
      <c r="M799" s="230">
        <v>6125000</v>
      </c>
      <c r="N799" s="192" t="s">
        <v>28</v>
      </c>
      <c r="O799" s="192" t="s">
        <v>29</v>
      </c>
      <c r="P799" s="192" t="s">
        <v>365</v>
      </c>
    </row>
    <row r="800" spans="1:16" s="196" customFormat="1" ht="120" x14ac:dyDescent="0.2">
      <c r="A800" s="161">
        <v>2023854</v>
      </c>
      <c r="B800" s="2">
        <v>7655</v>
      </c>
      <c r="C800" s="3" t="s">
        <v>25</v>
      </c>
      <c r="D800" s="191" t="s">
        <v>320</v>
      </c>
      <c r="E800" s="192">
        <v>80111600</v>
      </c>
      <c r="F800" s="192" t="s">
        <v>816</v>
      </c>
      <c r="G800" s="193">
        <v>45187</v>
      </c>
      <c r="H800" s="193">
        <v>45191</v>
      </c>
      <c r="I800" s="191">
        <v>1</v>
      </c>
      <c r="J800" s="191" t="s">
        <v>20</v>
      </c>
      <c r="K800" s="197" t="s">
        <v>21</v>
      </c>
      <c r="L800" s="191" t="s">
        <v>27</v>
      </c>
      <c r="M800" s="230">
        <v>7300000</v>
      </c>
      <c r="N800" s="192" t="s">
        <v>28</v>
      </c>
      <c r="O800" s="192" t="s">
        <v>29</v>
      </c>
      <c r="P800" s="192" t="s">
        <v>365</v>
      </c>
    </row>
    <row r="801" spans="1:16" s="196" customFormat="1" ht="60" x14ac:dyDescent="0.2">
      <c r="A801" s="161">
        <v>2023855</v>
      </c>
      <c r="B801" s="2" t="s">
        <v>17</v>
      </c>
      <c r="C801" s="3" t="s">
        <v>17</v>
      </c>
      <c r="D801" s="191" t="s">
        <v>320</v>
      </c>
      <c r="E801" s="192">
        <v>80111600</v>
      </c>
      <c r="F801" s="192" t="s">
        <v>817</v>
      </c>
      <c r="G801" s="193">
        <v>45187</v>
      </c>
      <c r="H801" s="193">
        <v>45191</v>
      </c>
      <c r="I801" s="191">
        <v>2</v>
      </c>
      <c r="J801" s="191" t="s">
        <v>20</v>
      </c>
      <c r="K801" s="197" t="s">
        <v>21</v>
      </c>
      <c r="L801" s="191" t="s">
        <v>23</v>
      </c>
      <c r="M801" s="200">
        <v>4900000</v>
      </c>
      <c r="N801" s="192" t="s">
        <v>23</v>
      </c>
      <c r="O801" s="192" t="s">
        <v>23</v>
      </c>
      <c r="P801" s="192" t="s">
        <v>365</v>
      </c>
    </row>
    <row r="802" spans="1:16" s="196" customFormat="1" ht="90" x14ac:dyDescent="0.2">
      <c r="A802" s="161">
        <v>2023856</v>
      </c>
      <c r="B802" s="2" t="s">
        <v>17</v>
      </c>
      <c r="C802" s="3" t="s">
        <v>17</v>
      </c>
      <c r="D802" s="191" t="s">
        <v>320</v>
      </c>
      <c r="E802" s="192">
        <v>80111600</v>
      </c>
      <c r="F802" s="192" t="s">
        <v>818</v>
      </c>
      <c r="G802" s="193">
        <v>45187</v>
      </c>
      <c r="H802" s="193">
        <v>45191</v>
      </c>
      <c r="I802" s="191">
        <v>2</v>
      </c>
      <c r="J802" s="191" t="s">
        <v>20</v>
      </c>
      <c r="K802" s="197" t="s">
        <v>21</v>
      </c>
      <c r="L802" s="191" t="s">
        <v>23</v>
      </c>
      <c r="M802" s="200">
        <v>8000000</v>
      </c>
      <c r="N802" s="192" t="s">
        <v>23</v>
      </c>
      <c r="O802" s="192" t="s">
        <v>23</v>
      </c>
      <c r="P802" s="192" t="s">
        <v>365</v>
      </c>
    </row>
    <row r="803" spans="1:16" s="196" customFormat="1" ht="60" x14ac:dyDescent="0.2">
      <c r="A803" s="161">
        <v>2023857</v>
      </c>
      <c r="B803" s="2" t="s">
        <v>17</v>
      </c>
      <c r="C803" s="3" t="s">
        <v>17</v>
      </c>
      <c r="D803" s="191" t="s">
        <v>320</v>
      </c>
      <c r="E803" s="192">
        <v>80111600</v>
      </c>
      <c r="F803" s="192" t="s">
        <v>819</v>
      </c>
      <c r="G803" s="193">
        <v>45187</v>
      </c>
      <c r="H803" s="193">
        <v>45191</v>
      </c>
      <c r="I803" s="191">
        <v>2</v>
      </c>
      <c r="J803" s="191" t="s">
        <v>20</v>
      </c>
      <c r="K803" s="197" t="s">
        <v>21</v>
      </c>
      <c r="L803" s="191" t="s">
        <v>23</v>
      </c>
      <c r="M803" s="200">
        <v>4900000</v>
      </c>
      <c r="N803" s="192" t="s">
        <v>23</v>
      </c>
      <c r="O803" s="192" t="s">
        <v>23</v>
      </c>
      <c r="P803" s="192" t="s">
        <v>365</v>
      </c>
    </row>
    <row r="804" spans="1:16" s="196" customFormat="1" ht="75" x14ac:dyDescent="0.2">
      <c r="A804" s="161">
        <v>2023858</v>
      </c>
      <c r="B804" s="2" t="s">
        <v>17</v>
      </c>
      <c r="C804" s="3" t="s">
        <v>17</v>
      </c>
      <c r="D804" s="191" t="s">
        <v>320</v>
      </c>
      <c r="E804" s="192">
        <v>80111600</v>
      </c>
      <c r="F804" s="192" t="s">
        <v>820</v>
      </c>
      <c r="G804" s="193">
        <v>45187</v>
      </c>
      <c r="H804" s="193">
        <v>45191</v>
      </c>
      <c r="I804" s="191">
        <v>3</v>
      </c>
      <c r="J804" s="191" t="s">
        <v>20</v>
      </c>
      <c r="K804" s="197" t="s">
        <v>21</v>
      </c>
      <c r="L804" s="191" t="s">
        <v>23</v>
      </c>
      <c r="M804" s="200">
        <v>20400000</v>
      </c>
      <c r="N804" s="192" t="s">
        <v>23</v>
      </c>
      <c r="O804" s="192" t="s">
        <v>23</v>
      </c>
      <c r="P804" s="192" t="s">
        <v>365</v>
      </c>
    </row>
    <row r="805" spans="1:16" s="196" customFormat="1" ht="45" x14ac:dyDescent="0.2">
      <c r="A805" s="161">
        <v>2023859</v>
      </c>
      <c r="B805" s="2" t="s">
        <v>17</v>
      </c>
      <c r="C805" s="3" t="s">
        <v>17</v>
      </c>
      <c r="D805" s="191" t="s">
        <v>320</v>
      </c>
      <c r="E805" s="192">
        <v>80111600</v>
      </c>
      <c r="F805" s="192" t="s">
        <v>424</v>
      </c>
      <c r="G805" s="193">
        <v>45187</v>
      </c>
      <c r="H805" s="193">
        <v>45191</v>
      </c>
      <c r="I805" s="191">
        <v>2</v>
      </c>
      <c r="J805" s="191" t="s">
        <v>20</v>
      </c>
      <c r="K805" s="197" t="s">
        <v>21</v>
      </c>
      <c r="L805" s="191" t="s">
        <v>23</v>
      </c>
      <c r="M805" s="200">
        <v>4200000</v>
      </c>
      <c r="N805" s="192" t="s">
        <v>23</v>
      </c>
      <c r="O805" s="192" t="s">
        <v>23</v>
      </c>
      <c r="P805" s="192" t="s">
        <v>24</v>
      </c>
    </row>
    <row r="806" spans="1:16" s="196" customFormat="1" ht="45" x14ac:dyDescent="0.2">
      <c r="A806" s="161">
        <v>2023860</v>
      </c>
      <c r="B806" s="2" t="s">
        <v>17</v>
      </c>
      <c r="C806" s="3" t="s">
        <v>17</v>
      </c>
      <c r="D806" s="191" t="s">
        <v>320</v>
      </c>
      <c r="E806" s="192">
        <v>80111600</v>
      </c>
      <c r="F806" s="192" t="s">
        <v>821</v>
      </c>
      <c r="G806" s="193">
        <v>45187</v>
      </c>
      <c r="H806" s="193">
        <v>45191</v>
      </c>
      <c r="I806" s="191">
        <v>2</v>
      </c>
      <c r="J806" s="191" t="s">
        <v>20</v>
      </c>
      <c r="K806" s="197" t="s">
        <v>21</v>
      </c>
      <c r="L806" s="191" t="s">
        <v>23</v>
      </c>
      <c r="M806" s="200">
        <v>4900000</v>
      </c>
      <c r="N806" s="192" t="s">
        <v>23</v>
      </c>
      <c r="O806" s="192" t="s">
        <v>23</v>
      </c>
      <c r="P806" s="192" t="s">
        <v>24</v>
      </c>
    </row>
    <row r="807" spans="1:16" s="196" customFormat="1" ht="45" x14ac:dyDescent="0.2">
      <c r="A807" s="161">
        <v>2023861</v>
      </c>
      <c r="B807" s="2" t="s">
        <v>17</v>
      </c>
      <c r="C807" s="3" t="s">
        <v>17</v>
      </c>
      <c r="D807" s="191" t="s">
        <v>320</v>
      </c>
      <c r="E807" s="192">
        <v>80111600</v>
      </c>
      <c r="F807" s="192" t="s">
        <v>426</v>
      </c>
      <c r="G807" s="193">
        <v>45187</v>
      </c>
      <c r="H807" s="193">
        <v>45191</v>
      </c>
      <c r="I807" s="191">
        <v>3</v>
      </c>
      <c r="J807" s="191" t="s">
        <v>20</v>
      </c>
      <c r="K807" s="197" t="s">
        <v>21</v>
      </c>
      <c r="L807" s="191" t="s">
        <v>23</v>
      </c>
      <c r="M807" s="200">
        <v>14100000</v>
      </c>
      <c r="N807" s="192" t="s">
        <v>23</v>
      </c>
      <c r="O807" s="192" t="s">
        <v>23</v>
      </c>
      <c r="P807" s="192" t="s">
        <v>24</v>
      </c>
    </row>
    <row r="808" spans="1:16" s="196" customFormat="1" ht="75" x14ac:dyDescent="0.2">
      <c r="A808" s="161">
        <v>2023862</v>
      </c>
      <c r="B808" s="2" t="s">
        <v>17</v>
      </c>
      <c r="C808" s="3" t="s">
        <v>17</v>
      </c>
      <c r="D808" s="191" t="s">
        <v>320</v>
      </c>
      <c r="E808" s="192">
        <v>80111600</v>
      </c>
      <c r="F808" s="192" t="s">
        <v>434</v>
      </c>
      <c r="G808" s="193">
        <v>45187</v>
      </c>
      <c r="H808" s="193">
        <v>45191</v>
      </c>
      <c r="I808" s="191">
        <v>4</v>
      </c>
      <c r="J808" s="191" t="s">
        <v>20</v>
      </c>
      <c r="K808" s="197" t="s">
        <v>21</v>
      </c>
      <c r="L808" s="191" t="s">
        <v>23</v>
      </c>
      <c r="M808" s="200">
        <v>20000000</v>
      </c>
      <c r="N808" s="192" t="s">
        <v>23</v>
      </c>
      <c r="O808" s="192" t="s">
        <v>23</v>
      </c>
      <c r="P808" s="192" t="s">
        <v>24</v>
      </c>
    </row>
    <row r="809" spans="1:16" s="196" customFormat="1" ht="60" x14ac:dyDescent="0.2">
      <c r="A809" s="161">
        <v>2023863</v>
      </c>
      <c r="B809" s="2" t="s">
        <v>17</v>
      </c>
      <c r="C809" s="3" t="s">
        <v>17</v>
      </c>
      <c r="D809" s="191" t="s">
        <v>320</v>
      </c>
      <c r="E809" s="192">
        <v>80111600</v>
      </c>
      <c r="F809" s="192" t="s">
        <v>822</v>
      </c>
      <c r="G809" s="193">
        <v>45187</v>
      </c>
      <c r="H809" s="193">
        <v>45191</v>
      </c>
      <c r="I809" s="191">
        <v>4</v>
      </c>
      <c r="J809" s="191" t="s">
        <v>20</v>
      </c>
      <c r="K809" s="197" t="s">
        <v>21</v>
      </c>
      <c r="L809" s="191" t="s">
        <v>23</v>
      </c>
      <c r="M809" s="200">
        <v>32000000</v>
      </c>
      <c r="N809" s="192" t="s">
        <v>23</v>
      </c>
      <c r="O809" s="192" t="s">
        <v>23</v>
      </c>
      <c r="P809" s="192" t="s">
        <v>24</v>
      </c>
    </row>
    <row r="810" spans="1:16" s="196" customFormat="1" ht="60" x14ac:dyDescent="0.2">
      <c r="A810" s="2">
        <v>2023864</v>
      </c>
      <c r="B810" s="2">
        <v>7655</v>
      </c>
      <c r="C810" s="3" t="s">
        <v>25</v>
      </c>
      <c r="D810" s="191" t="s">
        <v>48</v>
      </c>
      <c r="E810" s="192">
        <v>80111600</v>
      </c>
      <c r="F810" s="192" t="s">
        <v>829</v>
      </c>
      <c r="G810" s="193">
        <v>45207</v>
      </c>
      <c r="H810" s="193">
        <v>45207</v>
      </c>
      <c r="I810" s="191">
        <v>2.1</v>
      </c>
      <c r="J810" s="191" t="s">
        <v>20</v>
      </c>
      <c r="K810" s="197" t="s">
        <v>21</v>
      </c>
      <c r="L810" s="191" t="s">
        <v>51</v>
      </c>
      <c r="M810" s="230">
        <v>59298000</v>
      </c>
      <c r="N810" s="192" t="s">
        <v>28</v>
      </c>
      <c r="O810" s="192" t="s">
        <v>29</v>
      </c>
      <c r="P810" s="192" t="s">
        <v>365</v>
      </c>
    </row>
    <row r="811" spans="1:16" s="196" customFormat="1" ht="105" x14ac:dyDescent="0.2">
      <c r="A811" s="2">
        <v>2023865</v>
      </c>
      <c r="B811" s="2">
        <v>7655</v>
      </c>
      <c r="C811" s="3" t="s">
        <v>25</v>
      </c>
      <c r="D811" s="191" t="s">
        <v>205</v>
      </c>
      <c r="E811" s="192">
        <v>80111600</v>
      </c>
      <c r="F811" s="192" t="s">
        <v>830</v>
      </c>
      <c r="G811" s="193">
        <v>45195</v>
      </c>
      <c r="H811" s="193">
        <v>45199</v>
      </c>
      <c r="I811" s="191">
        <v>2</v>
      </c>
      <c r="J811" s="191" t="s">
        <v>20</v>
      </c>
      <c r="K811" s="197" t="s">
        <v>21</v>
      </c>
      <c r="L811" s="191" t="s">
        <v>27</v>
      </c>
      <c r="M811" s="230">
        <v>12400000</v>
      </c>
      <c r="N811" s="192" t="s">
        <v>28</v>
      </c>
      <c r="O811" s="192" t="s">
        <v>29</v>
      </c>
      <c r="P811" s="192" t="s">
        <v>365</v>
      </c>
    </row>
    <row r="812" spans="1:16" s="196" customFormat="1" ht="75" x14ac:dyDescent="0.2">
      <c r="A812" s="2">
        <v>2023866</v>
      </c>
      <c r="B812" s="2">
        <v>7658</v>
      </c>
      <c r="C812" s="3" t="s">
        <v>143</v>
      </c>
      <c r="D812" s="191" t="s">
        <v>282</v>
      </c>
      <c r="E812" s="192">
        <v>80111600</v>
      </c>
      <c r="F812" s="192" t="s">
        <v>319</v>
      </c>
      <c r="G812" s="193">
        <v>45063</v>
      </c>
      <c r="H812" s="193">
        <v>45063</v>
      </c>
      <c r="I812" s="191">
        <v>2</v>
      </c>
      <c r="J812" s="191" t="s">
        <v>20</v>
      </c>
      <c r="K812" s="197" t="s">
        <v>21</v>
      </c>
      <c r="L812" s="191" t="s">
        <v>27</v>
      </c>
      <c r="M812" s="200">
        <v>10000000</v>
      </c>
      <c r="N812" s="192" t="s">
        <v>286</v>
      </c>
      <c r="O812" s="192" t="s">
        <v>287</v>
      </c>
      <c r="P812" s="192" t="s">
        <v>24</v>
      </c>
    </row>
    <row r="813" spans="1:16" s="196" customFormat="1" ht="75" x14ac:dyDescent="0.2">
      <c r="A813" s="2">
        <v>2023867</v>
      </c>
      <c r="B813" s="2">
        <v>7658</v>
      </c>
      <c r="C813" s="3" t="s">
        <v>143</v>
      </c>
      <c r="D813" s="191" t="s">
        <v>282</v>
      </c>
      <c r="E813" s="192">
        <v>80111600</v>
      </c>
      <c r="F813" s="192" t="s">
        <v>309</v>
      </c>
      <c r="G813" s="193">
        <v>45063</v>
      </c>
      <c r="H813" s="193">
        <v>45063</v>
      </c>
      <c r="I813" s="191">
        <v>2</v>
      </c>
      <c r="J813" s="191" t="s">
        <v>20</v>
      </c>
      <c r="K813" s="197" t="s">
        <v>21</v>
      </c>
      <c r="L813" s="191" t="s">
        <v>27</v>
      </c>
      <c r="M813" s="200">
        <v>11020000</v>
      </c>
      <c r="N813" s="192" t="s">
        <v>286</v>
      </c>
      <c r="O813" s="192" t="s">
        <v>287</v>
      </c>
      <c r="P813" s="192" t="s">
        <v>24</v>
      </c>
    </row>
    <row r="814" spans="1:16" s="196" customFormat="1" ht="90" x14ac:dyDescent="0.2">
      <c r="A814" s="2">
        <v>2023868</v>
      </c>
      <c r="B814" s="2">
        <v>7658</v>
      </c>
      <c r="C814" s="3" t="s">
        <v>143</v>
      </c>
      <c r="D814" s="191" t="s">
        <v>222</v>
      </c>
      <c r="E814" s="192">
        <v>80111600</v>
      </c>
      <c r="F814" s="192" t="s">
        <v>831</v>
      </c>
      <c r="G814" s="193">
        <v>45204</v>
      </c>
      <c r="H814" s="193">
        <v>45209</v>
      </c>
      <c r="I814" s="191">
        <v>3</v>
      </c>
      <c r="J814" s="191" t="s">
        <v>20</v>
      </c>
      <c r="K814" s="197" t="s">
        <v>21</v>
      </c>
      <c r="L814" s="191" t="s">
        <v>27</v>
      </c>
      <c r="M814" s="200">
        <v>12000000</v>
      </c>
      <c r="N814" s="192" t="s">
        <v>225</v>
      </c>
      <c r="O814" s="192" t="s">
        <v>164</v>
      </c>
      <c r="P814" s="192" t="s">
        <v>24</v>
      </c>
    </row>
    <row r="815" spans="1:16" s="196" customFormat="1" ht="90" x14ac:dyDescent="0.2">
      <c r="A815" s="2">
        <v>2023869</v>
      </c>
      <c r="B815" s="2">
        <v>7658</v>
      </c>
      <c r="C815" s="3" t="s">
        <v>143</v>
      </c>
      <c r="D815" s="191" t="s">
        <v>222</v>
      </c>
      <c r="E815" s="192">
        <v>80111600</v>
      </c>
      <c r="F815" s="192" t="s">
        <v>832</v>
      </c>
      <c r="G815" s="193">
        <v>45204</v>
      </c>
      <c r="H815" s="193">
        <v>45209</v>
      </c>
      <c r="I815" s="191">
        <v>4</v>
      </c>
      <c r="J815" s="191" t="s">
        <v>20</v>
      </c>
      <c r="K815" s="197" t="s">
        <v>21</v>
      </c>
      <c r="L815" s="191" t="s">
        <v>27</v>
      </c>
      <c r="M815" s="200">
        <v>2450000</v>
      </c>
      <c r="N815" s="192" t="s">
        <v>225</v>
      </c>
      <c r="O815" s="192" t="s">
        <v>164</v>
      </c>
      <c r="P815" s="192" t="s">
        <v>365</v>
      </c>
    </row>
  </sheetData>
  <protectedRanges>
    <protectedRange sqref="D545" name="Rango1_9_1_1_1"/>
  </protectedRanges>
  <mergeCells count="2">
    <mergeCell ref="A1:L1"/>
    <mergeCell ref="A2:L2"/>
  </mergeCells>
  <phoneticPr fontId="5" type="noConversion"/>
  <conditionalFormatting sqref="A1:A1048576">
    <cfRule type="duplicateValues" dxfId="65" priority="2" stopIfTrue="1"/>
    <cfRule type="duplicateValues" dxfId="64" priority="6" stopIfTrue="1"/>
    <cfRule type="duplicateValues" dxfId="63" priority="8" stopIfTrue="1"/>
    <cfRule type="duplicateValues" dxfId="42" priority="12"/>
    <cfRule type="duplicateValues" dxfId="41" priority="14"/>
  </conditionalFormatting>
  <conditionalFormatting sqref="A7:A729">
    <cfRule type="duplicateValues" dxfId="62" priority="936" stopIfTrue="1"/>
  </conditionalFormatting>
  <conditionalFormatting sqref="A543">
    <cfRule type="duplicateValues" dxfId="61" priority="30"/>
  </conditionalFormatting>
  <conditionalFormatting sqref="A549">
    <cfRule type="duplicateValues" dxfId="60" priority="27"/>
    <cfRule type="duplicateValues" dxfId="59" priority="28"/>
  </conditionalFormatting>
  <conditionalFormatting sqref="A550">
    <cfRule type="duplicateValues" dxfId="58" priority="47"/>
    <cfRule type="duplicateValues" dxfId="57" priority="48"/>
  </conditionalFormatting>
  <conditionalFormatting sqref="A551:A553">
    <cfRule type="duplicateValues" dxfId="56" priority="860"/>
    <cfRule type="duplicateValues" dxfId="55" priority="861"/>
  </conditionalFormatting>
  <conditionalFormatting sqref="A554">
    <cfRule type="duplicateValues" dxfId="54" priority="19"/>
    <cfRule type="duplicateValues" dxfId="53" priority="20"/>
    <cfRule type="duplicateValues" dxfId="52" priority="21"/>
  </conditionalFormatting>
  <conditionalFormatting sqref="A555:A557">
    <cfRule type="duplicateValues" dxfId="51" priority="16"/>
    <cfRule type="duplicateValues" dxfId="50" priority="17"/>
    <cfRule type="duplicateValues" dxfId="49" priority="18"/>
  </conditionalFormatting>
  <conditionalFormatting sqref="A558:A702 A7:A548">
    <cfRule type="expression" dxfId="48" priority="1054" stopIfTrue="1">
      <formula>AND(COUNTIF($A$558:$A$702, A7)+COUNTIF($A$7:$A$548, A7)&gt;1,NOT(ISBLANK(A7)))</formula>
    </cfRule>
  </conditionalFormatting>
  <conditionalFormatting sqref="A1:A553 A558:A65536">
    <cfRule type="expression" dxfId="47" priority="1055" stopIfTrue="1">
      <formula>AND(COUNTIF($A$1:$A$553, A1)+COUNTIF($A$558:$A$65536, A1)&gt;1,NOT(ISBLANK(A1)))</formula>
    </cfRule>
  </conditionalFormatting>
  <conditionalFormatting sqref="A544:A548 A1:A542 A558:A65536">
    <cfRule type="expression" dxfId="46" priority="1056" stopIfTrue="1">
      <formula>AND(COUNTIF($A$544:$A$548, A1)+COUNTIF($A$1:$A$542, A1)+COUNTIF($A$558:$A$65536, A1)&gt;1,NOT(ISBLANK(A1)))</formula>
    </cfRule>
  </conditionalFormatting>
  <conditionalFormatting sqref="A7:A815">
    <cfRule type="duplicateValues" dxfId="45" priority="1028" stopIfTrue="1"/>
    <cfRule type="duplicateValues" dxfId="44" priority="1029" stopIfTrue="1"/>
    <cfRule type="duplicateValues" dxfId="43" priority="1030" stopIfTrue="1"/>
    <cfRule type="duplicateValues" dxfId="40" priority="1031" stopIfTrue="1"/>
    <cfRule type="duplicateValues" dxfId="39" priority="1032" stopIfTrue="1"/>
    <cfRule type="duplicateValues" dxfId="38" priority="1033"/>
    <cfRule type="duplicateValues" dxfId="37" priority="1034"/>
    <cfRule type="duplicateValues" dxfId="36" priority="1035"/>
    <cfRule type="duplicateValues" dxfId="35" priority="1036"/>
  </conditionalFormatting>
  <dataValidations count="7">
    <dataValidation type="list" allowBlank="1" showInputMessage="1" showErrorMessage="1" sqref="D790:D809 C790:C800 J778:J779 J781:J783 J790:J802 B778:B783 B790:B809 N778:O783 N790:O809 N767:O767 J767 B751 J751 N751:O751"/>
    <dataValidation type="list" allowBlank="1" showInputMessage="1" showErrorMessage="1" sqref="B811">
      <formula1>$AJ$5:$AJ$8</formula1>
    </dataValidation>
    <dataValidation type="list" allowBlank="1" showInputMessage="1" showErrorMessage="1" sqref="D811">
      <formula1>$AL$5:$AL$13</formula1>
    </dataValidation>
    <dataValidation type="list" allowBlank="1" showInputMessage="1" showErrorMessage="1" sqref="J811">
      <formula1>$AM$5:$AM$17</formula1>
    </dataValidation>
    <dataValidation type="list" allowBlank="1" showInputMessage="1" showErrorMessage="1" sqref="O811">
      <formula1>$AK$34:$AK$39</formula1>
    </dataValidation>
    <dataValidation type="list" allowBlank="1" showInputMessage="1" showErrorMessage="1" sqref="N811">
      <formula1>$AL$34:$AL$46</formula1>
    </dataValidation>
    <dataValidation type="list" allowBlank="1" showInputMessage="1" showErrorMessage="1" sqref="C811">
      <formula1>$AK$5:$AK$7</formula1>
    </dataValidation>
  </dataValidations>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
  <sheetViews>
    <sheetView zoomScaleNormal="100" workbookViewId="0">
      <selection activeCell="I5" sqref="I5"/>
    </sheetView>
  </sheetViews>
  <sheetFormatPr baseColWidth="10" defaultColWidth="30.42578125" defaultRowHeight="12.75" x14ac:dyDescent="0.2"/>
  <cols>
    <col min="1" max="1" width="10.42578125" style="100" customWidth="1"/>
    <col min="2" max="2" width="4.42578125" style="100" bestFit="1" customWidth="1"/>
    <col min="3" max="3" width="26.140625" style="100" bestFit="1" customWidth="1"/>
    <col min="4" max="4" width="4.42578125" style="100" bestFit="1" customWidth="1"/>
    <col min="5" max="5" width="13.42578125" style="100" bestFit="1" customWidth="1"/>
    <col min="6" max="6" width="5" style="100" bestFit="1" customWidth="1"/>
    <col min="7" max="7" width="25.140625" style="100" bestFit="1" customWidth="1"/>
    <col min="8" max="8" width="25.7109375" style="100" bestFit="1" customWidth="1"/>
    <col min="9" max="9" width="28.140625" style="100" bestFit="1" customWidth="1"/>
    <col min="10" max="10" width="15.28515625" style="100" bestFit="1" customWidth="1"/>
    <col min="11" max="11" width="7.28515625" style="100" bestFit="1" customWidth="1"/>
    <col min="12" max="16384" width="30.42578125" style="100"/>
  </cols>
  <sheetData>
    <row r="3" spans="2:11" x14ac:dyDescent="0.2">
      <c r="B3" s="246" t="s">
        <v>598</v>
      </c>
      <c r="C3" s="246"/>
      <c r="D3" s="246" t="s">
        <v>599</v>
      </c>
      <c r="E3" s="246"/>
      <c r="F3" s="246" t="s">
        <v>600</v>
      </c>
      <c r="G3" s="246"/>
      <c r="H3" s="246" t="s">
        <v>601</v>
      </c>
      <c r="I3" s="246" t="s">
        <v>602</v>
      </c>
      <c r="J3" s="247" t="s">
        <v>603</v>
      </c>
      <c r="K3" s="248"/>
    </row>
    <row r="4" spans="2:11" x14ac:dyDescent="0.2">
      <c r="B4" s="101" t="s">
        <v>604</v>
      </c>
      <c r="C4" s="101" t="s">
        <v>605</v>
      </c>
      <c r="D4" s="101" t="s">
        <v>604</v>
      </c>
      <c r="E4" s="101" t="s">
        <v>605</v>
      </c>
      <c r="F4" s="101" t="s">
        <v>604</v>
      </c>
      <c r="G4" s="101" t="s">
        <v>605</v>
      </c>
      <c r="H4" s="246"/>
      <c r="I4" s="246"/>
      <c r="J4" s="102" t="s">
        <v>606</v>
      </c>
      <c r="K4" s="102" t="s">
        <v>607</v>
      </c>
    </row>
    <row r="5" spans="2:11" ht="51" x14ac:dyDescent="0.2">
      <c r="B5" s="103">
        <v>2</v>
      </c>
      <c r="C5" s="104" t="s">
        <v>608</v>
      </c>
      <c r="D5" s="104">
        <v>30</v>
      </c>
      <c r="E5" s="104" t="s">
        <v>609</v>
      </c>
      <c r="F5" s="104">
        <v>7658</v>
      </c>
      <c r="G5" s="104" t="s">
        <v>610</v>
      </c>
      <c r="H5" s="105">
        <v>39240853000</v>
      </c>
      <c r="I5" s="105">
        <v>27326316000</v>
      </c>
      <c r="J5" s="106">
        <f>I5-H5</f>
        <v>-11914537000</v>
      </c>
      <c r="K5" s="107">
        <f>J5/H5</f>
        <v>-0.30362584116099617</v>
      </c>
    </row>
    <row r="6" spans="2:11" ht="63.75" x14ac:dyDescent="0.2">
      <c r="B6" s="249">
        <v>5</v>
      </c>
      <c r="C6" s="250" t="s">
        <v>611</v>
      </c>
      <c r="D6" s="250">
        <v>56</v>
      </c>
      <c r="E6" s="250" t="s">
        <v>612</v>
      </c>
      <c r="F6" s="104">
        <v>7637</v>
      </c>
      <c r="G6" s="104" t="s">
        <v>613</v>
      </c>
      <c r="H6" s="105">
        <v>5015011000</v>
      </c>
      <c r="I6" s="105">
        <v>2924147000</v>
      </c>
      <c r="J6" s="106">
        <f>I6-H6</f>
        <v>-2090864000</v>
      </c>
      <c r="K6" s="107">
        <f>J6/H6</f>
        <v>-0.41692111941529142</v>
      </c>
    </row>
    <row r="7" spans="2:11" ht="38.25" x14ac:dyDescent="0.2">
      <c r="B7" s="249"/>
      <c r="C7" s="250"/>
      <c r="D7" s="250"/>
      <c r="E7" s="250"/>
      <c r="F7" s="104">
        <v>7655</v>
      </c>
      <c r="G7" s="104" t="s">
        <v>614</v>
      </c>
      <c r="H7" s="105">
        <v>11744136000</v>
      </c>
      <c r="I7" s="105">
        <v>5991492000</v>
      </c>
      <c r="J7" s="106">
        <f>I7-H7</f>
        <v>-5752644000</v>
      </c>
      <c r="K7" s="107">
        <f>J7/H7</f>
        <v>-0.48983118042910945</v>
      </c>
    </row>
    <row r="8" spans="2:11" x14ac:dyDescent="0.2">
      <c r="H8" s="108">
        <f>SUM(H5:H7)</f>
        <v>56000000000</v>
      </c>
      <c r="I8" s="108">
        <f>SUM(I5:I7)</f>
        <v>36241955000</v>
      </c>
      <c r="J8" s="108">
        <f>I8-H8</f>
        <v>-19758045000</v>
      </c>
      <c r="K8" s="109">
        <f>J8/H8</f>
        <v>-0.35282223214285713</v>
      </c>
    </row>
    <row r="13" spans="2:11" x14ac:dyDescent="0.2">
      <c r="I13" s="110"/>
    </row>
    <row r="15" spans="2:11" x14ac:dyDescent="0.2">
      <c r="I15" s="111"/>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9"/>
  <sheetViews>
    <sheetView topLeftCell="F1" zoomScale="85" zoomScaleNormal="85" workbookViewId="0">
      <selection activeCell="F4" sqref="F4"/>
    </sheetView>
  </sheetViews>
  <sheetFormatPr baseColWidth="10"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196</v>
      </c>
      <c r="F2" t="s">
        <v>160</v>
      </c>
      <c r="H2" t="s">
        <v>21</v>
      </c>
      <c r="J2" t="s">
        <v>286</v>
      </c>
      <c r="L2" t="s">
        <v>146</v>
      </c>
      <c r="N2" t="s">
        <v>25</v>
      </c>
    </row>
    <row r="3" spans="2:14" x14ac:dyDescent="0.25">
      <c r="B3">
        <v>7655</v>
      </c>
      <c r="D3" t="s">
        <v>205</v>
      </c>
      <c r="F3" t="s">
        <v>109</v>
      </c>
      <c r="H3" t="s">
        <v>161</v>
      </c>
      <c r="J3" t="s">
        <v>145</v>
      </c>
      <c r="L3" t="s">
        <v>287</v>
      </c>
      <c r="N3" t="s">
        <v>143</v>
      </c>
    </row>
    <row r="4" spans="2:14" x14ac:dyDescent="0.25">
      <c r="B4">
        <v>7658</v>
      </c>
      <c r="D4" t="s">
        <v>18</v>
      </c>
      <c r="F4" t="s">
        <v>155</v>
      </c>
      <c r="H4" t="s">
        <v>387</v>
      </c>
      <c r="J4" t="s">
        <v>390</v>
      </c>
      <c r="L4" t="s">
        <v>164</v>
      </c>
      <c r="N4" t="s">
        <v>74</v>
      </c>
    </row>
    <row r="5" spans="2:14" x14ac:dyDescent="0.25">
      <c r="B5" t="s">
        <v>17</v>
      </c>
      <c r="D5" t="s">
        <v>216</v>
      </c>
      <c r="F5" t="s">
        <v>102</v>
      </c>
      <c r="H5" t="s">
        <v>23</v>
      </c>
      <c r="J5" t="s">
        <v>382</v>
      </c>
      <c r="L5" t="s">
        <v>391</v>
      </c>
      <c r="N5" t="s">
        <v>17</v>
      </c>
    </row>
    <row r="6" spans="2:14" x14ac:dyDescent="0.25">
      <c r="D6" t="s">
        <v>193</v>
      </c>
      <c r="F6" t="s">
        <v>119</v>
      </c>
      <c r="J6" t="s">
        <v>341</v>
      </c>
      <c r="L6" t="s">
        <v>383</v>
      </c>
    </row>
    <row r="7" spans="2:14" x14ac:dyDescent="0.25">
      <c r="D7" t="s">
        <v>48</v>
      </c>
      <c r="F7" t="s">
        <v>615</v>
      </c>
      <c r="J7" t="s">
        <v>167</v>
      </c>
      <c r="L7" t="s">
        <v>77</v>
      </c>
    </row>
    <row r="8" spans="2:14" x14ac:dyDescent="0.25">
      <c r="D8" t="s">
        <v>320</v>
      </c>
      <c r="F8" t="s">
        <v>20</v>
      </c>
      <c r="J8" t="s">
        <v>163</v>
      </c>
      <c r="L8" t="s">
        <v>29</v>
      </c>
    </row>
    <row r="9" spans="2:14" x14ac:dyDescent="0.25">
      <c r="D9" t="s">
        <v>282</v>
      </c>
      <c r="F9" t="s">
        <v>381</v>
      </c>
      <c r="J9" t="s">
        <v>230</v>
      </c>
      <c r="L9" s="117" t="s">
        <v>23</v>
      </c>
    </row>
    <row r="10" spans="2:14" x14ac:dyDescent="0.25">
      <c r="D10" t="s">
        <v>126</v>
      </c>
      <c r="F10" t="s">
        <v>358</v>
      </c>
      <c r="J10" t="s">
        <v>225</v>
      </c>
    </row>
    <row r="11" spans="2:14" x14ac:dyDescent="0.25">
      <c r="D11" t="s">
        <v>222</v>
      </c>
      <c r="F11" t="s">
        <v>67</v>
      </c>
      <c r="J11" t="s">
        <v>87</v>
      </c>
      <c r="L11" s="113"/>
    </row>
    <row r="12" spans="2:14" x14ac:dyDescent="0.25">
      <c r="D12" t="s">
        <v>45</v>
      </c>
      <c r="F12" t="s">
        <v>386</v>
      </c>
      <c r="J12" t="s">
        <v>76</v>
      </c>
      <c r="L12" s="115"/>
    </row>
    <row r="13" spans="2:14" x14ac:dyDescent="0.25">
      <c r="J13" t="s">
        <v>95</v>
      </c>
      <c r="L13" s="115"/>
    </row>
    <row r="14" spans="2:14" x14ac:dyDescent="0.25">
      <c r="J14" t="s">
        <v>28</v>
      </c>
      <c r="L14" s="114"/>
    </row>
    <row r="15" spans="2:14" x14ac:dyDescent="0.25">
      <c r="J15" t="s">
        <v>47</v>
      </c>
      <c r="L15" s="116"/>
    </row>
    <row r="16" spans="2:14" x14ac:dyDescent="0.25">
      <c r="J16" s="117" t="s">
        <v>23</v>
      </c>
      <c r="L16" s="117"/>
    </row>
    <row r="19" spans="10:10" x14ac:dyDescent="0.25">
      <c r="J19" s="112"/>
    </row>
  </sheetData>
  <pageMargins left="0.7" right="0.7" top="0.75" bottom="0.75"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topLeftCell="A31" zoomScale="85" zoomScaleNormal="85" workbookViewId="0">
      <selection activeCell="C34" sqref="C34"/>
    </sheetView>
  </sheetViews>
  <sheetFormatPr baseColWidth="10"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21" t="s">
        <v>616</v>
      </c>
      <c r="C2" s="121"/>
      <c r="D2" s="121"/>
      <c r="E2" s="121"/>
      <c r="F2" s="121"/>
    </row>
    <row r="3" spans="2:8" ht="30" x14ac:dyDescent="0.25">
      <c r="B3" s="129" t="s">
        <v>617</v>
      </c>
      <c r="C3" s="149" t="s">
        <v>618</v>
      </c>
      <c r="D3" s="149" t="s">
        <v>619</v>
      </c>
      <c r="E3" s="149" t="s">
        <v>620</v>
      </c>
      <c r="F3" s="149" t="s">
        <v>621</v>
      </c>
      <c r="G3" s="143" t="s">
        <v>622</v>
      </c>
    </row>
    <row r="4" spans="2:8" x14ac:dyDescent="0.25">
      <c r="B4" s="130" t="s">
        <v>623</v>
      </c>
      <c r="C4" s="150"/>
      <c r="D4" s="150"/>
      <c r="E4" s="150"/>
      <c r="F4" s="150"/>
      <c r="G4" s="144"/>
    </row>
    <row r="5" spans="2:8" x14ac:dyDescent="0.25">
      <c r="B5" s="122" t="s">
        <v>624</v>
      </c>
      <c r="C5" s="123">
        <v>743211000</v>
      </c>
      <c r="D5" s="123">
        <v>743211000</v>
      </c>
      <c r="E5" s="123">
        <v>704519800</v>
      </c>
      <c r="F5" s="123">
        <v>707927300</v>
      </c>
      <c r="G5" s="128">
        <v>707927300</v>
      </c>
    </row>
    <row r="6" spans="2:8" x14ac:dyDescent="0.25">
      <c r="B6" s="122" t="s">
        <v>625</v>
      </c>
      <c r="C6" s="123">
        <v>1536918000</v>
      </c>
      <c r="D6" s="123">
        <v>1536918000</v>
      </c>
      <c r="E6" s="123">
        <v>1466918000</v>
      </c>
      <c r="F6" s="123">
        <v>1422918000</v>
      </c>
      <c r="G6" s="128">
        <v>1422918000</v>
      </c>
      <c r="H6" s="99"/>
    </row>
    <row r="7" spans="2:8" x14ac:dyDescent="0.25">
      <c r="B7" s="122" t="s">
        <v>626</v>
      </c>
      <c r="C7" s="123">
        <v>0</v>
      </c>
      <c r="D7" s="123">
        <v>0</v>
      </c>
      <c r="E7" s="123">
        <v>0</v>
      </c>
      <c r="F7" s="123">
        <v>0</v>
      </c>
      <c r="G7" s="128">
        <v>0</v>
      </c>
    </row>
    <row r="8" spans="2:8" x14ac:dyDescent="0.25">
      <c r="B8" s="122" t="s">
        <v>627</v>
      </c>
      <c r="C8" s="123">
        <v>124514000</v>
      </c>
      <c r="D8" s="123">
        <v>124514000</v>
      </c>
      <c r="E8" s="123">
        <v>213505200</v>
      </c>
      <c r="F8" s="123">
        <v>213505200</v>
      </c>
      <c r="G8" s="128">
        <v>213505200</v>
      </c>
    </row>
    <row r="9" spans="2:8" x14ac:dyDescent="0.25">
      <c r="B9" s="122" t="s">
        <v>628</v>
      </c>
      <c r="C9" s="123">
        <v>0</v>
      </c>
      <c r="D9" s="123">
        <v>0</v>
      </c>
      <c r="E9" s="123">
        <v>180500000</v>
      </c>
      <c r="F9" s="123">
        <v>249100000</v>
      </c>
      <c r="G9" s="128">
        <v>249100000</v>
      </c>
    </row>
    <row r="10" spans="2:8" x14ac:dyDescent="0.25">
      <c r="B10" s="122" t="s">
        <v>629</v>
      </c>
      <c r="C10" s="123">
        <v>900000000</v>
      </c>
      <c r="D10" s="123">
        <v>900000000</v>
      </c>
      <c r="E10" s="123">
        <v>794200000</v>
      </c>
      <c r="F10" s="123">
        <v>680600000</v>
      </c>
      <c r="G10" s="128">
        <v>680600000</v>
      </c>
    </row>
    <row r="11" spans="2:8" x14ac:dyDescent="0.25">
      <c r="B11" s="122" t="s">
        <v>630</v>
      </c>
      <c r="C11" s="123">
        <v>0</v>
      </c>
      <c r="D11" s="123">
        <v>0</v>
      </c>
      <c r="E11" s="123">
        <v>0</v>
      </c>
      <c r="F11" s="123">
        <v>0</v>
      </c>
      <c r="G11" s="128">
        <v>0</v>
      </c>
    </row>
    <row r="12" spans="2:8" x14ac:dyDescent="0.25">
      <c r="B12" s="122" t="s">
        <v>631</v>
      </c>
      <c r="C12" s="123">
        <v>1128213000</v>
      </c>
      <c r="D12" s="123">
        <v>1128213000</v>
      </c>
      <c r="E12" s="123">
        <v>1038213000</v>
      </c>
      <c r="F12" s="123">
        <v>1038213000</v>
      </c>
      <c r="G12" s="128">
        <v>1038213000</v>
      </c>
    </row>
    <row r="13" spans="2:8" x14ac:dyDescent="0.25">
      <c r="B13" s="122" t="s">
        <v>632</v>
      </c>
      <c r="C13" s="123">
        <v>323006000</v>
      </c>
      <c r="D13" s="123">
        <v>323006000</v>
      </c>
      <c r="E13" s="123">
        <v>323006000</v>
      </c>
      <c r="F13" s="123">
        <v>323006000</v>
      </c>
      <c r="G13" s="128">
        <v>323006000</v>
      </c>
    </row>
    <row r="14" spans="2:8" x14ac:dyDescent="0.25">
      <c r="B14" s="122" t="s">
        <v>633</v>
      </c>
      <c r="C14" s="123">
        <v>353858000</v>
      </c>
      <c r="D14" s="123">
        <v>353858000</v>
      </c>
      <c r="E14" s="123">
        <v>353858000</v>
      </c>
      <c r="F14" s="123">
        <v>397858000</v>
      </c>
      <c r="G14" s="128">
        <v>397858000</v>
      </c>
    </row>
    <row r="15" spans="2:8" x14ac:dyDescent="0.25">
      <c r="B15" s="122" t="s">
        <v>634</v>
      </c>
      <c r="C15" s="123">
        <v>509999000</v>
      </c>
      <c r="D15" s="123">
        <v>509999000</v>
      </c>
      <c r="E15" s="123">
        <v>509999000</v>
      </c>
      <c r="F15" s="123">
        <v>551591500</v>
      </c>
      <c r="G15" s="128">
        <v>551591500</v>
      </c>
    </row>
    <row r="16" spans="2:8" x14ac:dyDescent="0.25">
      <c r="B16" s="122" t="s">
        <v>635</v>
      </c>
      <c r="C16" s="123">
        <v>371773000</v>
      </c>
      <c r="D16" s="123">
        <v>371773000</v>
      </c>
      <c r="E16" s="123">
        <v>406773000</v>
      </c>
      <c r="F16" s="123">
        <v>406773000</v>
      </c>
      <c r="G16" s="128">
        <v>406773000</v>
      </c>
    </row>
    <row r="17" spans="2:7" ht="15.75" thickBot="1" x14ac:dyDescent="0.3">
      <c r="B17" s="8" t="s">
        <v>636</v>
      </c>
      <c r="C17" s="124">
        <f>SUM(C5:C16)</f>
        <v>5991492000</v>
      </c>
      <c r="D17" s="124">
        <f>SUM(D5:D16)</f>
        <v>5991492000</v>
      </c>
      <c r="E17" s="124">
        <f>SUM(E5:E16)</f>
        <v>5991492000</v>
      </c>
      <c r="F17" s="124">
        <f>SUM(F5:F16)</f>
        <v>5991492000</v>
      </c>
      <c r="G17" s="127">
        <f>SUM(G5:G16)</f>
        <v>5991492000</v>
      </c>
    </row>
    <row r="19" spans="2:7" ht="15.75" thickBot="1" x14ac:dyDescent="0.3">
      <c r="B19" s="121" t="s">
        <v>616</v>
      </c>
      <c r="C19" s="121"/>
      <c r="D19" s="121"/>
      <c r="E19" s="121"/>
      <c r="F19" s="121"/>
    </row>
    <row r="20" spans="2:7" ht="30" x14ac:dyDescent="0.25">
      <c r="B20" s="131" t="s">
        <v>637</v>
      </c>
      <c r="C20" s="145" t="s">
        <v>618</v>
      </c>
      <c r="D20" s="145" t="s">
        <v>619</v>
      </c>
      <c r="E20" s="145" t="s">
        <v>620</v>
      </c>
      <c r="F20" s="145" t="s">
        <v>621</v>
      </c>
      <c r="G20" s="147" t="s">
        <v>622</v>
      </c>
    </row>
    <row r="21" spans="2:7" x14ac:dyDescent="0.25">
      <c r="B21" s="132" t="s">
        <v>623</v>
      </c>
      <c r="C21" s="146"/>
      <c r="D21" s="146"/>
      <c r="E21" s="146"/>
      <c r="F21" s="146"/>
      <c r="G21" s="148"/>
    </row>
    <row r="22" spans="2:7" x14ac:dyDescent="0.25">
      <c r="B22" s="122" t="s">
        <v>624</v>
      </c>
      <c r="C22" s="123">
        <v>1126789000</v>
      </c>
      <c r="D22" s="123">
        <v>1126789000</v>
      </c>
      <c r="E22" s="123">
        <v>1023289000</v>
      </c>
      <c r="F22" s="123">
        <v>1023289000</v>
      </c>
      <c r="G22" s="128">
        <v>1023289000</v>
      </c>
    </row>
    <row r="23" spans="2:7" x14ac:dyDescent="0.25">
      <c r="B23" s="122" t="s">
        <v>625</v>
      </c>
      <c r="C23" s="123">
        <v>4513282000</v>
      </c>
      <c r="D23" s="123">
        <v>4513282000</v>
      </c>
      <c r="E23" s="123">
        <v>4616782000</v>
      </c>
      <c r="F23" s="123">
        <v>4616782000</v>
      </c>
      <c r="G23" s="128">
        <v>4616782000</v>
      </c>
    </row>
    <row r="24" spans="2:7" x14ac:dyDescent="0.25">
      <c r="B24" s="122" t="s">
        <v>626</v>
      </c>
      <c r="C24" s="123">
        <v>9161000000</v>
      </c>
      <c r="D24" s="123">
        <v>9161000000</v>
      </c>
      <c r="E24" s="123">
        <v>9161000000</v>
      </c>
      <c r="F24" s="123">
        <v>8722535000</v>
      </c>
      <c r="G24" s="128">
        <v>8722535000</v>
      </c>
    </row>
    <row r="25" spans="2:7" x14ac:dyDescent="0.25">
      <c r="B25" s="122" t="s">
        <v>627</v>
      </c>
      <c r="C25" s="123">
        <v>3243692000</v>
      </c>
      <c r="D25" s="123">
        <v>3243692000</v>
      </c>
      <c r="E25" s="123">
        <v>3243692000</v>
      </c>
      <c r="F25" s="123">
        <v>3243692000</v>
      </c>
      <c r="G25" s="128">
        <v>3243692000</v>
      </c>
    </row>
    <row r="26" spans="2:7" x14ac:dyDescent="0.25">
      <c r="B26" s="122" t="s">
        <v>628</v>
      </c>
      <c r="C26" s="123">
        <v>9281553000</v>
      </c>
      <c r="D26" s="123">
        <v>9281553000</v>
      </c>
      <c r="E26" s="123">
        <v>9281553000</v>
      </c>
      <c r="F26" s="123">
        <v>9720018000</v>
      </c>
      <c r="G26" s="128">
        <v>9720018000</v>
      </c>
    </row>
    <row r="27" spans="2:7" x14ac:dyDescent="0.25">
      <c r="B27" s="122" t="s">
        <v>629</v>
      </c>
      <c r="C27" s="123">
        <v>0</v>
      </c>
      <c r="D27" s="123">
        <v>0</v>
      </c>
      <c r="E27" s="123">
        <v>0</v>
      </c>
      <c r="F27" s="123">
        <v>0</v>
      </c>
      <c r="G27" s="128">
        <v>0</v>
      </c>
    </row>
    <row r="28" spans="2:7" x14ac:dyDescent="0.25">
      <c r="B28" s="122" t="s">
        <v>630</v>
      </c>
      <c r="C28" s="123">
        <v>0</v>
      </c>
      <c r="D28" s="123">
        <v>0</v>
      </c>
      <c r="E28" s="123">
        <v>0</v>
      </c>
      <c r="F28" s="123">
        <v>0</v>
      </c>
      <c r="G28" s="128">
        <v>0</v>
      </c>
    </row>
    <row r="29" spans="2:7" x14ac:dyDescent="0.25">
      <c r="B29" s="122" t="s">
        <v>631</v>
      </c>
      <c r="C29" s="123">
        <v>0</v>
      </c>
      <c r="D29" s="123">
        <v>0</v>
      </c>
      <c r="E29" s="123">
        <v>0</v>
      </c>
      <c r="F29" s="123">
        <v>0</v>
      </c>
      <c r="G29" s="128">
        <v>0</v>
      </c>
    </row>
    <row r="30" spans="2:7" x14ac:dyDescent="0.25">
      <c r="B30" s="122" t="s">
        <v>632</v>
      </c>
      <c r="C30" s="123">
        <v>0</v>
      </c>
      <c r="D30" s="123">
        <v>0</v>
      </c>
      <c r="E30" s="123">
        <v>0</v>
      </c>
      <c r="F30" s="123">
        <v>0</v>
      </c>
      <c r="G30" s="128">
        <v>0</v>
      </c>
    </row>
    <row r="31" spans="2:7" x14ac:dyDescent="0.25">
      <c r="B31" s="122" t="s">
        <v>633</v>
      </c>
      <c r="C31" s="123">
        <v>0</v>
      </c>
      <c r="D31" s="123">
        <v>0</v>
      </c>
      <c r="E31" s="123">
        <v>0</v>
      </c>
      <c r="F31" s="123">
        <v>0</v>
      </c>
      <c r="G31" s="128">
        <v>0</v>
      </c>
    </row>
    <row r="32" spans="2:7" x14ac:dyDescent="0.25">
      <c r="B32" s="122" t="s">
        <v>634</v>
      </c>
      <c r="C32" s="123">
        <v>0</v>
      </c>
      <c r="D32" s="123">
        <v>0</v>
      </c>
      <c r="E32" s="123">
        <v>0</v>
      </c>
      <c r="F32" s="123">
        <v>0</v>
      </c>
      <c r="G32" s="128">
        <v>0</v>
      </c>
    </row>
    <row r="33" spans="2:7" x14ac:dyDescent="0.25">
      <c r="B33" s="122" t="s">
        <v>635</v>
      </c>
      <c r="C33" s="123">
        <v>0</v>
      </c>
      <c r="D33" s="123">
        <v>0</v>
      </c>
      <c r="E33" s="123">
        <v>0</v>
      </c>
      <c r="F33" s="123">
        <v>0</v>
      </c>
      <c r="G33" s="128">
        <v>0</v>
      </c>
    </row>
    <row r="34" spans="2:7" ht="15.75" thickBot="1" x14ac:dyDescent="0.3">
      <c r="B34" s="8" t="s">
        <v>636</v>
      </c>
      <c r="C34" s="124">
        <f>SUM(C22:C33)</f>
        <v>27326316000</v>
      </c>
      <c r="D34" s="124">
        <f>SUM(D22:D33)</f>
        <v>27326316000</v>
      </c>
      <c r="E34" s="124">
        <f>SUM(E22:E33)</f>
        <v>27326316000</v>
      </c>
      <c r="F34" s="124">
        <f>SUM(F22:F33)</f>
        <v>27326316000</v>
      </c>
      <c r="G34" s="127">
        <f>SUM(G22:G33)</f>
        <v>27326316000</v>
      </c>
    </row>
    <row r="36" spans="2:7" ht="15.75" thickBot="1" x14ac:dyDescent="0.3">
      <c r="B36" s="121" t="s">
        <v>616</v>
      </c>
      <c r="C36" s="121"/>
      <c r="D36" s="121"/>
      <c r="E36" s="121"/>
      <c r="F36" s="121"/>
    </row>
    <row r="37" spans="2:7" ht="30" x14ac:dyDescent="0.25">
      <c r="B37" s="133" t="s">
        <v>638</v>
      </c>
      <c r="C37" s="151" t="s">
        <v>618</v>
      </c>
      <c r="D37" s="151" t="s">
        <v>619</v>
      </c>
      <c r="E37" s="151" t="s">
        <v>620</v>
      </c>
      <c r="F37" s="151" t="s">
        <v>621</v>
      </c>
      <c r="G37" s="153" t="s">
        <v>622</v>
      </c>
    </row>
    <row r="38" spans="2:7" x14ac:dyDescent="0.25">
      <c r="B38" s="134" t="s">
        <v>623</v>
      </c>
      <c r="C38" s="152"/>
      <c r="D38" s="152"/>
      <c r="E38" s="152"/>
      <c r="F38" s="152"/>
      <c r="G38" s="154"/>
    </row>
    <row r="39" spans="2:7" x14ac:dyDescent="0.25">
      <c r="B39" s="122" t="s">
        <v>624</v>
      </c>
      <c r="C39" s="123">
        <v>0</v>
      </c>
      <c r="D39" s="123">
        <v>0</v>
      </c>
      <c r="E39" s="123">
        <v>0</v>
      </c>
      <c r="F39" s="123">
        <v>0</v>
      </c>
      <c r="G39" s="128">
        <v>0</v>
      </c>
    </row>
    <row r="40" spans="2:7" x14ac:dyDescent="0.25">
      <c r="B40" s="122" t="s">
        <v>625</v>
      </c>
      <c r="C40" s="123">
        <v>0</v>
      </c>
      <c r="D40" s="123">
        <v>0</v>
      </c>
      <c r="E40" s="123">
        <v>0</v>
      </c>
      <c r="F40" s="123">
        <v>0</v>
      </c>
      <c r="G40" s="128">
        <v>0</v>
      </c>
    </row>
    <row r="41" spans="2:7" x14ac:dyDescent="0.25">
      <c r="B41" s="122" t="s">
        <v>626</v>
      </c>
      <c r="C41" s="123">
        <v>0</v>
      </c>
      <c r="D41" s="123">
        <v>0</v>
      </c>
      <c r="E41" s="123">
        <v>0</v>
      </c>
      <c r="F41" s="123">
        <v>0</v>
      </c>
      <c r="G41" s="128">
        <v>0</v>
      </c>
    </row>
    <row r="42" spans="2:7" x14ac:dyDescent="0.25">
      <c r="B42" s="122" t="s">
        <v>627</v>
      </c>
      <c r="C42" s="123">
        <v>0</v>
      </c>
      <c r="D42" s="123">
        <v>0</v>
      </c>
      <c r="E42" s="123">
        <v>0</v>
      </c>
      <c r="F42" s="123">
        <v>0</v>
      </c>
      <c r="G42" s="128">
        <v>0</v>
      </c>
    </row>
    <row r="43" spans="2:7" x14ac:dyDescent="0.25">
      <c r="B43" s="122" t="s">
        <v>628</v>
      </c>
      <c r="C43" s="123">
        <v>0</v>
      </c>
      <c r="D43" s="123">
        <v>0</v>
      </c>
      <c r="E43" s="123">
        <v>0</v>
      </c>
      <c r="F43" s="123">
        <v>0</v>
      </c>
      <c r="G43" s="128">
        <v>0</v>
      </c>
    </row>
    <row r="44" spans="2:7" x14ac:dyDescent="0.25">
      <c r="B44" s="122" t="s">
        <v>629</v>
      </c>
      <c r="C44" s="123">
        <v>0</v>
      </c>
      <c r="D44" s="123">
        <v>0</v>
      </c>
      <c r="E44" s="123">
        <v>0</v>
      </c>
      <c r="F44" s="123">
        <v>0</v>
      </c>
      <c r="G44" s="128">
        <v>0</v>
      </c>
    </row>
    <row r="45" spans="2:7" x14ac:dyDescent="0.25">
      <c r="B45" s="122" t="s">
        <v>630</v>
      </c>
      <c r="C45" s="125">
        <v>2924147000</v>
      </c>
      <c r="D45" s="125">
        <v>2924147000</v>
      </c>
      <c r="E45" s="125">
        <v>2924147000</v>
      </c>
      <c r="F45" s="125">
        <v>2924147000</v>
      </c>
      <c r="G45" s="126">
        <v>2924147000</v>
      </c>
    </row>
    <row r="46" spans="2:7" x14ac:dyDescent="0.25">
      <c r="B46" s="122" t="s">
        <v>631</v>
      </c>
      <c r="C46" s="123">
        <v>0</v>
      </c>
      <c r="D46" s="123">
        <v>0</v>
      </c>
      <c r="E46" s="123">
        <v>0</v>
      </c>
      <c r="F46" s="123">
        <v>0</v>
      </c>
      <c r="G46" s="128">
        <v>0</v>
      </c>
    </row>
    <row r="47" spans="2:7" x14ac:dyDescent="0.25">
      <c r="B47" s="122" t="s">
        <v>632</v>
      </c>
      <c r="C47" s="123">
        <v>0</v>
      </c>
      <c r="D47" s="123">
        <v>0</v>
      </c>
      <c r="E47" s="123">
        <v>0</v>
      </c>
      <c r="F47" s="123">
        <v>0</v>
      </c>
      <c r="G47" s="128">
        <v>0</v>
      </c>
    </row>
    <row r="48" spans="2:7" x14ac:dyDescent="0.25">
      <c r="B48" s="122" t="s">
        <v>633</v>
      </c>
      <c r="C48" s="123">
        <v>0</v>
      </c>
      <c r="D48" s="123">
        <v>0</v>
      </c>
      <c r="E48" s="123">
        <v>0</v>
      </c>
      <c r="F48" s="123">
        <v>0</v>
      </c>
      <c r="G48" s="128">
        <v>0</v>
      </c>
    </row>
    <row r="49" spans="2:7" x14ac:dyDescent="0.25">
      <c r="B49" s="122" t="s">
        <v>634</v>
      </c>
      <c r="C49" s="123">
        <v>0</v>
      </c>
      <c r="D49" s="123">
        <v>0</v>
      </c>
      <c r="E49" s="123">
        <v>0</v>
      </c>
      <c r="F49" s="123">
        <v>0</v>
      </c>
      <c r="G49" s="128">
        <v>0</v>
      </c>
    </row>
    <row r="50" spans="2:7" x14ac:dyDescent="0.25">
      <c r="B50" s="122" t="s">
        <v>635</v>
      </c>
      <c r="C50" s="123">
        <v>0</v>
      </c>
      <c r="D50" s="123">
        <v>0</v>
      </c>
      <c r="E50" s="123">
        <v>0</v>
      </c>
      <c r="F50" s="123">
        <v>0</v>
      </c>
      <c r="G50" s="128">
        <v>0</v>
      </c>
    </row>
    <row r="51" spans="2:7" s="119" customFormat="1" ht="15.75" thickBot="1" x14ac:dyDescent="0.3">
      <c r="B51" s="8" t="s">
        <v>636</v>
      </c>
      <c r="C51" s="124">
        <f>SUM(C39:C50)</f>
        <v>2924147000</v>
      </c>
      <c r="D51" s="124">
        <f>SUM(D39:D50)</f>
        <v>2924147000</v>
      </c>
      <c r="E51" s="124">
        <f>SUM(E39:E50)</f>
        <v>2924147000</v>
      </c>
      <c r="F51" s="124">
        <f>SUM(F39:F50)</f>
        <v>2924147000</v>
      </c>
      <c r="G51" s="127">
        <f>SUM(G39:G50)</f>
        <v>2924147000</v>
      </c>
    </row>
    <row r="53" spans="2:7" x14ac:dyDescent="0.25">
      <c r="C53" s="99">
        <f>+C34+C17+C51</f>
        <v>36241955000</v>
      </c>
      <c r="D53" s="99">
        <f>+D34+D17+D51</f>
        <v>36241955000</v>
      </c>
      <c r="E53" s="99">
        <f>+E34+E17+E51</f>
        <v>36241955000</v>
      </c>
      <c r="F53" s="99">
        <f>+F34+F17+F51</f>
        <v>36241955000</v>
      </c>
      <c r="G53" s="99">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3"/>
  <sheetViews>
    <sheetView zoomScale="85" zoomScaleNormal="85" workbookViewId="0">
      <selection activeCell="B1" sqref="B1:I65536"/>
    </sheetView>
  </sheetViews>
  <sheetFormatPr baseColWidth="10"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21" t="s">
        <v>616</v>
      </c>
      <c r="C2" s="121"/>
      <c r="D2" s="121"/>
      <c r="E2" s="121"/>
      <c r="F2" s="121"/>
    </row>
    <row r="3" spans="2:8" ht="30" x14ac:dyDescent="0.25">
      <c r="B3" s="129" t="s">
        <v>617</v>
      </c>
      <c r="C3" s="259" t="s">
        <v>618</v>
      </c>
      <c r="D3" s="259" t="s">
        <v>619</v>
      </c>
      <c r="E3" s="259" t="s">
        <v>620</v>
      </c>
      <c r="F3" s="259" t="s">
        <v>621</v>
      </c>
      <c r="G3" s="261" t="s">
        <v>622</v>
      </c>
    </row>
    <row r="4" spans="2:8" ht="30" x14ac:dyDescent="0.25">
      <c r="B4" s="135" t="s">
        <v>639</v>
      </c>
      <c r="C4" s="260"/>
      <c r="D4" s="260"/>
      <c r="E4" s="260"/>
      <c r="F4" s="260"/>
      <c r="G4" s="262"/>
    </row>
    <row r="5" spans="2:8" x14ac:dyDescent="0.25">
      <c r="B5" s="141" t="s">
        <v>631</v>
      </c>
      <c r="C5" s="123">
        <v>840579634</v>
      </c>
      <c r="D5" s="123">
        <v>840579634</v>
      </c>
      <c r="E5" s="123"/>
      <c r="F5" s="123"/>
      <c r="G5" s="128"/>
    </row>
    <row r="6" spans="2:8" x14ac:dyDescent="0.25">
      <c r="B6" s="141" t="s">
        <v>625</v>
      </c>
      <c r="C6" s="123">
        <v>219500000</v>
      </c>
      <c r="D6" s="123">
        <v>219500000</v>
      </c>
      <c r="E6" s="123"/>
      <c r="F6" s="123"/>
      <c r="G6" s="128"/>
      <c r="H6" s="99"/>
    </row>
    <row r="7" spans="2:8" ht="45" x14ac:dyDescent="0.25">
      <c r="B7" s="138" t="s">
        <v>640</v>
      </c>
      <c r="C7" s="139"/>
      <c r="D7" s="139"/>
      <c r="E7" s="139"/>
      <c r="F7" s="139"/>
      <c r="G7" s="140"/>
    </row>
    <row r="8" spans="2:8" x14ac:dyDescent="0.25">
      <c r="B8" s="141" t="s">
        <v>624</v>
      </c>
      <c r="C8" s="123">
        <v>743211000</v>
      </c>
      <c r="D8" s="99">
        <v>743211000</v>
      </c>
      <c r="E8" s="123"/>
      <c r="F8" s="123"/>
      <c r="G8" s="128"/>
    </row>
    <row r="9" spans="2:8" x14ac:dyDescent="0.25">
      <c r="B9" s="141" t="s">
        <v>625</v>
      </c>
      <c r="C9" s="123">
        <v>1317418000</v>
      </c>
      <c r="D9" s="99">
        <v>1317418000</v>
      </c>
      <c r="E9" s="123"/>
      <c r="F9" s="123"/>
      <c r="G9" s="128"/>
    </row>
    <row r="10" spans="2:8" x14ac:dyDescent="0.25">
      <c r="B10" s="141" t="s">
        <v>626</v>
      </c>
      <c r="C10" s="123">
        <v>0</v>
      </c>
      <c r="D10" s="123">
        <v>0</v>
      </c>
      <c r="E10" s="123"/>
      <c r="F10" s="123"/>
      <c r="G10" s="128"/>
    </row>
    <row r="11" spans="2:8" x14ac:dyDescent="0.25">
      <c r="B11" s="141" t="s">
        <v>627</v>
      </c>
      <c r="C11" s="123">
        <v>124514000</v>
      </c>
      <c r="D11" s="99">
        <v>124514000</v>
      </c>
      <c r="E11" s="123"/>
      <c r="F11" s="123"/>
      <c r="G11" s="128"/>
    </row>
    <row r="12" spans="2:8" x14ac:dyDescent="0.25">
      <c r="B12" s="141" t="s">
        <v>628</v>
      </c>
      <c r="C12" s="123">
        <v>138190066</v>
      </c>
      <c r="D12" s="99">
        <v>138190866</v>
      </c>
      <c r="E12" s="123"/>
      <c r="F12" s="123"/>
      <c r="G12" s="128"/>
    </row>
    <row r="13" spans="2:8" x14ac:dyDescent="0.25">
      <c r="B13" s="141" t="s">
        <v>629</v>
      </c>
      <c r="C13" s="123">
        <v>885050000</v>
      </c>
      <c r="D13" s="123">
        <v>885050000</v>
      </c>
      <c r="E13" s="123"/>
      <c r="F13" s="123"/>
      <c r="G13" s="128"/>
    </row>
    <row r="14" spans="2:8" x14ac:dyDescent="0.25">
      <c r="B14" s="141" t="s">
        <v>630</v>
      </c>
      <c r="C14" s="123">
        <v>0</v>
      </c>
      <c r="D14" s="123">
        <v>0</v>
      </c>
      <c r="E14" s="123"/>
      <c r="F14" s="123"/>
      <c r="G14" s="128"/>
    </row>
    <row r="15" spans="2:8" x14ac:dyDescent="0.25">
      <c r="B15" s="141" t="s">
        <v>631</v>
      </c>
      <c r="C15" s="123">
        <v>164392500</v>
      </c>
      <c r="D15" s="123">
        <v>164392500</v>
      </c>
      <c r="E15" s="123"/>
      <c r="F15" s="123"/>
      <c r="G15" s="128"/>
    </row>
    <row r="16" spans="2:8" x14ac:dyDescent="0.25">
      <c r="B16" s="141" t="s">
        <v>632</v>
      </c>
      <c r="C16" s="123">
        <v>323006000</v>
      </c>
      <c r="D16" s="123">
        <v>323006000</v>
      </c>
      <c r="E16" s="123"/>
      <c r="F16" s="123"/>
      <c r="G16" s="128"/>
    </row>
    <row r="17" spans="2:7" x14ac:dyDescent="0.25">
      <c r="B17" s="141" t="s">
        <v>633</v>
      </c>
      <c r="C17" s="136">
        <v>353858000</v>
      </c>
      <c r="D17" s="136">
        <v>353858000</v>
      </c>
      <c r="E17" s="136"/>
      <c r="F17" s="136"/>
      <c r="G17" s="137"/>
    </row>
    <row r="18" spans="2:7" x14ac:dyDescent="0.25">
      <c r="B18" s="141" t="s">
        <v>634</v>
      </c>
      <c r="C18" s="136">
        <v>509999000</v>
      </c>
      <c r="D18" s="99">
        <v>509999000</v>
      </c>
      <c r="E18" s="136"/>
      <c r="F18" s="136"/>
      <c r="G18" s="137"/>
    </row>
    <row r="19" spans="2:7" x14ac:dyDescent="0.25">
      <c r="B19" s="141" t="s">
        <v>635</v>
      </c>
      <c r="C19" s="136">
        <v>371773000</v>
      </c>
      <c r="D19" s="99">
        <v>371773000</v>
      </c>
      <c r="E19" s="136"/>
      <c r="F19" s="136"/>
      <c r="G19" s="137"/>
    </row>
    <row r="20" spans="2:7" ht="15.75" thickBot="1" x14ac:dyDescent="0.3">
      <c r="B20" s="8" t="s">
        <v>636</v>
      </c>
      <c r="C20" s="124">
        <f>SUM(C5:C19)</f>
        <v>5991491200</v>
      </c>
      <c r="D20" s="124">
        <f>SUM(D5:D16)</f>
        <v>4755862000</v>
      </c>
      <c r="E20" s="124">
        <f>SUM(E5:E16)</f>
        <v>0</v>
      </c>
      <c r="F20" s="124">
        <f>SUM(F5:F16)</f>
        <v>0</v>
      </c>
      <c r="G20" s="127">
        <f>SUM(G5:G16)</f>
        <v>0</v>
      </c>
    </row>
    <row r="22" spans="2:7" ht="15.75" thickBot="1" x14ac:dyDescent="0.3">
      <c r="B22" s="121" t="s">
        <v>616</v>
      </c>
      <c r="C22" s="121"/>
      <c r="D22" s="121"/>
      <c r="E22" s="121"/>
      <c r="F22" s="121"/>
    </row>
    <row r="23" spans="2:7" ht="30" x14ac:dyDescent="0.25">
      <c r="B23" s="131" t="s">
        <v>637</v>
      </c>
      <c r="C23" s="255" t="s">
        <v>618</v>
      </c>
      <c r="D23" s="255" t="s">
        <v>619</v>
      </c>
      <c r="E23" s="255" t="s">
        <v>620</v>
      </c>
      <c r="F23" s="255" t="s">
        <v>621</v>
      </c>
      <c r="G23" s="257" t="s">
        <v>622</v>
      </c>
    </row>
    <row r="24" spans="2:7" ht="45" x14ac:dyDescent="0.25">
      <c r="B24" s="142" t="s">
        <v>641</v>
      </c>
      <c r="C24" s="256"/>
      <c r="D24" s="256"/>
      <c r="E24" s="256"/>
      <c r="F24" s="256"/>
      <c r="G24" s="258"/>
    </row>
    <row r="25" spans="2:7" x14ac:dyDescent="0.25">
      <c r="B25" s="141" t="s">
        <v>625</v>
      </c>
      <c r="C25" s="99">
        <v>0</v>
      </c>
      <c r="D25" s="99">
        <v>105000000</v>
      </c>
      <c r="E25" s="99">
        <v>0</v>
      </c>
      <c r="F25" s="99">
        <v>0</v>
      </c>
      <c r="G25" s="99">
        <v>0</v>
      </c>
    </row>
    <row r="26" spans="2:7" x14ac:dyDescent="0.25">
      <c r="B26" s="141" t="s">
        <v>626</v>
      </c>
      <c r="C26" s="99">
        <v>0</v>
      </c>
      <c r="D26" s="99">
        <v>1070000000</v>
      </c>
      <c r="E26" s="99">
        <v>0</v>
      </c>
      <c r="F26" s="99">
        <v>0</v>
      </c>
      <c r="G26" s="99">
        <v>0</v>
      </c>
    </row>
    <row r="27" spans="2:7" x14ac:dyDescent="0.25">
      <c r="B27" s="141" t="s">
        <v>628</v>
      </c>
      <c r="C27" s="99">
        <v>0</v>
      </c>
      <c r="D27" s="99">
        <v>7671453000</v>
      </c>
      <c r="E27" s="99">
        <v>0</v>
      </c>
      <c r="F27" s="99">
        <v>0</v>
      </c>
      <c r="G27" s="99">
        <v>0</v>
      </c>
    </row>
    <row r="28" spans="2:7" ht="45" x14ac:dyDescent="0.25">
      <c r="B28" s="142" t="s">
        <v>642</v>
      </c>
      <c r="C28" s="123"/>
      <c r="D28" s="99"/>
      <c r="E28" s="123"/>
      <c r="F28" s="123"/>
      <c r="G28" s="128"/>
    </row>
    <row r="29" spans="2:7" x14ac:dyDescent="0.25">
      <c r="B29" s="141" t="s">
        <v>626</v>
      </c>
      <c r="C29" s="123">
        <v>0</v>
      </c>
      <c r="D29" s="99">
        <v>1000000000</v>
      </c>
      <c r="E29" s="123">
        <v>0</v>
      </c>
      <c r="F29" s="123">
        <v>0</v>
      </c>
      <c r="G29" s="128">
        <v>0</v>
      </c>
    </row>
    <row r="30" spans="2:7" ht="30" x14ac:dyDescent="0.25">
      <c r="B30" s="142" t="s">
        <v>643</v>
      </c>
      <c r="C30" s="123"/>
      <c r="D30" s="99"/>
      <c r="E30" s="123"/>
      <c r="F30" s="123"/>
      <c r="G30" s="128"/>
    </row>
    <row r="31" spans="2:7" x14ac:dyDescent="0.25">
      <c r="B31" s="141" t="s">
        <v>626</v>
      </c>
      <c r="C31" s="123"/>
      <c r="D31" s="99">
        <v>50000000</v>
      </c>
      <c r="E31" s="123"/>
      <c r="F31" s="123"/>
      <c r="G31" s="128"/>
    </row>
    <row r="32" spans="2:7" ht="30" x14ac:dyDescent="0.25">
      <c r="B32" s="142" t="s">
        <v>644</v>
      </c>
      <c r="C32" s="123"/>
      <c r="D32" s="99"/>
      <c r="E32" s="123"/>
      <c r="F32" s="123"/>
      <c r="G32" s="128"/>
    </row>
    <row r="33" spans="2:7" x14ac:dyDescent="0.25">
      <c r="B33" s="141" t="s">
        <v>625</v>
      </c>
      <c r="C33" s="123"/>
      <c r="D33" s="99">
        <v>2491382000</v>
      </c>
      <c r="E33" s="123"/>
      <c r="F33" s="123"/>
      <c r="G33" s="128"/>
    </row>
    <row r="34" spans="2:7" ht="30" x14ac:dyDescent="0.25">
      <c r="B34" s="142" t="s">
        <v>645</v>
      </c>
      <c r="C34" s="123"/>
      <c r="D34" s="99"/>
      <c r="E34" s="123"/>
      <c r="F34" s="123"/>
      <c r="G34" s="128"/>
    </row>
    <row r="35" spans="2:7" x14ac:dyDescent="0.25">
      <c r="B35" s="141" t="s">
        <v>626</v>
      </c>
      <c r="C35" s="123"/>
      <c r="D35" s="99">
        <v>250000000</v>
      </c>
      <c r="E35" s="123"/>
      <c r="F35" s="123"/>
      <c r="G35" s="128"/>
    </row>
    <row r="36" spans="2:7" ht="30" x14ac:dyDescent="0.25">
      <c r="B36" s="142" t="s">
        <v>645</v>
      </c>
      <c r="C36" s="123"/>
      <c r="D36" s="99"/>
      <c r="E36" s="123"/>
      <c r="F36" s="123"/>
      <c r="G36" s="128"/>
    </row>
    <row r="37" spans="2:7" x14ac:dyDescent="0.25">
      <c r="B37" s="141" t="s">
        <v>625</v>
      </c>
      <c r="C37" s="123"/>
      <c r="D37" s="99">
        <v>115000000</v>
      </c>
      <c r="E37" s="123"/>
      <c r="F37" s="123"/>
      <c r="G37" s="128"/>
    </row>
    <row r="38" spans="2:7" x14ac:dyDescent="0.25">
      <c r="B38" s="141" t="s">
        <v>626</v>
      </c>
      <c r="C38" s="123"/>
      <c r="D38" s="99">
        <v>194450000</v>
      </c>
      <c r="E38" s="123"/>
      <c r="F38" s="123"/>
      <c r="G38" s="128"/>
    </row>
    <row r="39" spans="2:7" ht="30" x14ac:dyDescent="0.25">
      <c r="B39" s="142" t="s">
        <v>646</v>
      </c>
      <c r="C39" s="123"/>
      <c r="D39" s="99"/>
      <c r="E39" s="123"/>
      <c r="F39" s="123"/>
      <c r="G39" s="128"/>
    </row>
    <row r="40" spans="2:7" x14ac:dyDescent="0.25">
      <c r="B40" s="141" t="s">
        <v>626</v>
      </c>
      <c r="C40" s="123"/>
      <c r="D40" s="99">
        <v>100000000</v>
      </c>
      <c r="E40" s="123"/>
      <c r="F40" s="123"/>
      <c r="G40" s="128"/>
    </row>
    <row r="41" spans="2:7" ht="45" x14ac:dyDescent="0.25">
      <c r="B41" s="142" t="s">
        <v>640</v>
      </c>
      <c r="C41" s="123"/>
      <c r="D41" s="99"/>
      <c r="E41" s="123"/>
      <c r="F41" s="123"/>
      <c r="G41" s="128"/>
    </row>
    <row r="42" spans="2:7" x14ac:dyDescent="0.25">
      <c r="B42" s="141" t="s">
        <v>625</v>
      </c>
      <c r="C42" s="123"/>
      <c r="D42" s="99">
        <v>841375365</v>
      </c>
      <c r="E42" s="123"/>
      <c r="F42" s="123"/>
      <c r="G42" s="128"/>
    </row>
    <row r="43" spans="2:7" x14ac:dyDescent="0.25">
      <c r="B43" s="141" t="s">
        <v>627</v>
      </c>
      <c r="C43" s="123"/>
      <c r="D43" s="99">
        <v>3243692000</v>
      </c>
      <c r="E43" s="123"/>
      <c r="F43" s="123"/>
      <c r="G43" s="128"/>
    </row>
    <row r="44" spans="2:7" ht="14.25" customHeight="1" x14ac:dyDescent="0.25">
      <c r="B44" s="141" t="s">
        <v>624</v>
      </c>
      <c r="C44" s="123">
        <v>0</v>
      </c>
      <c r="D44" s="123">
        <v>1023289000</v>
      </c>
      <c r="E44" s="123">
        <v>0</v>
      </c>
      <c r="F44" s="123">
        <v>0</v>
      </c>
      <c r="G44" s="128">
        <v>0</v>
      </c>
    </row>
    <row r="45" spans="2:7" x14ac:dyDescent="0.25">
      <c r="B45" s="141" t="s">
        <v>626</v>
      </c>
      <c r="C45" s="123">
        <v>0</v>
      </c>
      <c r="D45" s="123">
        <v>2018085000</v>
      </c>
      <c r="E45" s="123">
        <v>0</v>
      </c>
      <c r="F45" s="123">
        <v>0</v>
      </c>
      <c r="G45" s="128">
        <v>0</v>
      </c>
    </row>
    <row r="46" spans="2:7" x14ac:dyDescent="0.25">
      <c r="B46" s="141" t="s">
        <v>628</v>
      </c>
      <c r="C46" s="123">
        <v>0</v>
      </c>
      <c r="D46" s="123">
        <v>1898565000</v>
      </c>
      <c r="E46" s="123">
        <v>0</v>
      </c>
      <c r="F46" s="123">
        <v>0</v>
      </c>
      <c r="G46" s="128">
        <v>0</v>
      </c>
    </row>
    <row r="47" spans="2:7" ht="30" x14ac:dyDescent="0.25">
      <c r="B47" s="142" t="s">
        <v>647</v>
      </c>
      <c r="C47" s="123"/>
      <c r="D47" s="123"/>
      <c r="E47" s="123"/>
      <c r="F47" s="123"/>
      <c r="G47" s="128"/>
    </row>
    <row r="48" spans="2:7" x14ac:dyDescent="0.25">
      <c r="B48" s="141" t="s">
        <v>625</v>
      </c>
      <c r="C48" s="123">
        <v>0</v>
      </c>
      <c r="D48" s="99">
        <v>589024635</v>
      </c>
      <c r="E48" s="123">
        <v>0</v>
      </c>
      <c r="F48" s="123">
        <v>0</v>
      </c>
      <c r="G48" s="128">
        <v>0</v>
      </c>
    </row>
    <row r="49" spans="2:7" ht="30" x14ac:dyDescent="0.25">
      <c r="B49" s="142" t="s">
        <v>648</v>
      </c>
      <c r="C49" s="123"/>
      <c r="D49" s="99"/>
      <c r="E49" s="123"/>
      <c r="F49" s="123"/>
      <c r="G49" s="128"/>
    </row>
    <row r="50" spans="2:7" x14ac:dyDescent="0.25">
      <c r="B50" s="141" t="s">
        <v>625</v>
      </c>
      <c r="C50" s="123">
        <v>0</v>
      </c>
      <c r="D50" s="123">
        <v>150000000</v>
      </c>
      <c r="E50" s="123">
        <v>0</v>
      </c>
      <c r="F50" s="123">
        <v>0</v>
      </c>
      <c r="G50" s="128">
        <v>0</v>
      </c>
    </row>
    <row r="51" spans="2:7" ht="45" x14ac:dyDescent="0.25">
      <c r="B51" s="142" t="s">
        <v>649</v>
      </c>
      <c r="C51" s="123"/>
      <c r="D51" s="123"/>
      <c r="E51" s="123"/>
      <c r="F51" s="123"/>
      <c r="G51" s="128"/>
    </row>
    <row r="52" spans="2:7" x14ac:dyDescent="0.25">
      <c r="B52" s="141" t="s">
        <v>626</v>
      </c>
      <c r="C52" s="123">
        <v>0</v>
      </c>
      <c r="D52" s="99">
        <v>4010000000</v>
      </c>
      <c r="E52" s="123">
        <v>0</v>
      </c>
      <c r="F52" s="123">
        <v>0</v>
      </c>
      <c r="G52" s="128">
        <v>0</v>
      </c>
    </row>
    <row r="53" spans="2:7" ht="45" x14ac:dyDescent="0.25">
      <c r="B53" s="142" t="s">
        <v>650</v>
      </c>
      <c r="C53" s="123"/>
      <c r="D53" s="99"/>
      <c r="E53" s="123"/>
      <c r="F53" s="123"/>
      <c r="G53" s="128"/>
    </row>
    <row r="54" spans="2:7" x14ac:dyDescent="0.25">
      <c r="B54" s="141" t="s">
        <v>625</v>
      </c>
      <c r="C54" s="123">
        <v>0</v>
      </c>
      <c r="D54" s="123">
        <v>325000000</v>
      </c>
      <c r="E54" s="123">
        <v>0</v>
      </c>
      <c r="F54" s="123">
        <v>0</v>
      </c>
      <c r="G54" s="128">
        <v>0</v>
      </c>
    </row>
    <row r="55" spans="2:7" x14ac:dyDescent="0.25">
      <c r="B55" s="141" t="s">
        <v>626</v>
      </c>
      <c r="C55" s="136"/>
      <c r="D55" s="136">
        <v>180000000</v>
      </c>
      <c r="E55" s="136"/>
      <c r="F55" s="136"/>
      <c r="G55" s="137"/>
    </row>
    <row r="56" spans="2:7" ht="15.75" thickBot="1" x14ac:dyDescent="0.3">
      <c r="B56" s="8" t="s">
        <v>636</v>
      </c>
      <c r="C56" s="124">
        <f>SUM(C25:C54)</f>
        <v>0</v>
      </c>
      <c r="D56" s="124">
        <f>SUM(D25:D55)</f>
        <v>27326316000</v>
      </c>
      <c r="E56" s="124">
        <f>SUM(E25:E54)</f>
        <v>0</v>
      </c>
      <c r="F56" s="124">
        <f>SUM(F25:F54)</f>
        <v>0</v>
      </c>
      <c r="G56" s="127">
        <f>SUM(G25:G54)</f>
        <v>0</v>
      </c>
    </row>
    <row r="58" spans="2:7" ht="15.75" thickBot="1" x14ac:dyDescent="0.3">
      <c r="B58" s="121" t="s">
        <v>616</v>
      </c>
      <c r="C58" s="121"/>
      <c r="D58" s="121"/>
      <c r="E58" s="121"/>
      <c r="F58" s="121"/>
    </row>
    <row r="59" spans="2:7" ht="30" x14ac:dyDescent="0.25">
      <c r="B59" s="133" t="s">
        <v>638</v>
      </c>
      <c r="C59" s="251" t="s">
        <v>618</v>
      </c>
      <c r="D59" s="251" t="s">
        <v>619</v>
      </c>
      <c r="E59" s="251" t="s">
        <v>620</v>
      </c>
      <c r="F59" s="251" t="s">
        <v>621</v>
      </c>
      <c r="G59" s="253" t="s">
        <v>622</v>
      </c>
    </row>
    <row r="60" spans="2:7" x14ac:dyDescent="0.25">
      <c r="B60" s="134" t="s">
        <v>623</v>
      </c>
      <c r="C60" s="252"/>
      <c r="D60" s="252"/>
      <c r="E60" s="252"/>
      <c r="F60" s="252"/>
      <c r="G60" s="254"/>
    </row>
    <row r="61" spans="2:7" x14ac:dyDescent="0.25">
      <c r="B61" s="122" t="s">
        <v>624</v>
      </c>
      <c r="C61" s="123">
        <v>0</v>
      </c>
      <c r="D61" s="123">
        <v>0</v>
      </c>
      <c r="E61" s="123">
        <v>0</v>
      </c>
      <c r="F61" s="123">
        <v>0</v>
      </c>
      <c r="G61" s="128">
        <v>0</v>
      </c>
    </row>
    <row r="62" spans="2:7" x14ac:dyDescent="0.25">
      <c r="B62" s="122" t="s">
        <v>625</v>
      </c>
      <c r="C62" s="123">
        <v>0</v>
      </c>
      <c r="D62" s="123">
        <v>0</v>
      </c>
      <c r="E62" s="123">
        <v>0</v>
      </c>
      <c r="F62" s="123">
        <v>0</v>
      </c>
      <c r="G62" s="128">
        <v>0</v>
      </c>
    </row>
    <row r="63" spans="2:7" x14ac:dyDescent="0.25">
      <c r="B63" s="122" t="s">
        <v>626</v>
      </c>
      <c r="C63" s="123">
        <v>0</v>
      </c>
      <c r="D63" s="123">
        <v>0</v>
      </c>
      <c r="E63" s="123">
        <v>0</v>
      </c>
      <c r="F63" s="123">
        <v>0</v>
      </c>
      <c r="G63" s="128">
        <v>0</v>
      </c>
    </row>
    <row r="64" spans="2:7" x14ac:dyDescent="0.25">
      <c r="B64" s="122" t="s">
        <v>627</v>
      </c>
      <c r="C64" s="123">
        <v>0</v>
      </c>
      <c r="D64" s="123">
        <v>0</v>
      </c>
      <c r="E64" s="123">
        <v>0</v>
      </c>
      <c r="F64" s="123">
        <v>0</v>
      </c>
      <c r="G64" s="128">
        <v>0</v>
      </c>
    </row>
    <row r="65" spans="2:8" x14ac:dyDescent="0.25">
      <c r="B65" s="122" t="s">
        <v>628</v>
      </c>
      <c r="C65" s="123">
        <v>0</v>
      </c>
      <c r="D65" s="123">
        <v>0</v>
      </c>
      <c r="E65" s="123">
        <v>0</v>
      </c>
      <c r="F65" s="123">
        <v>0</v>
      </c>
      <c r="G65" s="128">
        <v>0</v>
      </c>
    </row>
    <row r="66" spans="2:8" x14ac:dyDescent="0.25">
      <c r="B66" s="122" t="s">
        <v>629</v>
      </c>
      <c r="C66" s="123">
        <v>0</v>
      </c>
      <c r="D66" s="123">
        <v>0</v>
      </c>
      <c r="E66" s="123">
        <v>0</v>
      </c>
      <c r="F66" s="123">
        <v>0</v>
      </c>
      <c r="G66" s="128">
        <v>0</v>
      </c>
    </row>
    <row r="67" spans="2:8" x14ac:dyDescent="0.25">
      <c r="B67" s="122" t="s">
        <v>630</v>
      </c>
      <c r="C67" s="125">
        <v>2924147000</v>
      </c>
      <c r="D67" s="125">
        <v>2924147000</v>
      </c>
      <c r="E67" s="125">
        <v>2924147000</v>
      </c>
      <c r="F67" s="125">
        <v>2924147000</v>
      </c>
      <c r="G67" s="126">
        <v>2924147000</v>
      </c>
    </row>
    <row r="68" spans="2:8" x14ac:dyDescent="0.25">
      <c r="B68" s="122" t="s">
        <v>631</v>
      </c>
      <c r="C68" s="123">
        <v>0</v>
      </c>
      <c r="D68" s="123">
        <v>0</v>
      </c>
      <c r="E68" s="123">
        <v>0</v>
      </c>
      <c r="F68" s="123">
        <v>0</v>
      </c>
      <c r="G68" s="128">
        <v>0</v>
      </c>
    </row>
    <row r="69" spans="2:8" x14ac:dyDescent="0.25">
      <c r="B69" s="122" t="s">
        <v>632</v>
      </c>
      <c r="C69" s="123">
        <v>0</v>
      </c>
      <c r="D69" s="123">
        <v>0</v>
      </c>
      <c r="E69" s="123">
        <v>0</v>
      </c>
      <c r="F69" s="123">
        <v>0</v>
      </c>
      <c r="G69" s="128">
        <v>0</v>
      </c>
    </row>
    <row r="70" spans="2:8" x14ac:dyDescent="0.25">
      <c r="B70" s="122" t="s">
        <v>633</v>
      </c>
      <c r="C70" s="123">
        <v>0</v>
      </c>
      <c r="D70" s="123">
        <v>0</v>
      </c>
      <c r="E70" s="123">
        <v>0</v>
      </c>
      <c r="F70" s="123">
        <v>0</v>
      </c>
      <c r="G70" s="128">
        <v>0</v>
      </c>
    </row>
    <row r="71" spans="2:8" x14ac:dyDescent="0.25">
      <c r="B71" s="122" t="s">
        <v>634</v>
      </c>
      <c r="C71" s="123">
        <v>0</v>
      </c>
      <c r="D71" s="123">
        <v>0</v>
      </c>
      <c r="E71" s="123">
        <v>0</v>
      </c>
      <c r="F71" s="123">
        <v>0</v>
      </c>
      <c r="G71" s="128">
        <v>0</v>
      </c>
    </row>
    <row r="72" spans="2:8" x14ac:dyDescent="0.25">
      <c r="B72" s="122" t="s">
        <v>635</v>
      </c>
      <c r="C72" s="123">
        <v>0</v>
      </c>
      <c r="D72" s="123">
        <v>0</v>
      </c>
      <c r="E72" s="123">
        <v>0</v>
      </c>
      <c r="F72" s="123">
        <v>0</v>
      </c>
      <c r="G72" s="128">
        <v>0</v>
      </c>
    </row>
    <row r="73" spans="2:8" ht="15.75" thickBot="1" x14ac:dyDescent="0.3">
      <c r="B73" s="8" t="s">
        <v>636</v>
      </c>
      <c r="C73" s="124">
        <f>SUM(C61:C72)</f>
        <v>2924147000</v>
      </c>
      <c r="D73" s="124">
        <f>SUM(D61:D72)</f>
        <v>2924147000</v>
      </c>
      <c r="E73" s="124">
        <f>SUM(E61:E72)</f>
        <v>2924147000</v>
      </c>
      <c r="F73" s="124">
        <f>SUM(F61:F72)</f>
        <v>2924147000</v>
      </c>
      <c r="G73" s="127">
        <f>SUM(G61:G72)</f>
        <v>2924147000</v>
      </c>
      <c r="H73" s="119"/>
    </row>
  </sheetData>
  <mergeCells count="15">
    <mergeCell ref="C3:C4"/>
    <mergeCell ref="D3:D4"/>
    <mergeCell ref="E3:E4"/>
    <mergeCell ref="F3:F4"/>
    <mergeCell ref="G3:G4"/>
    <mergeCell ref="C59:C60"/>
    <mergeCell ref="D59:D60"/>
    <mergeCell ref="E59:E60"/>
    <mergeCell ref="F59:F60"/>
    <mergeCell ref="G59:G60"/>
    <mergeCell ref="C23:C24"/>
    <mergeCell ref="D23:D24"/>
    <mergeCell ref="E23:E24"/>
    <mergeCell ref="F23:F24"/>
    <mergeCell ref="G23:G24"/>
  </mergeCells>
  <pageMargins left="0.7" right="0.7" top="0.75" bottom="0.75" header="0.3" footer="0.3"/>
  <ignoredErrors>
    <ignoredError sqref="D5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10" zoomScale="85" zoomScaleNormal="85" workbookViewId="0">
      <selection activeCell="C3" sqref="C3:C11"/>
    </sheetView>
  </sheetViews>
  <sheetFormatPr baseColWidth="10" defaultRowHeight="15" x14ac:dyDescent="0.25"/>
  <cols>
    <col min="2" max="2" width="11.28515625" bestFit="1" customWidth="1"/>
    <col min="3" max="3" width="67" style="48" bestFit="1" customWidth="1"/>
    <col min="4" max="4" width="17.85546875" bestFit="1" customWidth="1"/>
    <col min="5" max="5" width="25.42578125" bestFit="1" customWidth="1"/>
    <col min="6" max="6" width="18.42578125" style="49" bestFit="1" customWidth="1"/>
    <col min="7" max="7" width="18.42578125" bestFit="1" customWidth="1"/>
    <col min="8" max="8" width="18.42578125" style="49" bestFit="1" customWidth="1"/>
    <col min="9" max="9" width="23.140625" bestFit="1" customWidth="1"/>
    <col min="10" max="10" width="16.140625" customWidth="1"/>
  </cols>
  <sheetData>
    <row r="1" spans="2:9" ht="15.75" thickBot="1" x14ac:dyDescent="0.3"/>
    <row r="2" spans="2:9" ht="30" x14ac:dyDescent="0.25">
      <c r="B2" s="50" t="s">
        <v>651</v>
      </c>
      <c r="C2" s="51" t="s">
        <v>652</v>
      </c>
      <c r="D2" s="52" t="s">
        <v>653</v>
      </c>
      <c r="E2" s="52" t="s">
        <v>654</v>
      </c>
      <c r="F2" s="53" t="s">
        <v>655</v>
      </c>
      <c r="G2" s="54" t="s">
        <v>656</v>
      </c>
      <c r="H2" s="54" t="s">
        <v>657</v>
      </c>
    </row>
    <row r="3" spans="2:9" ht="45" x14ac:dyDescent="0.25">
      <c r="B3" s="55"/>
      <c r="C3" s="56" t="s">
        <v>658</v>
      </c>
      <c r="D3" s="92">
        <v>6530900000</v>
      </c>
      <c r="E3" s="92">
        <v>3243692000</v>
      </c>
      <c r="F3" s="93">
        <f>E3</f>
        <v>3243692000</v>
      </c>
      <c r="G3" s="97">
        <v>3243692000</v>
      </c>
      <c r="H3" s="97">
        <f t="shared" ref="H3:H11" si="0">F3-G3</f>
        <v>0</v>
      </c>
    </row>
    <row r="4" spans="2:9" ht="45" x14ac:dyDescent="0.25">
      <c r="B4" s="55"/>
      <c r="C4" s="56" t="s">
        <v>145</v>
      </c>
      <c r="D4" s="92">
        <v>2800779000</v>
      </c>
      <c r="E4" s="92">
        <v>1186854000</v>
      </c>
      <c r="F4" s="93">
        <v>1126789000</v>
      </c>
      <c r="G4" s="97">
        <v>1126789000</v>
      </c>
      <c r="H4" s="97">
        <f t="shared" si="0"/>
        <v>0</v>
      </c>
      <c r="I4" s="99"/>
    </row>
    <row r="5" spans="2:9" ht="45" x14ac:dyDescent="0.25">
      <c r="B5" s="55"/>
      <c r="C5" s="56" t="s">
        <v>390</v>
      </c>
      <c r="D5" s="92">
        <v>175000000</v>
      </c>
      <c r="E5" s="92">
        <v>0</v>
      </c>
      <c r="F5" s="93"/>
      <c r="G5" s="97">
        <v>25000000</v>
      </c>
      <c r="H5" s="98">
        <f t="shared" si="0"/>
        <v>-25000000</v>
      </c>
    </row>
    <row r="6" spans="2:9" x14ac:dyDescent="0.25">
      <c r="B6" s="55"/>
      <c r="C6" s="56" t="s">
        <v>382</v>
      </c>
      <c r="D6" s="92">
        <v>3361000000</v>
      </c>
      <c r="E6" s="92">
        <v>600000000</v>
      </c>
      <c r="F6" s="93">
        <f>E6</f>
        <v>600000000</v>
      </c>
      <c r="G6" s="97">
        <v>1990382000</v>
      </c>
      <c r="H6" s="98">
        <f t="shared" si="0"/>
        <v>-1390382000</v>
      </c>
    </row>
    <row r="7" spans="2:9" ht="45" x14ac:dyDescent="0.25">
      <c r="B7" s="55"/>
      <c r="C7" s="56" t="s">
        <v>167</v>
      </c>
      <c r="D7" s="92">
        <v>5389000000</v>
      </c>
      <c r="E7" s="92">
        <v>926548000</v>
      </c>
      <c r="F7" s="93">
        <v>2000000000</v>
      </c>
      <c r="G7" s="97">
        <v>2000000000</v>
      </c>
      <c r="H7" s="97">
        <f t="shared" si="0"/>
        <v>0</v>
      </c>
    </row>
    <row r="8" spans="2:9" ht="30" x14ac:dyDescent="0.25">
      <c r="B8" s="55"/>
      <c r="C8" s="56" t="s">
        <v>163</v>
      </c>
      <c r="D8" s="94">
        <v>5600000000</v>
      </c>
      <c r="E8" s="94">
        <v>7281553000</v>
      </c>
      <c r="F8" s="93">
        <f>E8</f>
        <v>7281553000</v>
      </c>
      <c r="G8" s="97">
        <v>7281553000</v>
      </c>
      <c r="H8" s="97">
        <f t="shared" si="0"/>
        <v>0</v>
      </c>
    </row>
    <row r="9" spans="2:9" ht="30" x14ac:dyDescent="0.25">
      <c r="B9" s="55"/>
      <c r="C9" s="56" t="s">
        <v>341</v>
      </c>
      <c r="D9" s="92">
        <v>5434174000</v>
      </c>
      <c r="E9" s="92">
        <v>4206688000</v>
      </c>
      <c r="F9" s="93">
        <v>3913282000</v>
      </c>
      <c r="G9" s="97">
        <v>2497900000</v>
      </c>
      <c r="H9" s="98">
        <f t="shared" si="0"/>
        <v>1415382000</v>
      </c>
    </row>
    <row r="10" spans="2:9" ht="30" x14ac:dyDescent="0.25">
      <c r="B10" s="55"/>
      <c r="C10" s="56" t="s">
        <v>230</v>
      </c>
      <c r="D10" s="92">
        <v>1554802000</v>
      </c>
      <c r="E10" s="92">
        <v>2597836000</v>
      </c>
      <c r="F10" s="93">
        <v>1991000000</v>
      </c>
      <c r="G10" s="97">
        <v>1347970000</v>
      </c>
      <c r="H10" s="98">
        <f t="shared" si="0"/>
        <v>643030000</v>
      </c>
    </row>
    <row r="11" spans="2:9" ht="30" x14ac:dyDescent="0.25">
      <c r="B11" s="55"/>
      <c r="C11" s="56" t="s">
        <v>225</v>
      </c>
      <c r="D11" s="92">
        <v>8395198000</v>
      </c>
      <c r="E11" s="92">
        <v>7283145000</v>
      </c>
      <c r="F11" s="93">
        <v>7170000000</v>
      </c>
      <c r="G11" s="97">
        <v>7813030000</v>
      </c>
      <c r="H11" s="98">
        <f t="shared" si="0"/>
        <v>-643030000</v>
      </c>
    </row>
    <row r="12" spans="2:9" ht="15.75" thickBot="1" x14ac:dyDescent="0.3">
      <c r="B12" s="55"/>
      <c r="C12" s="57" t="s">
        <v>659</v>
      </c>
      <c r="D12" s="95">
        <f>SUM(D3:D11)</f>
        <v>39240853000</v>
      </c>
      <c r="E12" s="95">
        <f>SUM(E3:E11)</f>
        <v>27326316000</v>
      </c>
      <c r="F12" s="96">
        <f>SUM(F3:F11)</f>
        <v>27326316000</v>
      </c>
      <c r="G12" s="95">
        <f>SUM(G3:G11)</f>
        <v>27326316000</v>
      </c>
      <c r="H12" s="95">
        <f>SUM(H3:H11)</f>
        <v>0</v>
      </c>
    </row>
    <row r="13" spans="2:9" x14ac:dyDescent="0.25">
      <c r="D13" s="58"/>
      <c r="I13" s="58"/>
    </row>
    <row r="15" spans="2:9" x14ac:dyDescent="0.25">
      <c r="B15" s="54" t="s">
        <v>651</v>
      </c>
      <c r="C15" s="54" t="s">
        <v>660</v>
      </c>
      <c r="D15" s="54" t="s">
        <v>653</v>
      </c>
      <c r="E15" s="59" t="s">
        <v>661</v>
      </c>
      <c r="F15" s="54" t="s">
        <v>656</v>
      </c>
      <c r="G15" s="54" t="s">
        <v>657</v>
      </c>
    </row>
    <row r="16" spans="2:9" s="88" customFormat="1" ht="30" x14ac:dyDescent="0.25">
      <c r="B16" s="86"/>
      <c r="C16" s="84" t="s">
        <v>662</v>
      </c>
      <c r="D16" s="62">
        <v>403677000</v>
      </c>
      <c r="E16" s="63">
        <v>385856000</v>
      </c>
      <c r="F16" s="89">
        <v>403423000</v>
      </c>
      <c r="G16" s="90">
        <f>E16-F16</f>
        <v>-17567000</v>
      </c>
      <c r="H16" s="87"/>
    </row>
    <row r="17" spans="2:9" s="88" customFormat="1" ht="30" x14ac:dyDescent="0.25">
      <c r="B17" s="86"/>
      <c r="C17" s="85" t="s">
        <v>663</v>
      </c>
      <c r="D17" s="65">
        <v>4484334000</v>
      </c>
      <c r="E17" s="66">
        <v>2252124000</v>
      </c>
      <c r="F17" s="91">
        <v>2231657000</v>
      </c>
      <c r="G17" s="90">
        <f>E17-F17</f>
        <v>20467000</v>
      </c>
      <c r="H17" s="87"/>
    </row>
    <row r="18" spans="2:9" s="88" customFormat="1" x14ac:dyDescent="0.25">
      <c r="B18" s="86"/>
      <c r="C18" s="84" t="s">
        <v>95</v>
      </c>
      <c r="D18" s="62">
        <v>127000000</v>
      </c>
      <c r="E18" s="63">
        <v>286167000</v>
      </c>
      <c r="F18" s="89">
        <v>289067000</v>
      </c>
      <c r="G18" s="90">
        <f>E18-F18</f>
        <v>-2900000</v>
      </c>
      <c r="H18" s="87"/>
    </row>
    <row r="19" spans="2:9" s="88" customFormat="1" x14ac:dyDescent="0.25">
      <c r="B19" s="86"/>
      <c r="C19" s="54" t="s">
        <v>664</v>
      </c>
      <c r="D19" s="67">
        <f>SUM(D16:D18)</f>
        <v>5015011000</v>
      </c>
      <c r="E19" s="68">
        <f>SUM(E16:E18)</f>
        <v>2924147000</v>
      </c>
      <c r="F19" s="67">
        <f>SUM(F16:F18)</f>
        <v>2924147000</v>
      </c>
      <c r="G19" s="67">
        <f>SUM(G16:G18)</f>
        <v>0</v>
      </c>
      <c r="H19" s="87"/>
    </row>
    <row r="20" spans="2:9" x14ac:dyDescent="0.25">
      <c r="D20" s="69">
        <v>5015011000</v>
      </c>
    </row>
    <row r="22" spans="2:9" x14ac:dyDescent="0.25">
      <c r="B22" s="54" t="s">
        <v>651</v>
      </c>
      <c r="C22" s="54" t="s">
        <v>665</v>
      </c>
      <c r="D22" s="54" t="s">
        <v>653</v>
      </c>
      <c r="E22" s="59" t="s">
        <v>661</v>
      </c>
      <c r="F22" s="54" t="s">
        <v>656</v>
      </c>
      <c r="G22" s="54" t="s">
        <v>657</v>
      </c>
    </row>
    <row r="23" spans="2:9" s="48" customFormat="1" x14ac:dyDescent="0.25">
      <c r="B23" s="78"/>
      <c r="C23" s="61" t="s">
        <v>666</v>
      </c>
      <c r="D23" s="70">
        <v>10744136000</v>
      </c>
      <c r="E23" s="71">
        <v>5991492000</v>
      </c>
      <c r="F23" s="79">
        <v>5853301134</v>
      </c>
      <c r="G23" s="80"/>
      <c r="H23" s="81"/>
      <c r="I23" s="82"/>
    </row>
    <row r="24" spans="2:9" s="48" customFormat="1" ht="30" x14ac:dyDescent="0.25">
      <c r="B24" s="78"/>
      <c r="C24" s="64" t="s">
        <v>667</v>
      </c>
      <c r="D24" s="72">
        <v>1000000000</v>
      </c>
      <c r="E24" s="73">
        <v>0</v>
      </c>
      <c r="F24" s="83">
        <v>138190866</v>
      </c>
      <c r="G24" s="78"/>
      <c r="H24" s="81"/>
    </row>
    <row r="25" spans="2:9" x14ac:dyDescent="0.25">
      <c r="B25" s="60"/>
      <c r="C25" s="74" t="s">
        <v>668</v>
      </c>
      <c r="D25" s="75">
        <f>D23+D24</f>
        <v>11744136000</v>
      </c>
      <c r="E25" s="76">
        <f>E23+E24</f>
        <v>5991492000</v>
      </c>
      <c r="F25" s="75">
        <f>F23+F24</f>
        <v>5991492000</v>
      </c>
      <c r="G25" s="75">
        <f>G23+G24</f>
        <v>0</v>
      </c>
    </row>
    <row r="26" spans="2:9" x14ac:dyDescent="0.25">
      <c r="D26" s="58">
        <v>11744136000</v>
      </c>
    </row>
    <row r="27" spans="2:9" x14ac:dyDescent="0.25">
      <c r="D27" s="58"/>
    </row>
    <row r="28" spans="2:9" x14ac:dyDescent="0.25">
      <c r="D28" s="77">
        <f>D12+D19+D25</f>
        <v>56000000000</v>
      </c>
      <c r="E28" s="77"/>
    </row>
  </sheetData>
  <pageMargins left="0.7" right="0.7" top="0.75" bottom="0.75" header="0.3" footer="0.3"/>
  <pageSetup scale="48"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9"/>
    <col min="2" max="2" width="21.7109375" style="9" hidden="1" customWidth="1"/>
    <col min="3" max="3" width="63.7109375" style="10" customWidth="1"/>
    <col min="4" max="4" width="22.28515625" style="9" hidden="1" customWidth="1"/>
    <col min="5" max="5" width="25.7109375" style="9" hidden="1" customWidth="1"/>
    <col min="6" max="6" width="25.7109375" style="11" customWidth="1"/>
    <col min="7" max="7" width="26.7109375" style="9" hidden="1" customWidth="1"/>
    <col min="8" max="8" width="22.42578125" style="11" bestFit="1" customWidth="1"/>
    <col min="9" max="9" width="23.140625" style="9" bestFit="1" customWidth="1"/>
    <col min="10" max="10" width="16.140625" style="9" customWidth="1"/>
    <col min="11" max="16384" width="11.42578125" style="9"/>
  </cols>
  <sheetData>
    <row r="1" spans="2:9" ht="15" thickBot="1" x14ac:dyDescent="0.25"/>
    <row r="2" spans="2:9" ht="26.25" customHeight="1" x14ac:dyDescent="0.2">
      <c r="B2" s="12" t="s">
        <v>651</v>
      </c>
      <c r="C2" s="13" t="s">
        <v>652</v>
      </c>
      <c r="D2" s="14" t="s">
        <v>653</v>
      </c>
      <c r="E2" s="14" t="s">
        <v>654</v>
      </c>
      <c r="F2" s="14" t="s">
        <v>655</v>
      </c>
      <c r="G2" s="15" t="s">
        <v>657</v>
      </c>
      <c r="H2" s="16" t="s">
        <v>656</v>
      </c>
      <c r="I2" s="16" t="s">
        <v>657</v>
      </c>
    </row>
    <row r="3" spans="2:9" ht="48.75" customHeight="1" x14ac:dyDescent="0.2">
      <c r="B3" s="17"/>
      <c r="C3" s="18" t="s">
        <v>669</v>
      </c>
      <c r="D3" s="19">
        <v>6530900000</v>
      </c>
      <c r="E3" s="19">
        <v>3243692000</v>
      </c>
      <c r="F3" s="20">
        <f>E3</f>
        <v>3243692000</v>
      </c>
      <c r="G3" s="21">
        <f>F3-E3</f>
        <v>0</v>
      </c>
      <c r="H3" s="22">
        <v>3243692000</v>
      </c>
      <c r="I3" s="23">
        <f>F3-H3</f>
        <v>0</v>
      </c>
    </row>
    <row r="4" spans="2:9" ht="52.5" customHeight="1" x14ac:dyDescent="0.2">
      <c r="B4" s="17"/>
      <c r="C4" s="18" t="s">
        <v>670</v>
      </c>
      <c r="D4" s="19">
        <v>2800779000</v>
      </c>
      <c r="E4" s="19">
        <v>1186854000</v>
      </c>
      <c r="F4" s="20">
        <v>1126789000</v>
      </c>
      <c r="G4" s="24">
        <f t="shared" ref="G4:G11" si="0">F4-E4</f>
        <v>-60065000</v>
      </c>
      <c r="H4" s="22">
        <v>1126789000</v>
      </c>
      <c r="I4" s="23">
        <f t="shared" ref="I4:I11" si="1">F4-H4</f>
        <v>0</v>
      </c>
    </row>
    <row r="5" spans="2:9" ht="42.75" x14ac:dyDescent="0.2">
      <c r="B5" s="17"/>
      <c r="C5" s="18" t="s">
        <v>671</v>
      </c>
      <c r="D5" s="19">
        <v>175000000</v>
      </c>
      <c r="E5" s="19">
        <v>0</v>
      </c>
      <c r="F5" s="20"/>
      <c r="G5" s="21">
        <f t="shared" si="0"/>
        <v>0</v>
      </c>
      <c r="H5" s="22">
        <v>25000000</v>
      </c>
      <c r="I5" s="25">
        <f>F5-H5</f>
        <v>-25000000</v>
      </c>
    </row>
    <row r="6" spans="2:9" x14ac:dyDescent="0.2">
      <c r="B6" s="17"/>
      <c r="C6" s="18" t="s">
        <v>672</v>
      </c>
      <c r="D6" s="19">
        <v>3361000000</v>
      </c>
      <c r="E6" s="19">
        <v>600000000</v>
      </c>
      <c r="F6" s="20">
        <f>E6</f>
        <v>600000000</v>
      </c>
      <c r="G6" s="21">
        <f t="shared" si="0"/>
        <v>0</v>
      </c>
      <c r="H6" s="22">
        <v>2084782000</v>
      </c>
      <c r="I6" s="25">
        <f t="shared" si="1"/>
        <v>-1484782000</v>
      </c>
    </row>
    <row r="7" spans="2:9" ht="54" customHeight="1" x14ac:dyDescent="0.2">
      <c r="B7" s="17"/>
      <c r="C7" s="18" t="s">
        <v>673</v>
      </c>
      <c r="D7" s="19">
        <v>5389000000</v>
      </c>
      <c r="E7" s="19">
        <v>926548000</v>
      </c>
      <c r="F7" s="20">
        <v>2000000000</v>
      </c>
      <c r="G7" s="26">
        <f t="shared" si="0"/>
        <v>1073452000</v>
      </c>
      <c r="H7" s="22">
        <v>2000000000</v>
      </c>
      <c r="I7" s="23">
        <f t="shared" si="1"/>
        <v>0</v>
      </c>
    </row>
    <row r="8" spans="2:9" ht="51" customHeight="1" x14ac:dyDescent="0.2">
      <c r="B8" s="17"/>
      <c r="C8" s="18" t="s">
        <v>674</v>
      </c>
      <c r="D8" s="19">
        <v>5600000000</v>
      </c>
      <c r="E8" s="19">
        <v>7281553000</v>
      </c>
      <c r="F8" s="27">
        <f>E8</f>
        <v>7281553000</v>
      </c>
      <c r="G8" s="21">
        <f t="shared" si="0"/>
        <v>0</v>
      </c>
      <c r="H8" s="22">
        <v>7281553000</v>
      </c>
      <c r="I8" s="23">
        <f t="shared" si="1"/>
        <v>0</v>
      </c>
    </row>
    <row r="9" spans="2:9" ht="28.5" x14ac:dyDescent="0.2">
      <c r="B9" s="17"/>
      <c r="C9" s="18" t="s">
        <v>675</v>
      </c>
      <c r="D9" s="19">
        <v>5434174000</v>
      </c>
      <c r="E9" s="19">
        <v>4206688000</v>
      </c>
      <c r="F9" s="20">
        <v>3913282000</v>
      </c>
      <c r="G9" s="24">
        <f t="shared" si="0"/>
        <v>-293406000</v>
      </c>
      <c r="H9" s="22">
        <v>2403500000</v>
      </c>
      <c r="I9" s="25">
        <f>F9-H9</f>
        <v>1509782000</v>
      </c>
    </row>
    <row r="10" spans="2:9" ht="28.5" x14ac:dyDescent="0.2">
      <c r="B10" s="17"/>
      <c r="C10" s="18" t="s">
        <v>676</v>
      </c>
      <c r="D10" s="19">
        <v>1554802000</v>
      </c>
      <c r="E10" s="19">
        <v>2597836000</v>
      </c>
      <c r="F10" s="20">
        <v>1991000000</v>
      </c>
      <c r="G10" s="24">
        <f t="shared" si="0"/>
        <v>-606836000</v>
      </c>
      <c r="H10" s="22">
        <v>1347970000</v>
      </c>
      <c r="I10" s="25">
        <f t="shared" si="1"/>
        <v>643030000</v>
      </c>
    </row>
    <row r="11" spans="2:9" ht="28.5" x14ac:dyDescent="0.2">
      <c r="B11" s="17"/>
      <c r="C11" s="18" t="s">
        <v>677</v>
      </c>
      <c r="D11" s="19">
        <v>8395198000</v>
      </c>
      <c r="E11" s="19">
        <v>7283145000</v>
      </c>
      <c r="F11" s="20">
        <v>7170000000</v>
      </c>
      <c r="G11" s="24">
        <f t="shared" si="0"/>
        <v>-113145000</v>
      </c>
      <c r="H11" s="22">
        <v>7813030000</v>
      </c>
      <c r="I11" s="25">
        <f t="shared" si="1"/>
        <v>-643030000</v>
      </c>
    </row>
    <row r="12" spans="2:9" ht="15" thickBot="1" x14ac:dyDescent="0.25">
      <c r="B12" s="17"/>
      <c r="C12" s="28" t="s">
        <v>659</v>
      </c>
      <c r="D12" s="29">
        <f t="shared" ref="D12:I12" si="2">SUM(D3:D11)</f>
        <v>39240853000</v>
      </c>
      <c r="E12" s="29">
        <f t="shared" si="2"/>
        <v>27326316000</v>
      </c>
      <c r="F12" s="29">
        <f t="shared" si="2"/>
        <v>27326316000</v>
      </c>
      <c r="G12" s="29">
        <f t="shared" si="2"/>
        <v>0</v>
      </c>
      <c r="H12" s="29">
        <f t="shared" si="2"/>
        <v>27326316000</v>
      </c>
      <c r="I12" s="29">
        <f t="shared" si="2"/>
        <v>0</v>
      </c>
    </row>
    <row r="13" spans="2:9" x14ac:dyDescent="0.2">
      <c r="D13" s="30"/>
      <c r="I13" s="30"/>
    </row>
    <row r="15" spans="2:9" x14ac:dyDescent="0.2">
      <c r="B15" s="16" t="s">
        <v>651</v>
      </c>
      <c r="C15" s="16" t="s">
        <v>660</v>
      </c>
      <c r="D15" s="16" t="s">
        <v>653</v>
      </c>
      <c r="E15" s="16" t="s">
        <v>661</v>
      </c>
      <c r="F15" s="16" t="s">
        <v>656</v>
      </c>
      <c r="G15" s="16" t="s">
        <v>657</v>
      </c>
    </row>
    <row r="16" spans="2:9" ht="54" customHeight="1" x14ac:dyDescent="0.2">
      <c r="B16" s="31"/>
      <c r="C16" s="32" t="s">
        <v>678</v>
      </c>
      <c r="D16" s="33">
        <v>403677000</v>
      </c>
      <c r="E16" s="33">
        <v>385856000</v>
      </c>
      <c r="F16" s="20">
        <v>403423000</v>
      </c>
      <c r="G16" s="23">
        <f>E16-F16</f>
        <v>-17567000</v>
      </c>
    </row>
    <row r="17" spans="2:9" ht="36" customHeight="1" x14ac:dyDescent="0.2">
      <c r="B17" s="31"/>
      <c r="C17" s="34" t="s">
        <v>679</v>
      </c>
      <c r="D17" s="35">
        <v>4484334000</v>
      </c>
      <c r="E17" s="47">
        <v>2252124000</v>
      </c>
      <c r="F17" s="20">
        <v>2231657000</v>
      </c>
      <c r="G17" s="23">
        <f>E17-F17</f>
        <v>20467000</v>
      </c>
    </row>
    <row r="18" spans="2:9" x14ac:dyDescent="0.2">
      <c r="B18" s="31"/>
      <c r="C18" s="32" t="s">
        <v>680</v>
      </c>
      <c r="D18" s="33">
        <v>127000000</v>
      </c>
      <c r="E18" s="33">
        <v>286167000</v>
      </c>
      <c r="F18" s="20">
        <v>289067000</v>
      </c>
      <c r="G18" s="23">
        <f>E18-F18</f>
        <v>-2900000</v>
      </c>
    </row>
    <row r="19" spans="2:9" x14ac:dyDescent="0.2">
      <c r="B19" s="31"/>
      <c r="C19" s="16" t="s">
        <v>664</v>
      </c>
      <c r="D19" s="36">
        <f>SUM(D16:D18)</f>
        <v>5015011000</v>
      </c>
      <c r="E19" s="36">
        <f>SUM(E16:E18)</f>
        <v>2924147000</v>
      </c>
      <c r="F19" s="37">
        <f>SUM(F16:F18)</f>
        <v>2924147000</v>
      </c>
      <c r="G19" s="37">
        <f>SUM(G16:G18)</f>
        <v>0</v>
      </c>
    </row>
    <row r="20" spans="2:9" x14ac:dyDescent="0.2">
      <c r="D20" s="38">
        <v>5015011000</v>
      </c>
    </row>
    <row r="22" spans="2:9" x14ac:dyDescent="0.2">
      <c r="B22" s="16" t="s">
        <v>651</v>
      </c>
      <c r="C22" s="16" t="s">
        <v>665</v>
      </c>
      <c r="D22" s="16" t="s">
        <v>653</v>
      </c>
      <c r="E22" s="16" t="s">
        <v>661</v>
      </c>
      <c r="F22" s="16" t="s">
        <v>656</v>
      </c>
      <c r="G22" s="16" t="s">
        <v>657</v>
      </c>
    </row>
    <row r="23" spans="2:9" ht="28.5" x14ac:dyDescent="0.2">
      <c r="B23" s="31"/>
      <c r="C23" s="32" t="s">
        <v>666</v>
      </c>
      <c r="D23" s="39">
        <v>10744136000</v>
      </c>
      <c r="E23" s="39">
        <v>5991492000</v>
      </c>
      <c r="F23" s="22">
        <v>5853301134</v>
      </c>
      <c r="G23" s="40"/>
      <c r="I23" s="30"/>
    </row>
    <row r="24" spans="2:9" ht="50.25" customHeight="1" x14ac:dyDescent="0.2">
      <c r="B24" s="31"/>
      <c r="C24" s="34" t="s">
        <v>667</v>
      </c>
      <c r="D24" s="41">
        <v>1000000000</v>
      </c>
      <c r="E24" s="42">
        <v>0</v>
      </c>
      <c r="F24" s="43">
        <v>138190866</v>
      </c>
      <c r="G24" s="31"/>
    </row>
    <row r="25" spans="2:9" x14ac:dyDescent="0.2">
      <c r="B25" s="31"/>
      <c r="C25" s="44" t="s">
        <v>668</v>
      </c>
      <c r="D25" s="45">
        <f>D23+D24</f>
        <v>11744136000</v>
      </c>
      <c r="E25" s="45">
        <f>E23+E24</f>
        <v>5991492000</v>
      </c>
      <c r="F25" s="45">
        <f>F23+F24</f>
        <v>5991492000</v>
      </c>
      <c r="G25" s="45">
        <f>G23+G24</f>
        <v>0</v>
      </c>
    </row>
    <row r="26" spans="2:9" x14ac:dyDescent="0.2">
      <c r="D26" s="30">
        <v>11744136000</v>
      </c>
    </row>
    <row r="27" spans="2:9" x14ac:dyDescent="0.2">
      <c r="D27" s="30"/>
    </row>
    <row r="28" spans="2:9" x14ac:dyDescent="0.2">
      <c r="D28" s="46">
        <f>D12+D19+D25</f>
        <v>56000000000</v>
      </c>
      <c r="E28" s="46"/>
    </row>
  </sheetData>
  <pageMargins left="0.7" right="0.7" top="0.75" bottom="0.75" header="0.3" footer="0.3"/>
  <pageSetup scale="31"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Hoja1</vt:lpstr>
      <vt:lpstr>PAA Vr 23 - 2023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2023-10-04T22:04:33Z</dcterms:modified>
  <cp:category/>
  <cp:contentStatus/>
</cp:coreProperties>
</file>